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showInkAnnotation="0" updateLinks="always" codeName="ThisWorkbook" defaultThemeVersion="124226"/>
  <mc:AlternateContent xmlns:mc="http://schemas.openxmlformats.org/markup-compatibility/2006">
    <mc:Choice Requires="x15">
      <x15ac:absPath xmlns:x15ac="http://schemas.microsoft.com/office/spreadsheetml/2010/11/ac" url="I:\Value Property Dropbox\Sergio Gajardo\ValueProperty\INFORMES 2026\AGENCIA\AG1548\"/>
    </mc:Choice>
  </mc:AlternateContent>
  <xr:revisionPtr revIDLastSave="0" documentId="13_ncr:1_{14A157EC-0C9A-45F8-932E-79A313B6632D}" xr6:coauthVersionLast="47" xr6:coauthVersionMax="47" xr10:uidLastSave="{00000000-0000-0000-0000-000000000000}"/>
  <bookViews>
    <workbookView xWindow="-120" yWindow="-120" windowWidth="38640" windowHeight="21120" tabRatio="874" activeTab="3" xr2:uid="{00000000-000D-0000-FFFF-FFFF00000000}"/>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9"/>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91029"/>
</workbook>
</file>

<file path=xl/calcChain.xml><?xml version="1.0" encoding="utf-8"?>
<calcChain xmlns="http://schemas.openxmlformats.org/spreadsheetml/2006/main">
  <c r="E42" i="2" l="1"/>
  <c r="B4" i="26" s="1"/>
  <c r="B14" i="26" l="1"/>
  <c r="B13" i="26"/>
  <c r="B12" i="26"/>
  <c r="B11" i="26"/>
  <c r="B42" i="26" l="1"/>
  <c r="B34" i="26"/>
  <c r="B29" i="26"/>
  <c r="B15" i="26"/>
  <c r="B7" i="26"/>
  <c r="B8" i="26" s="1"/>
  <c r="AE9" i="1" l="1"/>
  <c r="AD9" i="1"/>
  <c r="AJ9" i="1" l="1"/>
  <c r="C17" i="24"/>
  <c r="BJ41" i="3" l="1"/>
  <c r="AH15" i="5" l="1"/>
  <c r="K11" i="1" l="1"/>
  <c r="C12" i="24" l="1"/>
  <c r="D11" i="24" s="1"/>
  <c r="D10" i="24" l="1"/>
  <c r="E27" i="1" l="1"/>
  <c r="AI8" i="1" l="1"/>
  <c r="AP6" i="3" l="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46" i="18" l="1"/>
  <c r="H39" i="18" l="1"/>
  <c r="W47" i="18"/>
  <c r="Z15" i="18" l="1"/>
  <c r="B30" i="26" l="1"/>
  <c r="BL44" i="18"/>
  <c r="BL43" i="18"/>
  <c r="BL42" i="18"/>
  <c r="BL41" i="18"/>
  <c r="BL40" i="18"/>
  <c r="BL39" i="18"/>
  <c r="BL46" i="18"/>
  <c r="BL48" i="18"/>
  <c r="BL47" i="18"/>
  <c r="BL50" i="18"/>
  <c r="BL49" i="18"/>
  <c r="K9" i="1"/>
  <c r="F8" i="1" l="1"/>
  <c r="C28" i="5"/>
  <c r="C22" i="5"/>
  <c r="Z16" i="18" l="1"/>
  <c r="H24" i="18" l="1"/>
  <c r="C21" i="22" l="1"/>
  <c r="BY45" i="3" l="1"/>
  <c r="F53" i="3"/>
  <c r="F52" i="3"/>
  <c r="F51" i="3"/>
  <c r="E46" i="2" l="1"/>
  <c r="E41" i="2"/>
  <c r="B3" i="26" s="1"/>
  <c r="E40" i="2"/>
  <c r="C37" i="22"/>
  <c r="C36" i="22"/>
  <c r="C35" i="22"/>
  <c r="B38" i="26" s="1"/>
  <c r="C34" i="22"/>
  <c r="B39" i="26" s="1"/>
  <c r="C31" i="22"/>
  <c r="C30" i="22"/>
  <c r="B35" i="26" s="1"/>
  <c r="C29" i="22"/>
  <c r="C27" i="22"/>
  <c r="B22" i="26" s="1"/>
  <c r="C26" i="22"/>
  <c r="B26"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AW201" i="5"/>
  <c r="AT201" i="5"/>
  <c r="AO201" i="5"/>
  <c r="AK201" i="5"/>
  <c r="AG201" i="5"/>
  <c r="AC201" i="5"/>
  <c r="Y201" i="5"/>
  <c r="V201" i="5"/>
  <c r="R201" i="5"/>
  <c r="O201" i="5"/>
  <c r="L201" i="5"/>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AE142"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U57" i="5"/>
  <c r="P57" i="5"/>
  <c r="H57" i="5"/>
  <c r="C57" i="5"/>
  <c r="CN56" i="5"/>
  <c r="CM56" i="5"/>
  <c r="CL56" i="5"/>
  <c r="CK56" i="5"/>
  <c r="CJ56" i="5"/>
  <c r="CH56" i="5"/>
  <c r="CG56" i="5"/>
  <c r="AY56" i="5"/>
  <c r="AU56" i="5"/>
  <c r="AO56" i="5"/>
  <c r="AK56" i="5"/>
  <c r="AH56" i="5"/>
  <c r="AF56" i="5"/>
  <c r="Z56" i="5"/>
  <c r="W56" i="5"/>
  <c r="U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W50" i="18" s="1"/>
  <c r="BM193" i="5"/>
  <c r="BE49" i="18"/>
  <c r="BF193" i="5" s="1"/>
  <c r="AS49" i="18"/>
  <c r="AT193" i="5" s="1"/>
  <c r="AI49" i="18"/>
  <c r="AJ193" i="5" s="1"/>
  <c r="H49" i="18"/>
  <c r="W49" i="18" s="1"/>
  <c r="BM192" i="5"/>
  <c r="BE48" i="18"/>
  <c r="BF192" i="5" s="1"/>
  <c r="AS48" i="18"/>
  <c r="AT192" i="5" s="1"/>
  <c r="W48" i="18"/>
  <c r="BM191" i="5"/>
  <c r="BE47" i="18"/>
  <c r="BF191" i="5" s="1"/>
  <c r="AS47" i="18"/>
  <c r="AT191" i="5" s="1"/>
  <c r="X191" i="5"/>
  <c r="I191" i="5"/>
  <c r="BM190" i="5"/>
  <c r="BE46" i="18"/>
  <c r="BF190" i="5" s="1"/>
  <c r="AS46" i="18"/>
  <c r="AT190" i="5" s="1"/>
  <c r="X190" i="5"/>
  <c r="G25" i="9"/>
  <c r="BP187" i="5"/>
  <c r="BE44" i="18"/>
  <c r="BI187" i="5" s="1"/>
  <c r="AV187" i="5"/>
  <c r="AF44" i="18"/>
  <c r="AG187" i="5" s="1"/>
  <c r="Y44" i="18"/>
  <c r="Z187" i="5" s="1"/>
  <c r="BP186" i="5"/>
  <c r="BE43" i="18"/>
  <c r="BI186" i="5" s="1"/>
  <c r="AR43" i="18"/>
  <c r="G36" i="9" s="1"/>
  <c r="J186" i="5"/>
  <c r="BP185" i="5"/>
  <c r="BE42" i="18"/>
  <c r="BI185" i="5" s="1"/>
  <c r="AR42" i="18"/>
  <c r="G35" i="9" s="1"/>
  <c r="AF42" i="18"/>
  <c r="AG185" i="5" s="1"/>
  <c r="Y42" i="18"/>
  <c r="Z185" i="5" s="1"/>
  <c r="J185" i="5"/>
  <c r="BP184" i="5"/>
  <c r="BE41" i="18"/>
  <c r="BI184" i="5" s="1"/>
  <c r="AR41" i="18"/>
  <c r="G34" i="9" s="1"/>
  <c r="AF41" i="18"/>
  <c r="AG184" i="5" s="1"/>
  <c r="Y41" i="18"/>
  <c r="Z184" i="5" s="1"/>
  <c r="H41" i="18"/>
  <c r="G21" i="9" s="1"/>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H38" i="18"/>
  <c r="G18" i="9" s="1"/>
  <c r="AR37" i="18"/>
  <c r="AV180" i="5" s="1"/>
  <c r="AF37" i="18"/>
  <c r="AG180" i="5" s="1"/>
  <c r="Y37" i="18"/>
  <c r="Z180" i="5" s="1"/>
  <c r="AY34" i="18"/>
  <c r="AP34" i="18"/>
  <c r="AG34" i="18"/>
  <c r="B32" i="26" s="1"/>
  <c r="Y34" i="18"/>
  <c r="B31" i="26" s="1"/>
  <c r="L34" i="18"/>
  <c r="BK33" i="18"/>
  <c r="BO204" i="5" s="1"/>
  <c r="BK32" i="18"/>
  <c r="BO203" i="5" s="1"/>
  <c r="BK31" i="18"/>
  <c r="BO202" i="5" s="1"/>
  <c r="BK30" i="18"/>
  <c r="BO201" i="5" s="1"/>
  <c r="P24" i="18"/>
  <c r="AB211" i="5" s="1"/>
  <c r="L211" i="5"/>
  <c r="AT21" i="18"/>
  <c r="BK24" i="18" s="1"/>
  <c r="AZ170" i="5" s="1"/>
  <c r="Z19" i="18"/>
  <c r="AY176" i="5" s="1"/>
  <c r="H19" i="18"/>
  <c r="L176" i="5" s="1"/>
  <c r="AN18" i="18"/>
  <c r="G42" i="9" s="1"/>
  <c r="Z18" i="18"/>
  <c r="AY175" i="5" s="1"/>
  <c r="L175" i="5"/>
  <c r="H17" i="18"/>
  <c r="L174" i="5" s="1"/>
  <c r="AY173" i="5"/>
  <c r="H16" i="18"/>
  <c r="L173" i="5" s="1"/>
  <c r="H10" i="18"/>
  <c r="BI9" i="18"/>
  <c r="BL151" i="5" s="1"/>
  <c r="AT7" i="18"/>
  <c r="BL4" i="18"/>
  <c r="Y85" i="3"/>
  <c r="I83" i="5" s="1"/>
  <c r="G85" i="3"/>
  <c r="BI69" i="3" s="1"/>
  <c r="G83" i="3"/>
  <c r="CG77" i="3"/>
  <c r="BL74" i="3"/>
  <c r="BN75" i="3" s="1"/>
  <c r="BG74" i="3"/>
  <c r="BH77" i="5" s="1"/>
  <c r="AZ74" i="3"/>
  <c r="BA77" i="5" s="1"/>
  <c r="CA73" i="3"/>
  <c r="CA72" i="3"/>
  <c r="CB71" i="3"/>
  <c r="CB70" i="3"/>
  <c r="CC69" i="3"/>
  <c r="CB69" i="3"/>
  <c r="CC68" i="3"/>
  <c r="CB68" i="3"/>
  <c r="CC67" i="3"/>
  <c r="CA67" i="3"/>
  <c r="AU77" i="3" s="1"/>
  <c r="AV78" i="5" s="1"/>
  <c r="CC66" i="3"/>
  <c r="CB66" i="3"/>
  <c r="CC65" i="3"/>
  <c r="CB65" i="3"/>
  <c r="CC64" i="3"/>
  <c r="CB64" i="3"/>
  <c r="CC63" i="3"/>
  <c r="CA63" i="3"/>
  <c r="CB63" i="3" s="1"/>
  <c r="CC62" i="3"/>
  <c r="CB62" i="3"/>
  <c r="BV61" i="3"/>
  <c r="BO61" i="3"/>
  <c r="BJ64" i="5" s="1"/>
  <c r="BN61" i="3"/>
  <c r="BI61" i="3"/>
  <c r="C23" i="22" s="1"/>
  <c r="B20" i="26" s="1"/>
  <c r="AN61" i="3"/>
  <c r="BD61" i="3" s="1"/>
  <c r="AG61" i="3"/>
  <c r="AH64" i="5" s="1"/>
  <c r="CF60" i="3"/>
  <c r="BY59" i="3"/>
  <c r="AO62" i="5"/>
  <c r="AG59" i="3"/>
  <c r="AH62" i="5" s="1"/>
  <c r="BZ58" i="3"/>
  <c r="CD61" i="5" s="1"/>
  <c r="BY58" i="3"/>
  <c r="CC61" i="5" s="1"/>
  <c r="BD58" i="3"/>
  <c r="BI58" i="3"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F54" i="3"/>
  <c r="G57" i="5" s="1"/>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BJ39" i="3"/>
  <c r="BK41" i="5" s="1"/>
  <c r="AX39" i="3"/>
  <c r="AY41" i="5" s="1"/>
  <c r="CD38" i="3"/>
  <c r="CC38" i="3"/>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AE8" i="3"/>
  <c r="CJ7" i="3"/>
  <c r="BK7" i="3"/>
  <c r="AE19" i="5" s="1"/>
  <c r="BJ7" i="3"/>
  <c r="BF7" i="3"/>
  <c r="F7" i="3"/>
  <c r="CJ6" i="3"/>
  <c r="AU6" i="3"/>
  <c r="Y4" i="11" s="1"/>
  <c r="AE6" i="3"/>
  <c r="F6" i="3"/>
  <c r="AU5" i="3"/>
  <c r="V4" i="10" s="1"/>
  <c r="F5" i="3"/>
  <c r="AS82" i="3" s="1"/>
  <c r="I84" i="5" s="1"/>
  <c r="AU4" i="3"/>
  <c r="C8" i="22" s="1"/>
  <c r="F4" i="3"/>
  <c r="BB3" i="3"/>
  <c r="AU3" i="3"/>
  <c r="U14" i="5" s="1"/>
  <c r="AE3" i="3"/>
  <c r="F3" i="3"/>
  <c r="E3" i="12" s="1"/>
  <c r="CM1" i="3"/>
  <c r="R38" i="1"/>
  <c r="D17" i="3" s="1"/>
  <c r="C27" i="5" s="1"/>
  <c r="O37" i="1"/>
  <c r="N37" i="1"/>
  <c r="M37" i="1"/>
  <c r="L37" i="1"/>
  <c r="K37" i="1"/>
  <c r="E37" i="1"/>
  <c r="D35" i="1"/>
  <c r="E43" i="2" s="1"/>
  <c r="AX87" i="5" s="1"/>
  <c r="AX388" i="5" s="1"/>
  <c r="O32" i="1"/>
  <c r="O31" i="1"/>
  <c r="E21" i="1"/>
  <c r="Y8" i="1"/>
  <c r="Z8" i="1" s="1"/>
  <c r="Y7" i="1"/>
  <c r="Z7" i="1" s="1"/>
  <c r="O22" i="1"/>
  <c r="O18" i="1"/>
  <c r="CE53" i="3"/>
  <c r="BB205" i="5" l="1"/>
  <c r="AI41" i="12"/>
  <c r="BO58" i="3"/>
  <c r="CM18" i="3"/>
  <c r="AS205" i="5"/>
  <c r="BZ26" i="3"/>
  <c r="BB27" i="3" s="1"/>
  <c r="U28" i="12" s="1"/>
  <c r="CC70" i="3"/>
  <c r="AT59" i="3" s="1"/>
  <c r="AU62" i="5" s="1"/>
  <c r="AJ205" i="5"/>
  <c r="AB205" i="5"/>
  <c r="O205" i="5"/>
  <c r="B9" i="26"/>
  <c r="T51" i="3"/>
  <c r="BO51" i="3"/>
  <c r="BO59" i="3" s="1"/>
  <c r="BJ62" i="5" s="1"/>
  <c r="BI59" i="3"/>
  <c r="B5" i="26"/>
  <c r="AZ7" i="5"/>
  <c r="B17" i="26"/>
  <c r="B23" i="26"/>
  <c r="B21" i="26"/>
  <c r="B40" i="26"/>
  <c r="B37" i="26"/>
  <c r="B36" i="26"/>
  <c r="C30" i="3"/>
  <c r="D32" i="5" s="1"/>
  <c r="G27" i="9"/>
  <c r="X192" i="5"/>
  <c r="G28" i="9"/>
  <c r="X193" i="5"/>
  <c r="I194" i="5"/>
  <c r="X194" i="5"/>
  <c r="E47" i="2"/>
  <c r="G6" i="22"/>
  <c r="AG2" i="17"/>
  <c r="Y3" i="12"/>
  <c r="Q29" i="12"/>
  <c r="BJ160" i="5"/>
  <c r="AX34" i="3"/>
  <c r="AX42" i="3"/>
  <c r="BI53" i="3"/>
  <c r="BO53" i="3" s="1"/>
  <c r="W36" i="12"/>
  <c r="BB56" i="5"/>
  <c r="CA53" i="3"/>
  <c r="CE56" i="5" s="1"/>
  <c r="BI54" i="3"/>
  <c r="BO54" i="3" s="1"/>
  <c r="W37" i="12"/>
  <c r="BB57" i="5"/>
  <c r="CA54" i="3"/>
  <c r="CE57" i="5" s="1"/>
  <c r="CB54" i="3"/>
  <c r="CF57" i="5" s="1"/>
  <c r="BI55" i="3"/>
  <c r="BO55" i="3" s="1"/>
  <c r="W38" i="12"/>
  <c r="Q38" i="12" s="1"/>
  <c r="BB58" i="5"/>
  <c r="CA55" i="3"/>
  <c r="CE58" i="5" s="1"/>
  <c r="CB55" i="3"/>
  <c r="CF58" i="5" s="1"/>
  <c r="BI56" i="3"/>
  <c r="BO56" i="3" s="1"/>
  <c r="W39" i="12"/>
  <c r="BB59" i="5"/>
  <c r="CA56" i="3"/>
  <c r="CE59" i="5" s="1"/>
  <c r="CB56" i="3"/>
  <c r="CF59" i="5" s="1"/>
  <c r="BI57" i="3"/>
  <c r="BO57" i="3" s="1"/>
  <c r="W40" i="12"/>
  <c r="BB60" i="5"/>
  <c r="CA57" i="3"/>
  <c r="CE60" i="5" s="1"/>
  <c r="CB57" i="3"/>
  <c r="CF60" i="5" s="1"/>
  <c r="BH58" i="3"/>
  <c r="CA58" i="3"/>
  <c r="CE61" i="5" s="1"/>
  <c r="CB58" i="3"/>
  <c r="CF61" i="5" s="1"/>
  <c r="CB67" i="3"/>
  <c r="AU78" i="3" s="1"/>
  <c r="AV79" i="5" s="1"/>
  <c r="BB61" i="5"/>
  <c r="BF61" i="5"/>
  <c r="AU196" i="5"/>
  <c r="W41" i="12"/>
  <c r="Q41" i="12" s="1"/>
  <c r="Q40" i="12"/>
  <c r="U19" i="5"/>
  <c r="Q37" i="12"/>
  <c r="Q39" i="12"/>
  <c r="Q36" i="12"/>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C32" i="22"/>
  <c r="E5" i="11"/>
  <c r="AU7" i="3"/>
  <c r="E5" i="10"/>
  <c r="C6" i="22"/>
  <c r="D5" i="9"/>
  <c r="E4" i="8"/>
  <c r="E5" i="18"/>
  <c r="AC10" i="5"/>
  <c r="AD21" i="3"/>
  <c r="BB29" i="3"/>
  <c r="AQ18" i="5" s="1"/>
  <c r="CE3" i="3"/>
  <c r="E4" i="17"/>
  <c r="AZ8" i="5"/>
  <c r="J14" i="1"/>
  <c r="BB33" i="3"/>
  <c r="BC31" i="5" s="1"/>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BB55" i="5"/>
  <c r="W35" i="12"/>
  <c r="Q35" i="12" s="1"/>
  <c r="BY52" i="3"/>
  <c r="CC55" i="5" s="1"/>
  <c r="AU55" i="5"/>
  <c r="W34" i="12"/>
  <c r="Q34" i="12" s="1"/>
  <c r="CB48" i="3"/>
  <c r="CC47" i="3"/>
  <c r="BV51" i="3"/>
  <c r="BV59" i="3" s="1"/>
  <c r="AI34" i="12"/>
  <c r="BF54" i="5"/>
  <c r="CD37" i="3"/>
  <c r="BH51" i="3"/>
  <c r="BH61" i="3"/>
  <c r="BF64" i="5" s="1"/>
  <c r="L53" i="12"/>
  <c r="AO64" i="5"/>
  <c r="BH64" i="5"/>
  <c r="AH35" i="3"/>
  <c r="AI37" i="5" s="1"/>
  <c r="AM35" i="3"/>
  <c r="AN37" i="5" s="1"/>
  <c r="AU43" i="3"/>
  <c r="AV45" i="5" s="1"/>
  <c r="BB64" i="5"/>
  <c r="AU35" i="3"/>
  <c r="AV37" i="5" s="1"/>
  <c r="DB59" i="3"/>
  <c r="AH43" i="3"/>
  <c r="AI45" i="5" s="1"/>
  <c r="AG60" i="3"/>
  <c r="AT61" i="3"/>
  <c r="L52" i="12"/>
  <c r="C22" i="22"/>
  <c r="B24" i="26" s="1"/>
  <c r="AM43" i="3"/>
  <c r="AN45" i="5" s="1"/>
  <c r="AN60" i="3"/>
  <c r="CI56" i="5"/>
  <c r="BP64" i="5"/>
  <c r="DB51" i="3" l="1"/>
  <c r="BN59" i="3"/>
  <c r="C24" i="22"/>
  <c r="B25" i="26" s="1"/>
  <c r="BO52" i="3"/>
  <c r="BJ55" i="5" s="1"/>
  <c r="BV58" i="3"/>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P56" i="5" s="1"/>
  <c r="BH53" i="3"/>
  <c r="AY44" i="5"/>
  <c r="AX44" i="3"/>
  <c r="AY46" i="5" s="1"/>
  <c r="AY36" i="5"/>
  <c r="AP5" i="3"/>
  <c r="W3" i="17" s="1"/>
  <c r="BQ5" i="3"/>
  <c r="K389" i="5"/>
  <c r="K305" i="5"/>
  <c r="K221" i="5"/>
  <c r="K473" i="5"/>
  <c r="K146" i="5"/>
  <c r="K472" i="5"/>
  <c r="K145" i="5"/>
  <c r="K388" i="5"/>
  <c r="K220" i="5"/>
  <c r="K304" i="5"/>
  <c r="BP5" i="3"/>
  <c r="BJ5" i="3"/>
  <c r="BJ37" i="3"/>
  <c r="B10" i="26" s="1"/>
  <c r="U55" i="5"/>
  <c r="Z13" i="18"/>
  <c r="K151" i="5" s="1"/>
  <c r="F24" i="3"/>
  <c r="Z12" i="18"/>
  <c r="AB150" i="5" s="1"/>
  <c r="Z7" i="18"/>
  <c r="K148" i="5" s="1"/>
  <c r="AE23" i="3"/>
  <c r="Z11" i="18"/>
  <c r="AB149" i="5" s="1"/>
  <c r="S26" i="3"/>
  <c r="S23" i="3"/>
  <c r="B16" i="26" s="1"/>
  <c r="B43" i="26" s="1"/>
  <c r="S25" i="3"/>
  <c r="S22" i="3"/>
  <c r="Z8" i="18"/>
  <c r="K149" i="5" s="1"/>
  <c r="S24" i="3"/>
  <c r="Z10" i="18"/>
  <c r="AB148" i="5" s="1"/>
  <c r="H26" i="3"/>
  <c r="F23" i="3"/>
  <c r="F26" i="3"/>
  <c r="Z9" i="18"/>
  <c r="K150" i="5" s="1"/>
  <c r="AE24" i="3"/>
  <c r="F22" i="3"/>
  <c r="CF2" i="3"/>
  <c r="V4" i="17"/>
  <c r="Y5" i="18"/>
  <c r="Q5" i="9"/>
  <c r="V4" i="8"/>
  <c r="R5" i="10"/>
  <c r="R5" i="11"/>
  <c r="R5" i="12"/>
  <c r="BY31" i="3"/>
  <c r="T59" i="3"/>
  <c r="U54" i="5"/>
  <c r="BN53" i="3"/>
  <c r="DB53" i="3"/>
  <c r="BJ56" i="5"/>
  <c r="AC36" i="12"/>
  <c r="DB54" i="3"/>
  <c r="AC37" i="12"/>
  <c r="BJ57" i="5"/>
  <c r="BN54" i="3"/>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BH59" i="3"/>
  <c r="BF62" i="5" s="1"/>
  <c r="CA59" i="3"/>
  <c r="BI63" i="3" s="1"/>
  <c r="CK1" i="3" s="1"/>
  <c r="CC46" i="3"/>
  <c r="BG72" i="3" s="1"/>
  <c r="BH75" i="5" s="1"/>
  <c r="CE54" i="5"/>
  <c r="BF55" i="5"/>
  <c r="BV52" i="3"/>
  <c r="BP55" i="5" s="1"/>
  <c r="BH52" i="3"/>
  <c r="AI35" i="12"/>
  <c r="BP54" i="5"/>
  <c r="L54" i="12"/>
  <c r="AH63" i="5"/>
  <c r="AO63" i="5"/>
  <c r="AX61" i="3"/>
  <c r="AY64" i="5" s="1"/>
  <c r="AU64" i="5"/>
  <c r="AC35" i="12" l="1"/>
  <c r="AC42" i="12" s="1"/>
  <c r="BO60" i="3"/>
  <c r="BO62" i="3" s="1"/>
  <c r="DB52" i="3"/>
  <c r="BN52" i="3"/>
  <c r="AI42" i="12"/>
  <c r="S4" i="10"/>
  <c r="R4" i="9"/>
  <c r="S4" i="11"/>
  <c r="S4" i="12"/>
  <c r="BZ24" i="3"/>
  <c r="U8" i="5"/>
  <c r="W3" i="8"/>
  <c r="AE4" i="18"/>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X3" i="7"/>
  <c r="AC2" i="9"/>
  <c r="O5" i="5"/>
  <c r="AX88" i="5" s="1"/>
  <c r="AX3" i="6"/>
  <c r="BJ44" i="3"/>
  <c r="BK46" i="5" s="1"/>
  <c r="BK43" i="5"/>
  <c r="BL72" i="3"/>
  <c r="BO63" i="3"/>
  <c r="AT10" i="18"/>
  <c r="AW152" i="5" s="1"/>
  <c r="AW150" i="5"/>
  <c r="BD59" i="3"/>
  <c r="BH62" i="5"/>
  <c r="BI60" i="3"/>
  <c r="M47" i="12"/>
  <c r="BH66" i="5"/>
  <c r="AN64" i="3"/>
  <c r="AI43" i="12"/>
  <c r="BP62" i="5"/>
  <c r="BV60" i="3"/>
  <c r="BV62" i="3" s="1"/>
  <c r="BJ63" i="5" l="1"/>
  <c r="DB68" i="3"/>
  <c r="BN60" i="3"/>
  <c r="DB67" i="3"/>
  <c r="BI62" i="3"/>
  <c r="AP69" i="3" s="1"/>
  <c r="C18" i="24" s="1"/>
  <c r="BM75" i="5"/>
  <c r="AZ72" i="3"/>
  <c r="BA75" i="5" s="1"/>
  <c r="DB69" i="3"/>
  <c r="B41" i="26" s="1"/>
  <c r="I198" i="5"/>
  <c r="G41" i="9"/>
  <c r="G40" i="9"/>
  <c r="I197" i="5"/>
  <c r="AX389" i="5"/>
  <c r="AX305" i="5"/>
  <c r="AX473" i="5"/>
  <c r="AX146" i="5"/>
  <c r="AX221" i="5"/>
  <c r="BJ65" i="5"/>
  <c r="BG73" i="3"/>
  <c r="AR43" i="3"/>
  <c r="AS45" i="5" s="1"/>
  <c r="AT60" i="3"/>
  <c r="AU63" i="5" s="1"/>
  <c r="CL1" i="3"/>
  <c r="AC43" i="12"/>
  <c r="BH63" i="5"/>
  <c r="AX59" i="3"/>
  <c r="AY62" i="5" s="1"/>
  <c r="AX35" i="3"/>
  <c r="BB62" i="5"/>
  <c r="BH60" i="3"/>
  <c r="BF63" i="5" s="1"/>
  <c r="AR35" i="3"/>
  <c r="AS37" i="5" s="1"/>
  <c r="AX43" i="3"/>
  <c r="AY45" i="5" s="1"/>
  <c r="BP63" i="5"/>
  <c r="AY37" i="5" l="1"/>
  <c r="AX36" i="3"/>
  <c r="AY38" i="5" s="1"/>
  <c r="AD43" i="3"/>
  <c r="AE45" i="5" s="1"/>
  <c r="BP65" i="5"/>
  <c r="B47" i="12"/>
  <c r="BL73" i="3"/>
  <c r="C18" i="22"/>
  <c r="B28" i="26" s="1"/>
  <c r="DB63" i="3"/>
  <c r="BH76" i="5"/>
  <c r="AD35" i="3"/>
  <c r="AE37" i="5" s="1"/>
  <c r="AY69" i="3"/>
  <c r="C19" i="24" s="1"/>
  <c r="BY62" i="3"/>
  <c r="BH65" i="5"/>
  <c r="BM76" i="5" l="1"/>
  <c r="AZ73" i="3"/>
  <c r="BA76" i="5" s="1"/>
  <c r="C26" i="24"/>
  <c r="D26" i="24" s="1"/>
  <c r="E17" i="24"/>
  <c r="AC47" i="12"/>
  <c r="BG77" i="3"/>
  <c r="BH78" i="5" s="1"/>
  <c r="AQ72" i="5"/>
  <c r="BG78" i="3"/>
  <c r="C17" i="22"/>
  <c r="AC45" i="12"/>
  <c r="AZ72" i="5"/>
  <c r="G84" i="3"/>
  <c r="F23" i="22" l="1"/>
  <c r="B27" i="26"/>
  <c r="I81" i="5"/>
  <c r="C25" i="24"/>
  <c r="C27" i="24" s="1"/>
  <c r="E18" i="24" s="1"/>
  <c r="BL77" i="3"/>
  <c r="T47" i="12"/>
  <c r="BH79" i="5"/>
  <c r="DB64" i="3"/>
  <c r="BL78" i="3"/>
  <c r="BM79" i="5" l="1"/>
  <c r="AZ78" i="3"/>
  <c r="BA79" i="5" s="1"/>
  <c r="BM78" i="5"/>
  <c r="AZ77" i="3"/>
  <c r="BA78" i="5" s="1"/>
  <c r="D25" i="24"/>
  <c r="D27" i="24" s="1"/>
  <c r="E19" i="24" s="1"/>
</calcChain>
</file>

<file path=xl/sharedStrings.xml><?xml version="1.0" encoding="utf-8"?>
<sst xmlns="http://schemas.openxmlformats.org/spreadsheetml/2006/main" count="55975" uniqueCount="2763">
  <si>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</si>
  <si>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</si>
  <si>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</si>
  <si>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</si>
  <si>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</si>
  <si>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</si>
  <si>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</si>
  <si>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</si>
  <si>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</si>
  <si>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</si>
  <si>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</si>
  <si>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</si>
  <si>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</si>
  <si>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</si>
  <si>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</si>
  <si>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</si>
  <si>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</si>
  <si>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</si>
  <si>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</si>
  <si>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</si>
  <si>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</si>
  <si>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</si>
  <si>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</si>
  <si>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</si>
  <si>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</si>
  <si>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</si>
  <si>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</si>
  <si>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</si>
  <si>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</si>
  <si>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</si>
  <si>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</si>
  <si>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</si>
  <si>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</si>
  <si>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</si>
  <si>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</si>
  <si>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</si>
  <si>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</si>
  <si>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</si>
  <si>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</si>
  <si>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</si>
  <si>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</si>
  <si>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</si>
  <si>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</si>
  <si>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</si>
  <si>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</si>
  <si>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</si>
  <si>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</si>
  <si>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</si>
  <si>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</si>
  <si>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</si>
  <si>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</si>
  <si>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</si>
  <si>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</si>
  <si>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</si>
  <si>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</si>
  <si>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</si>
  <si>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</si>
  <si>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</si>
  <si>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</si>
  <si>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</si>
  <si>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</si>
  <si>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</si>
  <si>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</si>
  <si>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</si>
  <si>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</si>
  <si>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</si>
  <si>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</si>
  <si>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</si>
  <si>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</si>
  <si>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</si>
  <si>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</si>
  <si>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</si>
  <si>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</si>
  <si>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</si>
  <si>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</si>
  <si>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</si>
  <si>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</si>
  <si>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</si>
  <si>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</si>
  <si>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</si>
  <si>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</si>
  <si>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</si>
  <si>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</si>
  <si>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</si>
  <si>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</si>
  <si>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</si>
  <si>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</si>
  <si>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</si>
  <si>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</si>
  <si>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</si>
  <si>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</si>
  <si>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</si>
  <si>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</si>
  <si>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</si>
  <si>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</si>
  <si>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</si>
  <si>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</si>
  <si>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</si>
  <si>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</si>
  <si>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</si>
  <si>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</si>
  <si>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</si>
  <si>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</si>
  <si>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</si>
  <si>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</si>
  <si>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</si>
  <si>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</si>
  <si>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</si>
  <si>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</si>
  <si>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</si>
  <si>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</si>
  <si>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</si>
  <si>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</si>
  <si>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</si>
  <si>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</si>
  <si>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</si>
  <si>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</si>
  <si>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</si>
  <si>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</si>
  <si>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</si>
  <si>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</si>
  <si>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</si>
  <si>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</si>
  <si>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</si>
  <si>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</si>
  <si>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</si>
  <si>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</si>
  <si>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</si>
  <si>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</si>
  <si>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</si>
  <si>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</si>
  <si>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</si>
  <si>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</si>
  <si>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</si>
  <si>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</si>
  <si>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</si>
  <si>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</si>
  <si>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</si>
  <si>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</si>
  <si>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</si>
  <si>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</si>
  <si>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</si>
  <si>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</si>
  <si>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</si>
  <si>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</si>
  <si>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</si>
  <si>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</si>
  <si>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</si>
  <si>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</si>
  <si>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</si>
  <si>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</si>
  <si>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</si>
  <si>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</si>
  <si>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</si>
  <si>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</si>
  <si>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</si>
  <si>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</si>
  <si>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</si>
  <si>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</si>
  <si>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</si>
  <si>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</si>
  <si>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</si>
  <si>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</si>
  <si>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</si>
  <si>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</si>
  <si>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</si>
  <si>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</si>
  <si>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</si>
  <si>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</si>
  <si>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</si>
  <si>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</si>
  <si>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</si>
  <si>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</si>
  <si>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</si>
  <si>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</si>
  <si>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</si>
  <si>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</si>
  <si>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</si>
  <si>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</si>
  <si>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</si>
  <si>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</si>
  <si>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</si>
  <si>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</si>
  <si>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</si>
  <si>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</si>
  <si>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</si>
  <si>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</si>
  <si>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</si>
  <si>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</si>
  <si>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</si>
  <si>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</si>
  <si>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</si>
  <si>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</si>
  <si>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</si>
  <si>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</si>
  <si>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</si>
  <si>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</si>
  <si>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</si>
  <si>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</si>
  <si>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</si>
  <si>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</si>
  <si>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</si>
  <si>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</si>
  <si>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</si>
  <si>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</si>
  <si>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</si>
  <si>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</si>
  <si>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</si>
  <si>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</si>
  <si>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</si>
  <si>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</si>
  <si>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</si>
  <si>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</si>
  <si>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</si>
  <si>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</si>
  <si>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</si>
  <si>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</si>
  <si>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</si>
  <si>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</si>
  <si>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</si>
  <si>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</si>
  <si>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</si>
  <si>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</si>
  <si>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</si>
  <si>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</si>
  <si>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</si>
  <si>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</si>
  <si>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</si>
  <si>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</si>
  <si>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</si>
  <si>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</si>
  <si>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</si>
  <si>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</si>
  <si>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</si>
  <si>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</si>
  <si>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</si>
  <si>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</si>
  <si>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</si>
  <si>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</si>
  <si>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</si>
  <si>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</si>
  <si>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</si>
  <si>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</si>
  <si>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</si>
  <si>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</si>
  <si>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</si>
  <si>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</si>
  <si>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</si>
  <si>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</si>
  <si>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</si>
  <si>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</si>
  <si>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</si>
  <si>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</si>
  <si>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</si>
  <si>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</si>
  <si>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</si>
  <si>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</si>
  <si>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</si>
  <si>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</si>
  <si>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</si>
  <si>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</si>
  <si>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</si>
  <si>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</si>
  <si>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</si>
  <si>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</si>
  <si>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</si>
  <si>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</si>
  <si>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</si>
  <si>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</si>
  <si>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</si>
  <si>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</si>
  <si>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</si>
  <si>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</si>
  <si>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</si>
  <si>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</si>
  <si>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</si>
  <si>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</si>
  <si>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</si>
  <si>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</si>
  <si>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</si>
  <si>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</si>
  <si>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</si>
  <si>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</si>
  <si>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</si>
  <si>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</si>
  <si>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</si>
  <si>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</si>
  <si>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</si>
  <si>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</si>
  <si>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</si>
  <si>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</si>
  <si>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</si>
  <si>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</si>
  <si>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</si>
  <si>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</si>
  <si>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</si>
  <si>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</si>
  <si>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</si>
  <si>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</si>
  <si>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</si>
  <si>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</si>
  <si>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</si>
  <si>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</si>
  <si>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</si>
  <si>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</si>
  <si>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</si>
  <si>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</si>
  <si>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</si>
  <si>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</si>
  <si>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</si>
  <si>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</si>
  <si>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</si>
  <si>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</si>
  <si>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</si>
  <si>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</si>
  <si>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</si>
  <si>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</si>
  <si>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</si>
  <si>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</si>
  <si>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</si>
  <si>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</si>
  <si>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</si>
  <si>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</si>
  <si>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</si>
  <si>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</si>
  <si>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</si>
  <si>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</si>
  <si>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</si>
  <si>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</si>
  <si>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</si>
  <si>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</si>
  <si>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</si>
  <si>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</si>
  <si>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</si>
  <si>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</si>
  <si>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</si>
  <si>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</si>
  <si>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</si>
  <si>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</si>
  <si>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</si>
  <si>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</si>
  <si>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</si>
  <si>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</si>
  <si>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</si>
  <si>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</si>
  <si>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</si>
  <si>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</si>
  <si>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</si>
  <si>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</si>
  <si>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</si>
  <si>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</si>
  <si>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</si>
  <si>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</si>
  <si>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</si>
  <si>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</si>
  <si>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</si>
  <si>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</si>
  <si>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</si>
  <si>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</si>
  <si>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</si>
  <si>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</si>
  <si>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</si>
  <si>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</si>
  <si>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</si>
  <si>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</si>
  <si>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</si>
  <si>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</si>
  <si>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</si>
  <si>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</si>
  <si>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</si>
  <si>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</si>
  <si>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</si>
  <si>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</si>
  <si>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</si>
  <si>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</si>
  <si>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</si>
  <si>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</si>
  <si>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</si>
  <si>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</si>
  <si>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</si>
  <si>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</si>
  <si>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</si>
  <si>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</si>
  <si>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</si>
  <si>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</si>
  <si>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</si>
  <si>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</si>
  <si>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</si>
  <si>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</si>
  <si>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</si>
  <si>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</si>
  <si>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</si>
  <si>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</si>
  <si>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</si>
  <si>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</si>
  <si>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</si>
  <si>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</si>
  <si>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</si>
  <si>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</si>
  <si>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</si>
  <si>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</si>
  <si>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</si>
  <si>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</si>
  <si>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</si>
  <si>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</si>
  <si>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</si>
  <si>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</si>
  <si>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</si>
  <si>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</si>
  <si>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</si>
  <si>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</si>
  <si>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</si>
  <si>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</si>
  <si>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</si>
  <si>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</si>
  <si>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</si>
  <si>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</si>
  <si>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</si>
  <si>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</si>
  <si>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</si>
  <si>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</si>
  <si>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</si>
  <si>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</si>
  <si>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</si>
  <si>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</si>
  <si>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</si>
  <si>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</si>
  <si>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</si>
  <si>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</si>
  <si>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</si>
  <si>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</si>
  <si>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</si>
  <si>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</si>
  <si>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</si>
  <si>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</si>
  <si>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</si>
  <si>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</si>
  <si>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</si>
  <si>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</si>
  <si>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</si>
  <si>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</si>
  <si>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</si>
  <si>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</si>
  <si>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</si>
  <si>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</si>
  <si>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</si>
  <si>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</si>
  <si>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</si>
  <si>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</si>
  <si>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</si>
  <si>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</si>
  <si>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</si>
  <si>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</si>
  <si>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</si>
  <si>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</si>
  <si>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</si>
  <si>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</si>
  <si>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</si>
  <si>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</si>
  <si>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</si>
  <si>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</si>
  <si>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</si>
  <si>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</si>
  <si>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</si>
  <si>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</si>
  <si>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</si>
  <si>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</si>
  <si>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</si>
  <si>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</si>
  <si>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</si>
  <si>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</si>
  <si>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</si>
  <si>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</si>
  <si>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</si>
  <si>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</si>
  <si>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</si>
  <si>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</si>
  <si>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</si>
  <si>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</si>
  <si>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</si>
  <si>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</si>
  <si>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</si>
  <si>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</si>
  <si>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</si>
  <si>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</si>
  <si>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</si>
  <si>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</si>
  <si>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</si>
  <si>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</si>
  <si>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</si>
  <si>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</si>
  <si>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</si>
  <si>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</si>
  <si>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</si>
  <si>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</si>
  <si>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</si>
  <si>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</si>
  <si>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</si>
  <si>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</si>
  <si>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</si>
  <si>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</si>
  <si>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</si>
  <si>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</si>
  <si>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</si>
  <si>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</si>
  <si>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</si>
  <si>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</si>
  <si>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</si>
  <si>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</si>
  <si>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</si>
  <si>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</si>
  <si>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</si>
  <si>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</si>
  <si>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</si>
  <si>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</si>
  <si>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</si>
  <si>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</si>
  <si>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</si>
  <si>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</si>
  <si>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</si>
  <si>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</si>
  <si>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</si>
  <si>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</si>
  <si>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</si>
  <si>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</si>
  <si>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</si>
  <si>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</si>
  <si>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</si>
  <si>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</si>
  <si>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</si>
  <si>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</si>
  <si>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</si>
  <si>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</si>
  <si>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</si>
  <si>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</si>
  <si>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</si>
  <si>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</si>
  <si>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</si>
  <si>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</si>
  <si>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</si>
  <si>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</si>
  <si>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</si>
  <si>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</si>
  <si>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</si>
  <si>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</si>
  <si>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</si>
  <si>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</si>
  <si>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</si>
  <si>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</si>
  <si>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</si>
  <si>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</si>
  <si>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</si>
  <si>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</si>
  <si>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</si>
  <si>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</si>
  <si>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</si>
  <si>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</si>
  <si>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</si>
  <si>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</si>
  <si>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</si>
  <si>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</si>
  <si>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</si>
  <si>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</si>
  <si>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</si>
  <si>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</si>
  <si>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</si>
  <si>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</si>
  <si>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</si>
  <si>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</si>
  <si>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</si>
  <si>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</si>
  <si>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</si>
  <si>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</si>
  <si>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</si>
  <si>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</si>
  <si>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</si>
  <si>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</si>
  <si>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</si>
  <si>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</si>
  <si>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</si>
  <si>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</si>
  <si>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</si>
  <si>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</si>
  <si>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</si>
  <si>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</si>
  <si>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</si>
  <si>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</si>
  <si>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</si>
  <si>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</si>
  <si>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</si>
  <si>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</si>
  <si>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</si>
  <si>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</si>
  <si>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</si>
  <si>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</si>
  <si>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</si>
  <si>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</si>
  <si>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</si>
  <si>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</si>
  <si>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</si>
  <si>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</si>
  <si>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</si>
  <si>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</si>
  <si>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</si>
  <si>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</si>
  <si>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</si>
  <si>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</si>
  <si>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</si>
  <si>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</si>
  <si>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</si>
  <si>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</si>
  <si>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</si>
  <si>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</si>
  <si>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</si>
  <si>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</si>
  <si>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</si>
  <si>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</si>
  <si>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</si>
  <si>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</si>
  <si>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</si>
  <si>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</si>
  <si>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</si>
  <si>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</si>
  <si>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</si>
  <si>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</si>
  <si>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</si>
  <si>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</si>
  <si>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</si>
  <si>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</si>
  <si>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</si>
  <si>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</si>
  <si>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</si>
  <si>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</si>
  <si>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</si>
  <si>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</si>
  <si>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</si>
  <si>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</si>
  <si>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</si>
  <si>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</si>
  <si>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</si>
  <si>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</si>
  <si>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</si>
  <si>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</si>
  <si>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</si>
  <si>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</si>
  <si>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</si>
  <si>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</si>
  <si>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</si>
  <si>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</si>
  <si>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</si>
  <si>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</si>
  <si>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</si>
  <si>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</si>
  <si>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</si>
  <si>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</si>
  <si>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</si>
  <si>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</si>
  <si>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</si>
  <si>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</si>
  <si>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</si>
  <si>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</si>
  <si>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</si>
  <si>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</si>
  <si>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</si>
  <si>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</si>
  <si>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</si>
  <si>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</si>
  <si>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</si>
  <si>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</si>
  <si>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</si>
  <si>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</si>
  <si>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</si>
  <si>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</si>
  <si>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</si>
  <si>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</si>
  <si>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</si>
  <si>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</si>
  <si>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</si>
  <si>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</si>
  <si>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</si>
  <si>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</si>
  <si>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</si>
  <si>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</si>
  <si>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</si>
  <si>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</si>
  <si>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</si>
  <si>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</si>
  <si>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</si>
  <si>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</si>
  <si>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</si>
  <si>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</si>
  <si>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</si>
  <si>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</si>
  <si>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</si>
  <si>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</si>
  <si>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</si>
  <si>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</si>
  <si>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</si>
  <si>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</si>
  <si>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</si>
  <si>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</si>
  <si>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</si>
  <si>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</si>
  <si>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</si>
  <si>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</si>
  <si>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</si>
  <si>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</si>
  <si>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</si>
  <si>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</si>
  <si>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</si>
  <si>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</si>
  <si>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</si>
  <si>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</si>
  <si>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</si>
  <si>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</si>
  <si>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</si>
  <si>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</si>
  <si>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</si>
  <si>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</si>
  <si>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</si>
  <si>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</si>
  <si>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</si>
  <si>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</si>
  <si>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</si>
  <si>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</si>
  <si>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</si>
  <si>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</si>
  <si>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</si>
  <si>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</si>
  <si>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</si>
  <si>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</si>
  <si>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</si>
  <si>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</si>
  <si>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</si>
  <si>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</si>
  <si>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</si>
  <si>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</si>
  <si>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</si>
  <si>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</si>
  <si>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</si>
  <si>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</si>
  <si>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</si>
  <si>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</si>
  <si>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</si>
  <si>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</si>
  <si>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</si>
  <si>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</si>
  <si>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</si>
  <si>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</si>
  <si>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</si>
  <si>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</si>
  <si>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</si>
  <si>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</si>
  <si>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</si>
  <si>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</si>
  <si>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</si>
  <si>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</si>
  <si>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</si>
  <si>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</si>
  <si>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</si>
  <si>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</si>
  <si>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</si>
  <si>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</si>
  <si>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</si>
  <si>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</si>
  <si>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</si>
  <si>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</si>
  <si>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</si>
  <si>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</si>
  <si>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</si>
  <si>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</si>
  <si>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</si>
  <si>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</si>
  <si>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</si>
  <si>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</si>
  <si>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</si>
  <si>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</si>
  <si>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</si>
  <si>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</si>
  <si>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</si>
  <si>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</si>
  <si>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</si>
  <si>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</si>
  <si>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</si>
  <si>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</si>
  <si>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</si>
  <si>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</si>
  <si>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</si>
  <si>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</si>
  <si>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</si>
  <si>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</si>
  <si>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</si>
  <si>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</si>
  <si>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</si>
  <si>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</si>
  <si>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</si>
  <si>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</si>
  <si>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</si>
  <si>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</si>
  <si>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</si>
  <si>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</si>
  <si>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</si>
  <si>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</si>
  <si>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</si>
  <si>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</si>
  <si>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</si>
  <si>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</si>
  <si>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</si>
  <si>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</si>
  <si>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</si>
  <si>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</si>
  <si>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</si>
  <si>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</si>
  <si>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</si>
  <si>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</si>
  <si>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</si>
  <si>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</si>
  <si>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</si>
  <si>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</si>
  <si>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</si>
  <si>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</si>
  <si>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</si>
  <si>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</si>
  <si>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</si>
  <si>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</si>
  <si>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</si>
  <si>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</si>
  <si>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</si>
  <si>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</si>
  <si>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</si>
  <si>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</si>
  <si>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</si>
  <si>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</si>
  <si>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</si>
  <si>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</si>
  <si>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</si>
  <si>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</si>
  <si>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</si>
  <si>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</si>
  <si>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</si>
  <si>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</si>
  <si>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</si>
  <si>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</si>
  <si>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</si>
  <si>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</si>
  <si>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</si>
  <si>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</si>
  <si>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</si>
  <si>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</si>
  <si>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</si>
  <si>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</si>
  <si>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</si>
  <si>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</si>
  <si>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</si>
  <si>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</si>
  <si>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</si>
  <si>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</si>
  <si>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</si>
  <si>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</si>
  <si>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</si>
  <si>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</si>
  <si>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</si>
  <si>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</si>
  <si>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</si>
  <si>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</si>
  <si>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</si>
  <si>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</si>
  <si>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</si>
  <si>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</si>
  <si>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</si>
  <si>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</si>
  <si>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</si>
  <si>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</si>
  <si>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</si>
  <si>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</si>
  <si>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</si>
  <si>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</si>
  <si>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</si>
  <si>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</si>
  <si>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</si>
  <si>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</si>
  <si>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</si>
  <si>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</si>
  <si>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</si>
  <si>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</si>
  <si>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</si>
  <si>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</si>
  <si>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</si>
  <si>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</si>
  <si>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</si>
  <si>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</si>
  <si>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</si>
  <si>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</si>
  <si>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</si>
  <si>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</si>
  <si>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</si>
  <si>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</si>
  <si>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</si>
  <si>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</si>
  <si>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</si>
  <si>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</si>
  <si>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</si>
  <si>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</si>
  <si>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</si>
  <si>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</si>
  <si>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</si>
  <si>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</si>
  <si>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</si>
  <si>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</si>
  <si>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</si>
  <si>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</si>
  <si>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</si>
  <si>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</si>
  <si>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</si>
  <si>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</si>
  <si>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</si>
  <si>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</si>
  <si>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</si>
  <si>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</si>
  <si>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</si>
  <si>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</si>
  <si>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</si>
  <si>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</si>
  <si>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</si>
  <si>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</si>
  <si>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</si>
  <si>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</si>
  <si>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</si>
  <si>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</si>
  <si>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</si>
  <si>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</si>
  <si>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</si>
  <si>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</si>
  <si>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</si>
  <si>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</si>
  <si>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</si>
  <si>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</si>
  <si>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</si>
  <si>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</si>
  <si>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</si>
  <si>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</si>
  <si>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</si>
  <si>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</si>
  <si>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</si>
  <si>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</si>
  <si>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</si>
  <si>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</si>
  <si>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</si>
  <si>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</si>
  <si>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</si>
  <si>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</si>
  <si>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</si>
  <si>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</si>
  <si>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</si>
  <si>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</si>
  <si>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</si>
  <si>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</si>
  <si>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</si>
  <si>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</si>
  <si>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</si>
  <si>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</si>
  <si>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</si>
  <si>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</si>
  <si>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</si>
  <si>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</si>
  <si>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</si>
  <si>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</si>
  <si>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</si>
  <si>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</si>
  <si>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</si>
  <si>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</si>
  <si>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</si>
  <si>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</si>
  <si>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</si>
  <si>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</si>
  <si>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</si>
  <si>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</si>
  <si>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</si>
  <si>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</si>
  <si>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</si>
  <si>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</si>
  <si>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</si>
  <si>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</si>
  <si>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</si>
  <si>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</si>
  <si>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</si>
  <si>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</si>
  <si>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</si>
  <si>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</si>
  <si>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</si>
  <si>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</si>
  <si>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</si>
  <si>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</si>
  <si>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</si>
  <si>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</si>
  <si>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</si>
  <si>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</si>
  <si>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</si>
  <si>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</si>
  <si>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</si>
  <si>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</si>
  <si>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</si>
  <si>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</si>
  <si>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</si>
  <si>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</si>
  <si>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</si>
  <si>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</si>
  <si>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</si>
  <si>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</si>
  <si>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</si>
  <si>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</si>
  <si>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</si>
  <si>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</si>
  <si>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</si>
  <si>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</si>
  <si>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</si>
  <si>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</si>
  <si>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</si>
  <si>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</si>
  <si>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</si>
  <si>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</si>
  <si>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</si>
  <si>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</si>
  <si>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</si>
  <si>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</si>
  <si>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</si>
  <si>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</si>
  <si>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</si>
  <si>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</si>
  <si>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</si>
  <si>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</si>
  <si>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</si>
  <si>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</si>
  <si>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</si>
  <si>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</si>
  <si>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</si>
  <si>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</si>
  <si>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</si>
  <si>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</si>
  <si>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</si>
  <si>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</si>
  <si>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</si>
  <si>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</si>
  <si>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</si>
  <si>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</si>
  <si>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</si>
  <si>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</si>
  <si>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</si>
  <si>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</si>
  <si>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</si>
  <si>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</si>
  <si>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</si>
  <si>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</si>
  <si>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</si>
  <si>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</si>
  <si>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</si>
  <si>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</si>
  <si>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</si>
  <si>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</si>
  <si>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</si>
  <si>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</si>
  <si>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</si>
  <si>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</si>
  <si>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</si>
  <si>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</si>
  <si>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</si>
  <si>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</si>
  <si>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</si>
  <si>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</si>
  <si>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</si>
  <si>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</si>
  <si>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</si>
  <si>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</si>
  <si>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</si>
  <si>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</si>
  <si>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</si>
  <si>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</si>
  <si>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</si>
  <si>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</si>
  <si>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</si>
  <si>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</si>
  <si>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</si>
  <si>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</si>
  <si>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</si>
  <si>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</si>
  <si>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</si>
  <si>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</si>
  <si>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</si>
  <si>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</si>
  <si>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</si>
  <si>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</si>
  <si>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</si>
  <si>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</si>
  <si>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</si>
  <si>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</si>
  <si>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</si>
  <si>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</si>
  <si>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</si>
  <si>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</si>
  <si>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</si>
  <si>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</si>
  <si>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</si>
  <si>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</si>
  <si>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</si>
  <si>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</si>
  <si>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</si>
  <si>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</si>
  <si>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</si>
  <si>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</si>
  <si>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</si>
  <si>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</si>
  <si>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</si>
  <si>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</si>
  <si>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</si>
  <si>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</si>
  <si>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</si>
  <si>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</si>
  <si>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</si>
  <si>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</si>
  <si>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</si>
  <si>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</si>
  <si>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</si>
  <si>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</si>
  <si>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</si>
  <si>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</si>
  <si>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</si>
  <si>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</si>
  <si>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</si>
  <si>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</si>
  <si>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</si>
  <si>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</si>
  <si>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</si>
  <si>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</si>
  <si>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</si>
  <si>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</si>
  <si>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</si>
  <si>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</si>
  <si>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</si>
  <si>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</si>
  <si>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</si>
  <si>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</si>
  <si>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</si>
  <si>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</si>
  <si>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</si>
  <si>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</si>
  <si>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</si>
  <si>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</si>
  <si>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</si>
  <si>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</si>
  <si>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</si>
  <si>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</si>
  <si>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</si>
  <si>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</si>
  <si>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</si>
  <si>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</si>
  <si>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</si>
  <si>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</si>
  <si>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</si>
  <si>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</si>
  <si>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</si>
  <si>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</si>
  <si>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</si>
  <si>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</si>
  <si>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</si>
  <si>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</si>
  <si>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</si>
  <si>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</si>
  <si>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</si>
  <si>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</si>
  <si>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</si>
  <si>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</si>
  <si>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</si>
  <si>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</si>
  <si>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</si>
  <si>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</si>
  <si>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</si>
  <si>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</si>
  <si>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</si>
  <si>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</si>
  <si>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</si>
  <si>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</si>
  <si>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</si>
  <si>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</si>
  <si>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</si>
  <si>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</si>
  <si>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</si>
  <si>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</si>
  <si>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</si>
  <si>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</si>
  <si>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</si>
  <si>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</si>
  <si>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</si>
  <si>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</si>
  <si>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</si>
  <si>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</si>
  <si>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</si>
  <si>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</si>
  <si>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</si>
  <si>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</si>
  <si>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</si>
  <si>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</si>
  <si>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</si>
  <si>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</si>
  <si>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</si>
  <si>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</si>
  <si>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</si>
  <si>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</si>
  <si>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</si>
  <si>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</si>
  <si>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</si>
  <si>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</si>
  <si>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</si>
  <si>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</si>
  <si>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</si>
  <si>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</si>
  <si>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</si>
  <si>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</si>
  <si>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</si>
  <si>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</si>
  <si>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</si>
  <si>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</si>
  <si>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</si>
  <si>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</si>
  <si>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</si>
  <si>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</si>
  <si>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</si>
  <si>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</si>
  <si>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</si>
  <si>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</si>
  <si>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</si>
  <si>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</si>
  <si>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</si>
  <si>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</si>
  <si>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</si>
  <si>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</si>
  <si>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</si>
  <si>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</si>
  <si>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</si>
  <si>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</si>
  <si>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</si>
  <si>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</si>
  <si>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</si>
  <si>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</si>
  <si>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</si>
  <si>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</si>
  <si>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</si>
  <si>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</si>
  <si>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</si>
  <si>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</si>
  <si>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</si>
  <si>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</si>
  <si>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</si>
  <si>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</si>
  <si>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</si>
  <si>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</si>
  <si>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</si>
  <si>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</si>
  <si>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</si>
  <si>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</si>
  <si>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</si>
  <si>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</si>
  <si>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</si>
  <si>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</si>
  <si>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</si>
  <si>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</si>
  <si>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</si>
  <si>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</si>
  <si>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</si>
  <si>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</si>
  <si>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</si>
  <si>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</si>
  <si>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</si>
  <si>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</si>
  <si>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</si>
  <si>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</si>
  <si>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</si>
  <si>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</si>
  <si>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</si>
  <si>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</si>
  <si>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</si>
  <si>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</si>
  <si>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</si>
  <si>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</si>
  <si>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</si>
  <si>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</si>
  <si>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</si>
  <si>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</si>
  <si>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</si>
  <si>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</si>
  <si>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</si>
  <si>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</si>
  <si>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</si>
  <si>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</si>
  <si>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</si>
  <si>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</si>
  <si>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</si>
  <si>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</si>
  <si>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</si>
  <si>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</si>
  <si>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</si>
  <si>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</si>
  <si>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</si>
  <si>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</si>
  <si>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</si>
  <si>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</si>
  <si>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</si>
  <si>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</si>
  <si>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</si>
  <si>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</si>
  <si>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</si>
  <si>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</si>
  <si>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</si>
  <si>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</si>
  <si>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</si>
  <si>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</si>
  <si>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</si>
  <si>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</si>
  <si>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</si>
  <si>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</si>
  <si>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</si>
  <si>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</si>
  <si>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</si>
  <si>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</si>
  <si>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</si>
  <si>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</si>
  <si>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</si>
  <si>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</si>
  <si>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</si>
  <si>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</si>
  <si>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</si>
  <si>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</si>
  <si>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</si>
  <si>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</si>
  <si>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</si>
  <si>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</si>
  <si>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</si>
  <si>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</si>
  <si>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</si>
  <si>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</si>
  <si>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</si>
  <si>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</si>
  <si>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</si>
  <si>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</si>
  <si>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</si>
  <si>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</si>
  <si>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</si>
  <si>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</si>
  <si>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</si>
  <si>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</si>
  <si>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</si>
  <si>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</si>
  <si>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</si>
  <si>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</si>
  <si>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</si>
  <si>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</si>
  <si>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</si>
  <si>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</si>
  <si>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</si>
  <si>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</si>
  <si>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</si>
  <si>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</si>
  <si>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</si>
  <si>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</si>
  <si>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</si>
  <si>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</si>
  <si>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</si>
  <si>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</si>
  <si>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</si>
  <si>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</si>
  <si>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</si>
  <si>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</si>
  <si>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</si>
  <si>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</si>
  <si>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</si>
  <si>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</si>
  <si>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</si>
  <si>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</si>
  <si>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</si>
  <si>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</si>
  <si>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</si>
  <si>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</si>
  <si>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</si>
  <si>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</si>
  <si>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</si>
  <si>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</si>
  <si>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</si>
  <si>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</si>
  <si>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</si>
  <si>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</si>
  <si>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</si>
  <si>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</si>
  <si>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</si>
  <si>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</si>
  <si>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</si>
  <si>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</si>
  <si>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</si>
  <si>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</si>
  <si>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</si>
  <si>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</si>
  <si>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</si>
  <si>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</si>
  <si>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</si>
  <si>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</si>
  <si>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</si>
  <si>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</si>
  <si>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</si>
  <si>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</si>
  <si>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</si>
  <si>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</si>
  <si>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</si>
  <si>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</si>
  <si>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</si>
  <si>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</si>
  <si>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</si>
  <si>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</si>
  <si>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</si>
  <si>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</si>
  <si>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</si>
  <si>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</si>
  <si>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</si>
  <si>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</si>
  <si>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</si>
  <si>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</si>
  <si>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</si>
  <si>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</si>
  <si>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</si>
  <si>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</si>
  <si>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</si>
  <si>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</si>
  <si>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</si>
  <si>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</si>
  <si>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</si>
  <si>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</si>
  <si>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</si>
  <si>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</si>
  <si>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</si>
  <si>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</si>
  <si>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</si>
  <si>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</si>
  <si>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</si>
  <si>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</si>
  <si>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</si>
  <si>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</si>
  <si>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</si>
  <si>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</si>
  <si>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</si>
  <si>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</si>
  <si>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</si>
  <si>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</si>
  <si>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</si>
  <si>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</si>
  <si>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</si>
  <si>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</si>
  <si>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</si>
  <si>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</si>
  <si>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</si>
  <si>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</si>
  <si>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</si>
  <si>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</si>
  <si>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</si>
  <si>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</si>
  <si>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</si>
  <si>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</si>
  <si>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</si>
  <si>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</si>
  <si>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</si>
  <si>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</si>
  <si>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</si>
  <si>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</si>
  <si>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</si>
  <si>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</si>
  <si>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</si>
  <si>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</si>
  <si>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</si>
  <si>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</si>
  <si>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</si>
  <si>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</si>
  <si>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</si>
  <si>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</si>
  <si>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</si>
  <si>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</si>
  <si>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</si>
  <si>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</si>
  <si>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</si>
  <si>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</si>
  <si>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</si>
  <si>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</si>
  <si>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</si>
  <si>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</si>
  <si>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</si>
  <si>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</si>
  <si>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</si>
  <si>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</si>
  <si>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</si>
  <si>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</si>
  <si>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</si>
  <si>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</si>
  <si>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</si>
  <si>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</si>
  <si>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</si>
  <si>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</si>
  <si>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</si>
  <si>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</si>
  <si>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</si>
  <si>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</si>
  <si>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</si>
  <si>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</si>
  <si>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</si>
  <si>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</si>
  <si>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</si>
  <si>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</si>
  <si>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</si>
  <si>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</si>
  <si>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</si>
  <si>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</si>
  <si>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</si>
  <si>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</si>
  <si>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</si>
  <si>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</si>
  <si>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</si>
  <si>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</si>
  <si>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</si>
  <si>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</si>
  <si>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</si>
  <si>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</si>
  <si>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</si>
  <si>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</si>
  <si>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</si>
  <si>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</si>
  <si>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</si>
  <si>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</si>
  <si>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</si>
  <si>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</si>
  <si>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</si>
  <si>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</si>
  <si>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</si>
  <si>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</si>
  <si>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</si>
  <si>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</si>
  <si>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</si>
  <si>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</si>
  <si>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</si>
  <si>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</si>
  <si>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</si>
  <si>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</si>
  <si>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</si>
  <si>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</si>
  <si>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</si>
  <si>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</si>
  <si>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</si>
  <si>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</si>
  <si>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</si>
  <si>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</si>
  <si>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</si>
  <si>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</si>
  <si>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</si>
  <si>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</si>
  <si>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</si>
  <si>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</si>
  <si>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</si>
  <si>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</si>
  <si>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</si>
  <si>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</si>
  <si>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</si>
  <si>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</si>
  <si>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</si>
  <si>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</si>
  <si>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</si>
  <si>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</si>
  <si>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</si>
  <si>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</si>
  <si>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</si>
  <si>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</si>
  <si>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</si>
  <si>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</si>
  <si>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</si>
  <si>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</si>
  <si>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</si>
  <si>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</si>
  <si>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</si>
  <si>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</si>
  <si>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</si>
  <si>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</si>
  <si>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</si>
  <si>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</si>
  <si>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</si>
  <si>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</si>
  <si>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</si>
  <si>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</si>
  <si>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</si>
  <si>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</si>
  <si>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</si>
  <si>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</si>
  <si>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</si>
  <si>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</si>
  <si>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</si>
  <si>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</si>
  <si>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</si>
  <si>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</si>
  <si>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</si>
  <si>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</si>
  <si>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</si>
  <si>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</si>
  <si>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</si>
  <si>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</si>
  <si>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</si>
  <si>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</si>
  <si>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</si>
  <si>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</si>
  <si>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</si>
  <si>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</si>
  <si>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</si>
  <si>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</si>
  <si>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</si>
  <si>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</si>
  <si>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</si>
  <si>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</si>
  <si>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</si>
  <si>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</si>
  <si>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</si>
  <si>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</si>
  <si>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</si>
  <si>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</si>
  <si>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</si>
  <si>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</si>
  <si>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</si>
  <si>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</si>
  <si>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</si>
  <si>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</si>
  <si>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</si>
  <si>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</si>
  <si>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</si>
  <si>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</si>
  <si>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</si>
  <si>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</si>
  <si>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</si>
  <si>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</si>
  <si>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</si>
  <si>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</si>
  <si>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</si>
  <si>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</si>
  <si>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</si>
  <si>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</si>
  <si>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</si>
  <si>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</si>
  <si>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</si>
  <si>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</si>
  <si>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</si>
  <si>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</si>
  <si>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</si>
  <si>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</si>
  <si>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</si>
  <si>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</si>
  <si>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</si>
  <si>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</si>
  <si>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</si>
  <si>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</si>
  <si>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</si>
  <si>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</si>
  <si>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</si>
  <si>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</si>
  <si>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</si>
  <si>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</si>
  <si>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</si>
  <si>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</si>
  <si>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</si>
  <si>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</si>
  <si>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</si>
  <si>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</si>
  <si>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</si>
  <si>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</si>
  <si>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</si>
  <si>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</si>
  <si>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</si>
  <si>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</si>
  <si>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</si>
  <si>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</si>
  <si>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</si>
  <si>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</si>
  <si>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</si>
  <si>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</si>
  <si>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</si>
  <si>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</si>
  <si>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</si>
  <si>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</si>
  <si>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</si>
  <si>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</si>
  <si>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</si>
  <si>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</si>
  <si>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</si>
  <si>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</si>
  <si>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</si>
  <si>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</si>
  <si>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</si>
  <si>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</si>
  <si>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</si>
  <si>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</si>
  <si>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</si>
  <si>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</si>
  <si>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</si>
  <si>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</si>
  <si>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</si>
  <si>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</si>
  <si>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</si>
  <si>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</si>
  <si>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</si>
  <si>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</si>
  <si>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</si>
  <si>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</si>
  <si>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</si>
  <si>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</si>
  <si>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</si>
  <si>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</si>
  <si>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</si>
  <si>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</si>
  <si>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</si>
  <si>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</si>
  <si>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</si>
  <si>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</si>
  <si>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</si>
  <si>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</si>
  <si>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</si>
  <si>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</si>
  <si>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</si>
  <si>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</si>
  <si>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</si>
  <si>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</si>
  <si>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</si>
  <si>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</si>
  <si>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</si>
  <si>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</si>
  <si>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</si>
  <si>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</si>
  <si>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</si>
  <si>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</si>
  <si>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</si>
  <si>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</si>
  <si>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</si>
  <si>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</si>
  <si>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</si>
  <si>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</si>
  <si>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</si>
  <si>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</si>
  <si>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</si>
  <si>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</si>
  <si>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</si>
  <si>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</si>
  <si>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</si>
  <si>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</si>
  <si>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</si>
  <si>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</si>
  <si>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</si>
  <si>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</si>
  <si>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</si>
  <si>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</si>
  <si>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</si>
  <si>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</si>
  <si>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</si>
  <si>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</si>
  <si>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</si>
  <si>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</si>
  <si>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</si>
  <si>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</si>
  <si>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</si>
  <si>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</si>
  <si>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</si>
  <si>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</si>
  <si>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</si>
  <si>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</si>
  <si>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</si>
  <si>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</si>
  <si>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</si>
  <si>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</si>
  <si>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</si>
  <si>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</si>
  <si>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</si>
  <si>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</si>
  <si>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</si>
  <si>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</si>
  <si>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</si>
  <si>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</si>
  <si>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</si>
  <si>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</si>
  <si>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</si>
  <si>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</si>
  <si>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</si>
  <si>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</si>
  <si>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</si>
  <si>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</si>
  <si>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</si>
  <si>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</si>
  <si>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</si>
  <si>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</si>
  <si>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</si>
  <si>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</si>
  <si>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</si>
  <si>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</si>
  <si>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</si>
  <si>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</si>
  <si>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</si>
  <si>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</si>
  <si>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</si>
  <si>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</si>
  <si>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</si>
  <si>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</si>
  <si>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</si>
  <si>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</si>
  <si>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</si>
  <si>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</si>
  <si>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</si>
  <si>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</si>
  <si>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</si>
  <si>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</si>
  <si>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</si>
  <si>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</si>
  <si>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</si>
  <si>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</si>
  <si>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</si>
  <si>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</si>
  <si>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</si>
  <si>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</si>
  <si>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</si>
  <si>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</si>
  <si>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</si>
  <si>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</si>
  <si>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</si>
  <si>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</si>
  <si>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</si>
  <si>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</si>
  <si>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</si>
  <si>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</si>
  <si>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</si>
  <si>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</si>
  <si>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</si>
  <si>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</si>
  <si>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</si>
  <si>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</si>
  <si>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</si>
  <si>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</si>
  <si>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</si>
  <si>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</si>
  <si>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</si>
  <si>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</si>
  <si>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</si>
  <si>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</si>
  <si>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</si>
  <si>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</si>
  <si>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</si>
  <si>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</si>
  <si>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</si>
  <si>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</si>
  <si>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</si>
  <si>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</si>
  <si>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</si>
  <si>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</si>
  <si>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</si>
  <si>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</si>
  <si>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</si>
  <si>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</si>
  <si>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</si>
  <si>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</si>
  <si>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</si>
  <si>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</si>
  <si>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</si>
  <si>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</si>
  <si>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</si>
  <si>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</si>
  <si>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</si>
  <si>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</si>
  <si>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</si>
  <si>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</si>
  <si>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</si>
  <si>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</si>
  <si>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</si>
  <si>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</si>
  <si>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</si>
  <si>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</si>
  <si>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</si>
  <si>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</si>
  <si>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</si>
  <si>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</si>
  <si>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</si>
  <si>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</si>
  <si>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</si>
  <si>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</si>
  <si>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</si>
  <si>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</si>
  <si>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</si>
  <si>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</si>
  <si>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</si>
  <si>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</si>
  <si>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</si>
  <si>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</si>
  <si>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</si>
  <si>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</si>
  <si>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</si>
  <si>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</si>
  <si>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</si>
  <si>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</si>
  <si>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</si>
  <si>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</si>
  <si>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</si>
  <si>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</si>
  <si>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</si>
  <si>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</si>
  <si>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</si>
  <si>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</si>
  <si>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</si>
  <si>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</si>
  <si>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</si>
  <si>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</si>
  <si>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</si>
  <si>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</si>
  <si>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</si>
  <si>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</si>
  <si>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</si>
  <si>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</si>
  <si>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</si>
  <si>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</si>
  <si>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</si>
  <si>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</si>
  <si>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</si>
  <si>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</si>
  <si>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</si>
  <si>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</si>
  <si>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</si>
  <si>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</si>
  <si>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</si>
  <si>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</si>
  <si>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</si>
  <si>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</si>
  <si>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</si>
  <si>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</si>
  <si>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</si>
  <si>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</si>
  <si>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</si>
  <si>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</si>
  <si>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</si>
  <si>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</si>
  <si>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</si>
  <si>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</si>
  <si>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</si>
  <si>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</si>
  <si>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</si>
  <si>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</si>
  <si>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</si>
  <si>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</si>
  <si>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</si>
  <si>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</si>
  <si>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</si>
  <si>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</si>
  <si>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</si>
  <si>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</si>
  <si>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</si>
  <si>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</si>
  <si>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</si>
  <si>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</si>
  <si>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</si>
  <si>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</si>
  <si>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</si>
  <si>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</si>
  <si>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</si>
  <si>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</si>
  <si>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</si>
  <si>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</si>
  <si>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</si>
  <si>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</si>
  <si>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</si>
  <si>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</si>
  <si>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</si>
  <si>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</si>
  <si>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</si>
  <si>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</si>
  <si>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</si>
  <si>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</si>
  <si>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</si>
  <si>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</si>
  <si>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</si>
  <si>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</si>
  <si>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</si>
  <si>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</si>
  <si>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</si>
  <si>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</si>
  <si>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</si>
  <si>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</si>
  <si>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</si>
  <si>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</si>
  <si>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</si>
  <si>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</si>
  <si>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</si>
  <si>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</si>
  <si>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</si>
  <si>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</si>
  <si>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</si>
  <si>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</si>
  <si>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</si>
  <si>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</si>
  <si>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</si>
  <si>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</si>
  <si>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</si>
  <si>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</si>
  <si>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</si>
  <si>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</si>
  <si>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</si>
  <si>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</si>
  <si>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</si>
  <si>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</si>
  <si>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</si>
  <si>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</si>
  <si>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</si>
  <si>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</si>
  <si>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</si>
  <si>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</si>
  <si>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</si>
  <si>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</si>
  <si>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</si>
  <si>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</si>
  <si>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</si>
  <si>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</si>
  <si>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</si>
  <si>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</si>
  <si>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</si>
  <si>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</si>
  <si>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</si>
  <si>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</si>
  <si>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</si>
  <si>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</si>
  <si>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</si>
  <si>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</si>
  <si>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</si>
  <si>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</si>
  <si>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</si>
  <si>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</si>
  <si>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</si>
  <si>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</si>
  <si>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</si>
  <si>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</si>
  <si>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</si>
  <si>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</si>
  <si>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</si>
  <si>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</si>
  <si>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</si>
  <si>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</si>
  <si>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</si>
  <si>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</si>
  <si>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</si>
  <si>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</si>
  <si>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</si>
  <si>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</si>
  <si>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</si>
  <si>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</si>
  <si>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</si>
  <si>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</si>
  <si>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</si>
  <si>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</si>
  <si>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</si>
  <si>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</si>
  <si>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</si>
  <si>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</si>
  <si>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</si>
  <si>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</si>
  <si>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</si>
  <si>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</si>
  <si>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</si>
  <si>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</si>
  <si>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</si>
  <si>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</si>
  <si>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</si>
  <si>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</si>
  <si>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</si>
  <si>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</si>
  <si>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</si>
  <si>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</si>
  <si>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</si>
  <si>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</si>
  <si>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</si>
  <si>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</si>
  <si>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</si>
  <si>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</si>
  <si>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</si>
  <si>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</si>
  <si>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</si>
  <si>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</si>
  <si>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</si>
  <si>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</si>
  <si>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</si>
  <si>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</si>
  <si>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</si>
  <si>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</si>
  <si>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</si>
  <si>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</si>
  <si>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</si>
  <si>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</si>
  <si>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</si>
  <si>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</si>
  <si>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</si>
  <si>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</si>
  <si>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</si>
  <si>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</si>
  <si>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</si>
  <si>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</si>
  <si>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</si>
  <si>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</si>
  <si>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</si>
  <si>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</si>
  <si>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</si>
  <si>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</si>
  <si>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</si>
  <si>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</si>
  <si>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</si>
  <si>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</si>
  <si>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</si>
  <si>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</si>
  <si>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</si>
  <si>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</si>
  <si>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</si>
  <si>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</si>
  <si>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</si>
  <si>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</si>
  <si>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</si>
  <si>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</si>
  <si>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</si>
  <si>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</si>
  <si>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</si>
  <si>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</si>
  <si>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</si>
  <si>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</si>
  <si>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</si>
  <si>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</si>
  <si>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</si>
  <si>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</si>
  <si>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</si>
  <si>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</si>
  <si>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</si>
  <si>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</si>
  <si>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</si>
  <si>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</si>
  <si>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</si>
  <si>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</si>
  <si>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</si>
  <si>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</si>
  <si>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</si>
  <si>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</si>
  <si>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</si>
  <si>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</si>
  <si>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</si>
  <si>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</si>
  <si>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</si>
  <si>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</si>
  <si>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</si>
  <si>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</si>
  <si>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</si>
  <si>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</si>
  <si>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</si>
  <si>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</si>
  <si>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</si>
  <si>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</si>
  <si>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</si>
  <si>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</si>
  <si>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</si>
  <si>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</si>
  <si>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</si>
  <si>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</si>
  <si>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</si>
  <si>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</si>
  <si>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</si>
  <si>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</si>
  <si>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</si>
  <si>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</si>
  <si>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</si>
  <si>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</si>
  <si>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</si>
  <si>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</si>
  <si>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</si>
  <si>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</si>
  <si>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</si>
  <si>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</si>
  <si>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</si>
  <si>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</si>
  <si>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</si>
  <si>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</si>
  <si>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</si>
  <si>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</si>
  <si>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</si>
  <si>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</si>
  <si>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</si>
  <si>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</si>
  <si>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</si>
  <si>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</si>
  <si>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</si>
  <si>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</si>
  <si>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</si>
  <si>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</si>
  <si>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</si>
  <si>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</si>
  <si>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</si>
  <si>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</si>
  <si>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</si>
  <si>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</si>
  <si>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</si>
  <si>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</si>
  <si>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</si>
  <si>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</si>
  <si>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</si>
  <si>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</si>
  <si>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</si>
  <si>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</si>
  <si>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</si>
  <si>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</si>
  <si>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</si>
  <si>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</si>
  <si>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</si>
  <si>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</si>
  <si>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</si>
  <si>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</si>
  <si>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</si>
  <si>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</si>
  <si>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</si>
  <si>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</si>
  <si>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</si>
  <si>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</si>
  <si>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</si>
  <si>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</si>
  <si>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</si>
  <si>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</si>
  <si>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</si>
  <si>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</si>
  <si>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</si>
  <si>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</si>
  <si>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</si>
  <si>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</si>
  <si>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</si>
  <si>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</si>
  <si>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</si>
  <si>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</si>
  <si>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</si>
  <si>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</si>
  <si>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</si>
  <si>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</si>
  <si>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</si>
  <si>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</si>
  <si>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</si>
  <si>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</si>
  <si>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</si>
  <si>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</si>
  <si>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</si>
  <si>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</si>
  <si>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</si>
  <si>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</si>
  <si>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</si>
  <si>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</si>
  <si>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</si>
  <si>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</si>
  <si>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</si>
  <si>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</si>
  <si>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</si>
  <si>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</si>
  <si>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</si>
  <si>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</si>
  <si>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</si>
  <si>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</si>
  <si>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</si>
  <si>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</si>
  <si>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</si>
  <si>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</si>
  <si>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</si>
  <si>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</si>
  <si>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</si>
  <si>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</si>
  <si>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</si>
  <si>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</si>
  <si>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</si>
  <si>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</si>
  <si>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</si>
  <si>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</si>
  <si>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</si>
  <si>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</si>
  <si>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</si>
  <si>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</si>
  <si>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</si>
  <si>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</si>
  <si>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</si>
  <si>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</si>
  <si>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</si>
  <si>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</si>
  <si>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</si>
  <si>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</si>
  <si>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</si>
  <si>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</si>
  <si>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</si>
  <si>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</si>
  <si>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</si>
  <si>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</si>
  <si>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</si>
  <si>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</si>
  <si>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</si>
  <si>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</si>
  <si>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</si>
  <si>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</si>
  <si>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</si>
  <si>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</si>
  <si>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</si>
  <si>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</si>
  <si>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</si>
  <si>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</si>
  <si>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</si>
  <si>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</si>
  <si>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</si>
  <si>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</si>
  <si>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</si>
  <si>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</si>
  <si>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</si>
  <si>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</si>
  <si>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</si>
  <si>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</si>
  <si>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</si>
  <si>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</si>
  <si>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</si>
  <si>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</si>
  <si>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</si>
  <si>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</si>
  <si>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</si>
  <si>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</si>
  <si>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</si>
  <si>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</si>
  <si>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</si>
  <si>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</si>
  <si>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</si>
  <si>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</si>
  <si>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</si>
  <si>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</si>
  <si>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</si>
  <si>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</si>
  <si>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</si>
  <si>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</si>
  <si>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</si>
  <si>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</si>
  <si>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</si>
  <si>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</si>
  <si>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</si>
  <si>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</si>
  <si>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</si>
  <si>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</si>
  <si>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</si>
  <si>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</si>
  <si>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</si>
  <si>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</si>
  <si>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</si>
  <si>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</si>
  <si>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</si>
  <si>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</si>
  <si>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</si>
  <si>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</si>
  <si>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</si>
  <si>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</si>
  <si>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</si>
  <si>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</si>
  <si>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</si>
  <si>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</si>
  <si>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</si>
  <si>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</si>
  <si>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</si>
  <si>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</si>
  <si>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</si>
  <si>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</si>
  <si>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</si>
  <si>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</si>
  <si>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</si>
  <si>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</si>
  <si>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</si>
  <si>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</si>
  <si>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</si>
  <si>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</si>
  <si>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</si>
  <si>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</si>
  <si>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</si>
  <si>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</si>
  <si>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</si>
  <si>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</si>
  <si>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</si>
  <si>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</si>
  <si>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</si>
  <si>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</si>
  <si>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</si>
  <si>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</si>
  <si>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</si>
  <si>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</si>
  <si>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</si>
  <si>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</si>
  <si>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</si>
  <si>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</si>
  <si>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</si>
  <si>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</si>
  <si>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</si>
  <si>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</si>
  <si>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</si>
  <si>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</si>
  <si>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</si>
  <si>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</si>
  <si>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</si>
  <si>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</si>
  <si>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</si>
  <si>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</si>
  <si>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</si>
  <si>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</si>
  <si>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</si>
  <si>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</si>
  <si>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</si>
  <si>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</si>
  <si>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</si>
  <si>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</si>
  <si>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</si>
  <si>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</si>
  <si>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</si>
  <si>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</si>
  <si>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</si>
  <si>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</si>
  <si>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</si>
  <si>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</si>
  <si>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</si>
  <si>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</si>
  <si>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</si>
  <si>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</si>
  <si>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</si>
  <si>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</si>
  <si>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</si>
  <si>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</si>
  <si>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</si>
  <si>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</si>
  <si>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</si>
  <si>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</si>
  <si>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</si>
  <si>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</si>
  <si>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</si>
  <si>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</si>
  <si>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</si>
  <si>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</si>
  <si>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</si>
  <si>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</si>
  <si>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</si>
  <si>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</si>
  <si>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</si>
  <si>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</si>
  <si>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</si>
  <si>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</si>
  <si>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</si>
  <si>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</si>
  <si>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</si>
  <si>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</si>
  <si>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</si>
  <si>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</si>
  <si>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</si>
  <si>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</si>
  <si>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</si>
  <si>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</si>
  <si>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</si>
  <si>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</si>
  <si>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</si>
  <si>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</si>
  <si>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</si>
  <si>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</si>
  <si>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</si>
  <si>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</si>
  <si>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</si>
  <si>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</si>
  <si>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</si>
  <si>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</si>
  <si>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</si>
  <si>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</si>
  <si>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</si>
  <si>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</si>
  <si>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</si>
  <si>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</si>
  <si>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</si>
  <si>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</si>
  <si>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</si>
  <si>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</si>
  <si>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</si>
  <si>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</si>
  <si>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</si>
  <si>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</si>
  <si>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</si>
  <si>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</si>
  <si>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</si>
  <si>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</si>
  <si>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</si>
  <si>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</si>
  <si>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</si>
  <si>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</si>
  <si>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</si>
  <si>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</si>
  <si>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</si>
  <si>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</si>
  <si>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</si>
  <si>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</si>
  <si>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</si>
  <si>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</si>
  <si>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</si>
  <si>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</si>
  <si>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</si>
  <si>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</si>
  <si>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</si>
  <si>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</si>
  <si>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</si>
  <si>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</si>
  <si>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</si>
  <si>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</si>
  <si>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</si>
  <si>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</si>
  <si>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</si>
  <si>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</si>
  <si>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</si>
  <si>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</si>
  <si>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</si>
  <si>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</si>
  <si>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</si>
  <si>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</si>
  <si>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</si>
  <si>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</si>
  <si>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</si>
  <si>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</si>
  <si>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</si>
  <si>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</si>
  <si>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</si>
  <si>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</si>
  <si>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</si>
  <si>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</si>
  <si>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</si>
  <si>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</si>
  <si>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</si>
  <si>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</si>
  <si>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</si>
  <si>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</si>
  <si>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</si>
  <si>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</si>
  <si>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</si>
  <si>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</si>
  <si>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</si>
  <si>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</si>
  <si>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</si>
  <si>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</si>
  <si>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</si>
  <si>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</si>
  <si>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</si>
  <si>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</si>
  <si>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</si>
  <si>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</si>
  <si>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</si>
  <si>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</si>
  <si>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</si>
  <si>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</si>
  <si>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</si>
  <si>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</si>
  <si>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</si>
  <si>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</si>
  <si>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</si>
  <si>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</si>
  <si>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</si>
  <si>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</si>
  <si>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</si>
  <si>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</si>
  <si>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</si>
  <si>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</si>
  <si>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</si>
  <si>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</si>
  <si>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</si>
  <si>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</si>
  <si>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</si>
  <si>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</si>
  <si>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</si>
  <si>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</si>
  <si>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</si>
  <si>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</si>
  <si>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</si>
  <si>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</si>
  <si>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</si>
  <si>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</si>
  <si>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</si>
  <si>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</si>
  <si>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</si>
  <si>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</si>
  <si>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</si>
  <si>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</si>
  <si>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</si>
  <si>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</si>
  <si>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</si>
  <si>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</si>
  <si>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</si>
  <si>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</si>
  <si>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</si>
  <si>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</si>
  <si>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</si>
  <si>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</si>
  <si>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</si>
  <si>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</si>
  <si>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</si>
  <si>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Numeración Propiedad y/o Nombre de la calle</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</si>
  <si>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</si>
  <si>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</si>
  <si>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</si>
  <si>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</si>
  <si>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</si>
  <si>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</si>
  <si>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</si>
  <si>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</si>
  <si>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</si>
  <si>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</si>
  <si>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</si>
  <si>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</si>
  <si>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</si>
  <si>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</si>
  <si>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</si>
  <si>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</si>
  <si>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</si>
  <si>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</si>
  <si>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</si>
  <si>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</si>
  <si>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</si>
  <si>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</si>
  <si>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</si>
  <si>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</si>
  <si>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</si>
  <si>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</si>
  <si>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</si>
  <si>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</si>
  <si>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</si>
  <si>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</si>
  <si>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</si>
  <si>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</si>
  <si>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</si>
  <si>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</si>
  <si>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</si>
  <si>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</si>
  <si>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</si>
  <si>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</si>
  <si>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</si>
  <si>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</si>
  <si>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</si>
  <si>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</si>
  <si>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</si>
  <si>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</si>
  <si>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</si>
  <si>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</si>
  <si>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</si>
  <si>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</si>
  <si>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</si>
  <si>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</si>
  <si>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</si>
  <si>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</si>
  <si>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</si>
  <si>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</si>
  <si>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</si>
  <si>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</si>
  <si>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</si>
  <si>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</si>
  <si>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</si>
  <si>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</si>
  <si>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</si>
  <si>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</si>
  <si>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</si>
  <si>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</si>
  <si>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</si>
  <si>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</si>
  <si>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</si>
  <si>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</si>
  <si>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</si>
  <si>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</si>
  <si>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</si>
  <si>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</si>
  <si>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</si>
  <si>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</si>
  <si>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</si>
  <si>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</si>
  <si>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</si>
  <si>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</si>
  <si>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</si>
  <si>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</si>
  <si>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</si>
  <si>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</si>
  <si>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</si>
  <si>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</si>
  <si>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</si>
  <si>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</si>
  <si>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</si>
  <si>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</si>
  <si>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</si>
  <si>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</si>
  <si>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</si>
  <si>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</si>
  <si>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</si>
  <si>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</si>
  <si>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</si>
  <si>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</si>
  <si>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</si>
  <si>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</si>
  <si>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</si>
  <si>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</si>
  <si>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</si>
  <si>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</si>
  <si>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</si>
  <si>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</si>
  <si>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</si>
  <si>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</si>
  <si>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</si>
  <si>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</si>
  <si>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</si>
  <si>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</si>
  <si>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Bice Hipotecaria</t>
  </si>
  <si>
    <t>SOLO RELLENAR OFERTA SI ES BICE</t>
  </si>
  <si>
    <t>SOLO RELLENAR CBR SI ES BICE</t>
  </si>
  <si>
    <t>Ejecutivo Comercial :</t>
  </si>
  <si>
    <t>Total Recintos</t>
  </si>
  <si>
    <t>Versión Enero2026</t>
  </si>
  <si>
    <t>22.959.221-1</t>
  </si>
  <si>
    <t>Janeth Patricia Cando Arias</t>
  </si>
  <si>
    <t>Geraldine Quivaqui</t>
  </si>
  <si>
    <t>Ana Garrido</t>
  </si>
  <si>
    <t>Coronel Souper N° 4060</t>
  </si>
  <si>
    <t>694-416</t>
  </si>
  <si>
    <t>No habitado</t>
  </si>
  <si>
    <t>Usado</t>
  </si>
  <si>
    <t>No Presenta</t>
  </si>
  <si>
    <t>Edificación</t>
  </si>
  <si>
    <t>N/D</t>
  </si>
  <si>
    <t xml:space="preserve">El bien es un departamento que se encuentra en Coronel Souper N° 4060. El edificio se desarrolla en un volumen de 30 pisos y 3 subterráneos el cual está conectado por 4 ascensores. Los espacios comunes se encuentran en primer piso más azotea y cuenta con sala multiuso, lavandería, gimnasio, quinchos. La propiedad se encuentra en el piso 25 con orientación oeste, tiene 41 m² interiores, sin terraza. El departamento cuenta con living comedor, cocina empotrada, 2 dormitorios, 1 baño de uso común. </t>
  </si>
  <si>
    <t xml:space="preserve"> Ref 54 millones.</t>
  </si>
  <si>
    <t>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Libertador Bernardo Ohiggins.</t>
  </si>
  <si>
    <t>Full Eléctrica</t>
  </si>
  <si>
    <t>Renovación</t>
  </si>
  <si>
    <t>Plano Prop.</t>
  </si>
  <si>
    <t>Libertador Bernardo Ohiggins.</t>
  </si>
  <si>
    <t>MURO FACHADA</t>
  </si>
  <si>
    <t>CERAMICO</t>
  </si>
  <si>
    <t>ALFOMBRA</t>
  </si>
  <si>
    <t>PAPEL</t>
  </si>
  <si>
    <t>Sala multiuso</t>
  </si>
  <si>
    <t xml:space="preserve">living </t>
  </si>
  <si>
    <t>Quinchos</t>
  </si>
  <si>
    <t>Mirador Souper</t>
  </si>
  <si>
    <t>https://www.portalinmobiliario.com/MLC-1936892091-se-vende-departamento-coronel-souper-4060-_JM#polycard_client=search-map&amp;be_origin=backend&amp;search_layout=map&amp;position=28&amp;type=item&amp;tracking_id=8391f4e4-e2fd-4fd4-b5d9-f31adfb543b5&amp;price_drop=not_apply</t>
  </si>
  <si>
    <t>Coronel Souper 4060, Estacion Central</t>
  </si>
  <si>
    <t>56 9 3248 7153</t>
  </si>
  <si>
    <t>Cnel. Souper 3900 - 4200, Estación Central</t>
  </si>
  <si>
    <t>56 9 3399 5948</t>
  </si>
  <si>
    <t>https://www.portalinmobiliario.com/MLC-1882098131-depto-2d-1b-coronel-souper-estacion-central-22608-_JM#polycard_client=search-map&amp;be_origin=backend&amp;search_layout=map&amp;position=37&amp;type=item&amp;tracking_id=9c2312ca-2954-4b3f-9198-627471042778&amp;price_drop=not_apply</t>
  </si>
  <si>
    <t>56 9 4145 5465</t>
  </si>
  <si>
    <t>https://www.portalinmobiliario.com/MLC-1925645209-2d-1b-estacionamiento-_JM#polycard_client=search-map&amp;be_origin=backend&amp;search_layout=map&amp;position=34&amp;type=item&amp;tracking_id=9c2312ca-2954-4b3f-9198-627471042778&amp;price_drop=not_apply</t>
  </si>
  <si>
    <t>https://www.portalinmobiliario.com/MLC-1890330519-departamento-coronel-souper-id-31427-_JM#polycard_client=search-map&amp;be_origin=backend&amp;search_layout=map&amp;position=51&amp;type=item&amp;tracking_id=9c2312ca-2954-4b3f-9198-627471042778&amp;price_drop=not_apply</t>
  </si>
  <si>
    <t>56 9 9205 0952</t>
  </si>
  <si>
    <t>56 9 7561 6017</t>
  </si>
  <si>
    <t>https://www.portalinmobiliario.com/MLC-1871689695-oportunidad-de-inversion-departamento-con-gran-conectividad-_JM#polycard_client=search-map&amp;be_origin=backend&amp;search_layout=map&amp;position=49&amp;type=item&amp;tracking_id=9c2312ca-2954-4b3f-9198-627471042778&amp;price_drop=not_apply</t>
  </si>
  <si>
    <t>9 6318 5818</t>
  </si>
  <si>
    <t>7.774.862-8</t>
  </si>
  <si>
    <t>N°2502 B</t>
  </si>
  <si>
    <t>EDIF DPTO</t>
  </si>
  <si>
    <t>Departamento N°2502 B</t>
  </si>
  <si>
    <t>Andrés Pablo Israel Avram</t>
  </si>
  <si>
    <t>N° 65 28-04-2014</t>
  </si>
  <si>
    <t>N° 03 26-02-2018</t>
  </si>
  <si>
    <t>Coronel Souper N° 4060 dp 1603 B</t>
  </si>
  <si>
    <t>Coronel Souper N° 4060 dp 203</t>
  </si>
  <si>
    <t xml:space="preserve">33924 47556 </t>
  </si>
  <si>
    <t>1975 2808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</si>
</sst>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color theme="1"/>
      <name val="Arial Narrow"/>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s>
  <fills count="32">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s>
  <borders count="116">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50" fillId="0" borderId="0" applyNumberFormat="0" applyFill="0" applyBorder="0" applyAlignment="0" applyProtection="0"/>
    <xf numFmtId="42" fontId="63" fillId="0" borderId="0" applyFont="0" applyFill="0" applyBorder="0" applyAlignment="0" applyProtection="0"/>
  </cellStyleXfs>
  <cellXfs count="2058">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5" xfId="0" applyFont="1" applyFill="1" applyBorder="1" applyAlignment="1" applyProtection="1">
      <alignment vertical="center"/>
      <protection locked="0"/>
    </xf>
    <xf numFmtId="0" fontId="0" fillId="2" borderId="5" xfId="0"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Alignment="1" applyProtection="1">
      <alignment vertical="center" wrapText="1"/>
      <protection locked="0"/>
    </xf>
    <xf numFmtId="0" fontId="1" fillId="2" borderId="0" xfId="0" applyFont="1" applyFill="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Border="1" applyAlignment="1" applyProtection="1">
      <alignment vertical="top" wrapText="1"/>
      <protection locked="0"/>
    </xf>
    <xf numFmtId="0" fontId="0" fillId="2" borderId="0" xfId="0" applyFill="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Protection="1">
      <protection hidden="1"/>
    </xf>
    <xf numFmtId="0" fontId="11" fillId="0" borderId="36" xfId="0" applyFont="1" applyBorder="1" applyAlignment="1">
      <alignment horizontal="left"/>
    </xf>
    <xf numFmtId="0" fontId="1" fillId="0" borderId="36" xfId="0" applyFont="1" applyBorder="1"/>
    <xf numFmtId="0" fontId="1" fillId="0" borderId="36" xfId="0" applyFont="1" applyBorder="1" applyAlignment="1">
      <alignment horizontal="center"/>
    </xf>
    <xf numFmtId="0" fontId="1" fillId="0" borderId="0" xfId="0" applyFont="1"/>
    <xf numFmtId="0" fontId="12" fillId="0" borderId="0" xfId="0" applyFont="1"/>
    <xf numFmtId="0" fontId="13" fillId="0" borderId="0" xfId="0" applyFont="1" applyAlignment="1">
      <alignment vertical="center"/>
    </xf>
    <xf numFmtId="0" fontId="13" fillId="0" borderId="0" xfId="0" applyFont="1" applyAlignment="1">
      <alignment horizontal="right" vertical="center"/>
    </xf>
    <xf numFmtId="0" fontId="13" fillId="0" borderId="0" xfId="0" applyFont="1" applyAlignment="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Protection="1">
      <protection hidden="1"/>
    </xf>
    <xf numFmtId="0" fontId="11" fillId="0" borderId="0" xfId="0" applyFont="1" applyAlignment="1">
      <alignment horizontal="left"/>
    </xf>
    <xf numFmtId="0" fontId="1" fillId="0" borderId="0" xfId="0" applyFont="1" applyAlignment="1">
      <alignment horizontal="center"/>
    </xf>
    <xf numFmtId="0" fontId="15" fillId="0" borderId="18" xfId="0" applyFont="1" applyBorder="1" applyAlignment="1">
      <alignment horizontal="left" vertical="center"/>
    </xf>
    <xf numFmtId="0" fontId="15" fillId="0" borderId="19" xfId="0" applyFont="1" applyBorder="1" applyAlignment="1">
      <alignment horizontal="left" vertical="center"/>
    </xf>
    <xf numFmtId="0" fontId="15" fillId="0" borderId="19" xfId="0" applyFont="1" applyBorder="1" applyAlignment="1">
      <alignment horizontal="center" vertical="center"/>
    </xf>
    <xf numFmtId="0" fontId="0" fillId="0" borderId="19" xfId="0" applyBorder="1" applyAlignment="1">
      <alignment vertical="center"/>
    </xf>
    <xf numFmtId="0" fontId="15" fillId="0" borderId="19" xfId="0" applyFont="1" applyBorder="1" applyAlignment="1">
      <alignment vertical="center"/>
    </xf>
    <xf numFmtId="0" fontId="17" fillId="0" borderId="37" xfId="0" applyFont="1" applyBorder="1" applyAlignment="1">
      <alignment horizontal="left" vertical="center"/>
    </xf>
    <xf numFmtId="0" fontId="15" fillId="0" borderId="23" xfId="0" applyFont="1" applyBorder="1" applyAlignment="1">
      <alignment horizontal="left" vertical="center"/>
    </xf>
    <xf numFmtId="0" fontId="15" fillId="0" borderId="10" xfId="0" applyFont="1" applyBorder="1" applyAlignment="1">
      <alignment vertical="center"/>
    </xf>
    <xf numFmtId="0" fontId="15" fillId="0" borderId="10" xfId="0" applyFont="1" applyBorder="1" applyAlignment="1">
      <alignment horizontal="center" vertical="center"/>
    </xf>
    <xf numFmtId="0" fontId="15" fillId="0" borderId="10" xfId="0" applyFont="1" applyBorder="1" applyAlignment="1">
      <alignment horizontal="left" vertical="center"/>
    </xf>
    <xf numFmtId="0" fontId="0" fillId="0" borderId="10" xfId="0" applyBorder="1" applyAlignment="1">
      <alignment vertical="center"/>
    </xf>
    <xf numFmtId="0" fontId="15" fillId="0" borderId="21" xfId="0" applyFont="1" applyBorder="1" applyAlignment="1">
      <alignment horizontal="left" vertical="center"/>
    </xf>
    <xf numFmtId="0" fontId="15" fillId="0" borderId="0" xfId="0" applyFont="1" applyAlignment="1">
      <alignment vertical="center"/>
    </xf>
    <xf numFmtId="0" fontId="15" fillId="0" borderId="0" xfId="0" applyFont="1" applyAlignment="1">
      <alignment horizontal="left" vertical="center"/>
    </xf>
    <xf numFmtId="0" fontId="15" fillId="0" borderId="0" xfId="0" applyFont="1" applyAlignment="1">
      <alignment horizontal="center" vertical="center"/>
    </xf>
    <xf numFmtId="0" fontId="17" fillId="0" borderId="38" xfId="0" applyFont="1" applyBorder="1" applyAlignment="1">
      <alignment horizontal="left" vertical="center"/>
    </xf>
    <xf numFmtId="0" fontId="15" fillId="0" borderId="0" xfId="0" applyFont="1" applyAlignment="1">
      <alignment horizontal="right" vertical="center"/>
    </xf>
    <xf numFmtId="0" fontId="0" fillId="0" borderId="0" xfId="0" applyAlignment="1">
      <alignment horizontal="left" vertical="center"/>
    </xf>
    <xf numFmtId="0" fontId="0" fillId="0" borderId="0" xfId="0" applyAlignment="1">
      <alignment vertical="center"/>
    </xf>
    <xf numFmtId="0" fontId="17" fillId="0" borderId="0" xfId="0" applyFont="1" applyAlignment="1">
      <alignment horizontal="left" vertical="center"/>
    </xf>
    <xf numFmtId="0" fontId="17" fillId="0" borderId="38" xfId="0" applyFont="1" applyBorder="1" applyAlignment="1">
      <alignment horizontal="center"/>
    </xf>
    <xf numFmtId="0" fontId="1" fillId="0" borderId="0" xfId="0" applyFont="1" applyAlignment="1">
      <alignment horizontal="left" vertical="top"/>
    </xf>
    <xf numFmtId="0" fontId="20" fillId="0" borderId="38" xfId="0" applyFont="1" applyBorder="1" applyAlignment="1">
      <alignment vertical="center"/>
    </xf>
    <xf numFmtId="0" fontId="19" fillId="0" borderId="10" xfId="0" applyFont="1" applyBorder="1" applyAlignment="1">
      <alignment horizontal="left" vertical="top"/>
    </xf>
    <xf numFmtId="0" fontId="0" fillId="0" borderId="0" xfId="0" applyAlignment="1">
      <alignment horizontal="left"/>
    </xf>
    <xf numFmtId="0" fontId="1" fillId="0" borderId="10" xfId="0" applyFont="1" applyBorder="1" applyAlignment="1">
      <alignment horizontal="left" vertical="top"/>
    </xf>
    <xf numFmtId="0" fontId="0" fillId="0" borderId="38"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xf numFmtId="0" fontId="17" fillId="0" borderId="38" xfId="0" applyFont="1" applyBorder="1"/>
    <xf numFmtId="3" fontId="17" fillId="0" borderId="0" xfId="1" applyNumberFormat="1" applyFont="1" applyBorder="1" applyAlignment="1" applyProtection="1">
      <alignment horizontal="left"/>
    </xf>
    <xf numFmtId="0" fontId="15" fillId="0" borderId="0" xfId="0" applyFont="1"/>
    <xf numFmtId="3" fontId="17" fillId="0" borderId="22" xfId="1" applyNumberFormat="1" applyFont="1" applyBorder="1" applyAlignment="1" applyProtection="1">
      <alignment horizontal="left"/>
    </xf>
    <xf numFmtId="0" fontId="19" fillId="0" borderId="21" xfId="0" applyFont="1" applyBorder="1" applyAlignment="1">
      <alignment vertical="top"/>
    </xf>
    <xf numFmtId="0" fontId="19" fillId="0" borderId="0" xfId="0" applyFont="1" applyAlignment="1">
      <alignment vertical="top"/>
    </xf>
    <xf numFmtId="0" fontId="0" fillId="0" borderId="23" xfId="0" applyBorder="1"/>
    <xf numFmtId="0" fontId="0" fillId="0" borderId="24" xfId="0" applyBorder="1"/>
    <xf numFmtId="0" fontId="11" fillId="0" borderId="10" xfId="0" applyFont="1" applyBorder="1" applyAlignment="1">
      <alignment horizontal="left"/>
    </xf>
    <xf numFmtId="0" fontId="15" fillId="0" borderId="10" xfId="0" applyFont="1" applyBorder="1" applyAlignment="1">
      <alignment horizontal="center"/>
    </xf>
    <xf numFmtId="0" fontId="23" fillId="0" borderId="10" xfId="0" applyFont="1" applyBorder="1" applyAlignment="1">
      <alignment horizontal="left"/>
    </xf>
    <xf numFmtId="0" fontId="24" fillId="0" borderId="0" xfId="0" applyFont="1" applyAlignment="1">
      <alignment horizontal="left"/>
    </xf>
    <xf numFmtId="0" fontId="25" fillId="0" borderId="0" xfId="0" applyFont="1"/>
    <xf numFmtId="0" fontId="24" fillId="0" borderId="0" xfId="0" applyFont="1"/>
    <xf numFmtId="0" fontId="24" fillId="0" borderId="10" xfId="0" applyFont="1" applyBorder="1" applyAlignment="1">
      <alignment horizontal="center"/>
    </xf>
    <xf numFmtId="0" fontId="24" fillId="0" borderId="10" xfId="0" applyFont="1" applyBorder="1"/>
    <xf numFmtId="0" fontId="25" fillId="0" borderId="10" xfId="0" applyFont="1" applyBorder="1"/>
    <xf numFmtId="0" fontId="24" fillId="0" borderId="10" xfId="0" applyFont="1" applyBorder="1" applyAlignment="1">
      <alignment horizontal="left"/>
    </xf>
    <xf numFmtId="0" fontId="15" fillId="0" borderId="39" xfId="0" applyFont="1" applyBorder="1" applyAlignment="1">
      <alignment horizontal="right" vertical="center"/>
    </xf>
    <xf numFmtId="0" fontId="11" fillId="0" borderId="13" xfId="0" applyFont="1" applyBorder="1" applyAlignment="1">
      <alignment horizontal="left"/>
    </xf>
    <xf numFmtId="0" fontId="15" fillId="0" borderId="13" xfId="0" applyFont="1" applyBorder="1" applyAlignment="1">
      <alignment horizontal="center"/>
    </xf>
    <xf numFmtId="0" fontId="15" fillId="0" borderId="49" xfId="0" applyFont="1" applyBorder="1" applyAlignment="1">
      <alignment horizontal="left" vertical="center"/>
    </xf>
    <xf numFmtId="0" fontId="15" fillId="0" borderId="13" xfId="0" applyFont="1" applyBorder="1" applyAlignment="1">
      <alignment horizontal="center" vertical="center"/>
    </xf>
    <xf numFmtId="0" fontId="15" fillId="0" borderId="13" xfId="0" applyFont="1" applyBorder="1" applyAlignment="1">
      <alignment horizontal="left" vertical="center"/>
    </xf>
    <xf numFmtId="0" fontId="15" fillId="0" borderId="13" xfId="0" applyFont="1" applyBorder="1" applyAlignment="1">
      <alignment horizontal="right" vertical="center"/>
    </xf>
    <xf numFmtId="0" fontId="21" fillId="0" borderId="13" xfId="0" applyFont="1" applyBorder="1" applyAlignment="1">
      <alignment vertical="center"/>
    </xf>
    <xf numFmtId="0" fontId="21" fillId="0" borderId="50" xfId="0" applyFont="1" applyBorder="1" applyAlignment="1">
      <alignment vertical="center"/>
    </xf>
    <xf numFmtId="0" fontId="0" fillId="0" borderId="0" xfId="0" applyAlignment="1" applyProtection="1">
      <alignment vertical="center"/>
      <protection hidden="1"/>
    </xf>
    <xf numFmtId="0" fontId="15" fillId="0" borderId="13" xfId="0" applyFont="1" applyBorder="1" applyAlignment="1">
      <alignment vertical="center"/>
    </xf>
    <xf numFmtId="0" fontId="0" fillId="0" borderId="38" xfId="0" applyBorder="1" applyAlignment="1">
      <alignment vertical="center"/>
    </xf>
    <xf numFmtId="0" fontId="15" fillId="4" borderId="49" xfId="0" applyFont="1" applyFill="1" applyBorder="1" applyAlignment="1">
      <alignment horizontal="left" vertical="center"/>
    </xf>
    <xf numFmtId="0" fontId="15" fillId="4" borderId="13" xfId="0" applyFont="1" applyFill="1" applyBorder="1" applyAlignment="1">
      <alignment horizontal="center" vertical="center"/>
    </xf>
    <xf numFmtId="0" fontId="15" fillId="4" borderId="13" xfId="0" applyFont="1" applyFill="1" applyBorder="1" applyAlignment="1">
      <alignment horizontal="left" vertical="center"/>
    </xf>
    <xf numFmtId="0" fontId="15" fillId="4" borderId="13" xfId="0" applyFont="1" applyFill="1" applyBorder="1" applyAlignment="1">
      <alignment vertical="center"/>
    </xf>
    <xf numFmtId="0" fontId="21" fillId="4" borderId="13" xfId="0" applyFont="1" applyFill="1" applyBorder="1" applyAlignment="1">
      <alignment vertical="center"/>
    </xf>
    <xf numFmtId="0" fontId="21" fillId="4" borderId="50" xfId="0" applyFont="1" applyFill="1" applyBorder="1" applyAlignment="1">
      <alignment vertical="center"/>
    </xf>
    <xf numFmtId="0" fontId="2" fillId="0" borderId="20" xfId="0" applyFont="1" applyBorder="1" applyAlignment="1" applyProtection="1">
      <alignment horizontal="left" vertical="top" wrapText="1"/>
      <protection locked="0"/>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lignment horizontal="left"/>
    </xf>
    <xf numFmtId="0" fontId="0" fillId="0" borderId="48" xfId="0"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lignment horizontal="left"/>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Alignment="1">
      <alignment vertical="center"/>
    </xf>
    <xf numFmtId="0" fontId="30" fillId="0" borderId="39" xfId="0" applyFont="1" applyBorder="1" applyAlignment="1">
      <alignment vertical="center"/>
    </xf>
    <xf numFmtId="0" fontId="15" fillId="0" borderId="0" xfId="0" applyFont="1" applyAlignment="1" applyProtection="1">
      <alignment vertical="center"/>
      <protection hidden="1"/>
    </xf>
    <xf numFmtId="0" fontId="15" fillId="0" borderId="39" xfId="0" applyFont="1" applyBorder="1" applyAlignment="1">
      <alignment horizontal="center" vertical="center"/>
    </xf>
    <xf numFmtId="0" fontId="15" fillId="2" borderId="39" xfId="0" applyFont="1" applyFill="1" applyBorder="1" applyAlignment="1">
      <alignment horizontal="center" vertical="center"/>
    </xf>
    <xf numFmtId="0" fontId="15" fillId="2" borderId="39" xfId="0" applyFont="1" applyFill="1" applyBorder="1" applyAlignment="1">
      <alignment vertical="center"/>
    </xf>
    <xf numFmtId="0" fontId="0" fillId="0" borderId="53" xfId="0" applyBorder="1" applyProtection="1">
      <protection hidden="1"/>
    </xf>
    <xf numFmtId="0" fontId="15" fillId="0" borderId="39" xfId="0" applyFont="1" applyBorder="1" applyAlignment="1">
      <alignment vertical="center"/>
    </xf>
    <xf numFmtId="0" fontId="17" fillId="0" borderId="49" xfId="0" applyFont="1" applyBorder="1" applyAlignment="1">
      <alignment horizontal="left"/>
    </xf>
    <xf numFmtId="0" fontId="22" fillId="0" borderId="13" xfId="0" applyFont="1" applyBorder="1"/>
    <xf numFmtId="0" fontId="0" fillId="0" borderId="13" xfId="0" applyBorder="1"/>
    <xf numFmtId="0" fontId="0" fillId="0" borderId="50" xfId="0" applyBorder="1"/>
    <xf numFmtId="0" fontId="17" fillId="0" borderId="13" xfId="0" applyFont="1" applyBorder="1"/>
    <xf numFmtId="0" fontId="17" fillId="0" borderId="13" xfId="0" applyFont="1" applyBorder="1" applyAlignment="1">
      <alignment horizontal="center"/>
    </xf>
    <xf numFmtId="0" fontId="17" fillId="0" borderId="50" xfId="0" applyFont="1" applyBorder="1" applyAlignment="1">
      <alignment horizontal="center"/>
    </xf>
    <xf numFmtId="0" fontId="15" fillId="0" borderId="13" xfId="0" applyFont="1" applyBorder="1"/>
    <xf numFmtId="0" fontId="17" fillId="0" borderId="49" xfId="0" applyFont="1" applyBorder="1" applyAlignment="1">
      <alignment horizontal="center" vertical="center"/>
    </xf>
    <xf numFmtId="0" fontId="17" fillId="0" borderId="49" xfId="0" applyFont="1" applyBorder="1" applyAlignment="1">
      <alignment vertical="center"/>
    </xf>
    <xf numFmtId="9" fontId="0" fillId="0" borderId="0" xfId="3" applyFont="1" applyBorder="1" applyProtection="1">
      <protection hidden="1"/>
    </xf>
    <xf numFmtId="0" fontId="31" fillId="0" borderId="13" xfId="0" applyFont="1" applyBorder="1"/>
    <xf numFmtId="0" fontId="31" fillId="0" borderId="10" xfId="0" applyFont="1" applyBorder="1"/>
    <xf numFmtId="0" fontId="15" fillId="0" borderId="10" xfId="0" applyFont="1" applyBorder="1"/>
    <xf numFmtId="0" fontId="22" fillId="0" borderId="50" xfId="0" applyFont="1" applyBorder="1"/>
    <xf numFmtId="9" fontId="0" fillId="0" borderId="38" xfId="0" applyNumberFormat="1" applyBorder="1" applyProtection="1">
      <protection hidden="1"/>
    </xf>
    <xf numFmtId="0" fontId="0" fillId="0" borderId="19" xfId="0" applyBorder="1"/>
    <xf numFmtId="0" fontId="0" fillId="0" borderId="13" xfId="0" applyBorder="1" applyAlignment="1">
      <alignment vertical="center"/>
    </xf>
    <xf numFmtId="0" fontId="10" fillId="0" borderId="13" xfId="0" applyFont="1" applyBorder="1" applyAlignment="1">
      <alignment vertical="center"/>
    </xf>
    <xf numFmtId="0" fontId="33" fillId="0" borderId="13" xfId="0" applyFont="1" applyBorder="1" applyAlignment="1">
      <alignment vertical="center"/>
    </xf>
    <xf numFmtId="3" fontId="34" fillId="0" borderId="13" xfId="1" applyNumberFormat="1" applyFont="1" applyBorder="1" applyAlignment="1" applyProtection="1">
      <alignment horizontal="right" vertical="center"/>
    </xf>
    <xf numFmtId="0" fontId="22" fillId="0" borderId="13" xfId="0" applyFont="1" applyBorder="1" applyAlignment="1">
      <alignment vertical="center"/>
    </xf>
    <xf numFmtId="0" fontId="17" fillId="0" borderId="13" xfId="0" applyFont="1" applyBorder="1" applyAlignment="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lignment horizontal="right"/>
    </xf>
    <xf numFmtId="0" fontId="35" fillId="0" borderId="49" xfId="0" applyFont="1" applyBorder="1" applyAlignment="1">
      <alignment vertical="center"/>
    </xf>
    <xf numFmtId="0" fontId="14" fillId="0" borderId="13" xfId="0" applyFont="1" applyBorder="1" applyAlignment="1">
      <alignment vertical="center"/>
    </xf>
    <xf numFmtId="0" fontId="28" fillId="0" borderId="13" xfId="0" applyFont="1" applyBorder="1" applyAlignment="1">
      <alignment vertical="center"/>
    </xf>
    <xf numFmtId="0" fontId="36" fillId="0" borderId="13" xfId="0" applyFont="1" applyBorder="1" applyAlignment="1">
      <alignment vertical="center"/>
    </xf>
    <xf numFmtId="0" fontId="37" fillId="0" borderId="13" xfId="0" applyFont="1" applyBorder="1" applyAlignment="1">
      <alignment horizontal="left" vertical="center"/>
    </xf>
    <xf numFmtId="0" fontId="38" fillId="0" borderId="13" xfId="0" applyFont="1" applyBorder="1" applyAlignment="1">
      <alignment horizontal="center" vertical="center"/>
    </xf>
    <xf numFmtId="0" fontId="35" fillId="0" borderId="13" xfId="0" applyFont="1" applyBorder="1" applyAlignment="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lignment horizontal="center"/>
    </xf>
    <xf numFmtId="0" fontId="15" fillId="0" borderId="38" xfId="0" applyFont="1" applyBorder="1"/>
    <xf numFmtId="0" fontId="10" fillId="0" borderId="38" xfId="0" applyFont="1" applyBorder="1"/>
    <xf numFmtId="179" fontId="22" fillId="5" borderId="56" xfId="0" applyNumberFormat="1" applyFont="1" applyFill="1" applyBorder="1" applyAlignment="1">
      <alignment horizontal="left" vertical="center"/>
    </xf>
    <xf numFmtId="0" fontId="0" fillId="5" borderId="56" xfId="0" applyFill="1" applyBorder="1" applyAlignment="1">
      <alignment vertical="center"/>
    </xf>
    <xf numFmtId="0" fontId="22" fillId="5" borderId="56" xfId="0" applyFont="1" applyFill="1" applyBorder="1" applyAlignment="1">
      <alignment vertical="center"/>
    </xf>
    <xf numFmtId="14" fontId="0" fillId="0" borderId="38" xfId="0" applyNumberFormat="1" applyBorder="1"/>
    <xf numFmtId="9" fontId="0" fillId="0" borderId="36" xfId="3" applyFont="1" applyBorder="1" applyProtection="1">
      <protection hidden="1"/>
    </xf>
    <xf numFmtId="9" fontId="0" fillId="0" borderId="54" xfId="0" applyNumberFormat="1" applyBorder="1" applyProtection="1">
      <protection hidden="1"/>
    </xf>
    <xf numFmtId="0" fontId="0" fillId="0" borderId="0" xfId="0" applyAlignment="1">
      <alignment vertical="top"/>
    </xf>
    <xf numFmtId="0" fontId="15" fillId="0" borderId="58" xfId="0" applyFont="1" applyBorder="1" applyAlignment="1">
      <alignment horizontal="center" vertical="top"/>
    </xf>
    <xf numFmtId="0" fontId="15" fillId="0" borderId="58" xfId="0" applyFont="1" applyBorder="1" applyAlignment="1">
      <alignment horizontal="right" vertical="top"/>
    </xf>
    <xf numFmtId="0" fontId="40" fillId="0" borderId="38" xfId="0" applyFont="1" applyBorder="1" applyAlignment="1">
      <alignment horizontal="center"/>
    </xf>
    <xf numFmtId="0" fontId="10" fillId="0" borderId="0" xfId="0" applyFont="1" applyAlignment="1">
      <alignment vertical="center"/>
    </xf>
    <xf numFmtId="179" fontId="41" fillId="0" borderId="38" xfId="0" applyNumberFormat="1" applyFont="1" applyBorder="1" applyAlignment="1">
      <alignment horizontal="left"/>
    </xf>
    <xf numFmtId="0" fontId="42" fillId="0" borderId="13" xfId="0" applyFont="1" applyBorder="1"/>
    <xf numFmtId="0" fontId="17" fillId="0" borderId="13" xfId="0" applyFont="1" applyBorder="1" applyAlignment="1">
      <alignment vertical="center"/>
    </xf>
    <xf numFmtId="172" fontId="0" fillId="0" borderId="0" xfId="1" applyNumberFormat="1" applyFont="1" applyBorder="1" applyProtection="1">
      <protection hidden="1"/>
    </xf>
    <xf numFmtId="2" fontId="15" fillId="0" borderId="38" xfId="0" applyNumberFormat="1" applyFont="1" applyBorder="1" applyAlignment="1">
      <alignment horizontal="justify"/>
    </xf>
    <xf numFmtId="0" fontId="0" fillId="0" borderId="0" xfId="0" applyAlignment="1">
      <alignment horizontal="right"/>
    </xf>
    <xf numFmtId="4" fontId="0" fillId="0" borderId="0" xfId="0" applyNumberFormat="1" applyAlignment="1">
      <alignment horizontal="right"/>
    </xf>
    <xf numFmtId="4" fontId="0" fillId="0" borderId="0" xfId="0" applyNumberFormat="1"/>
    <xf numFmtId="0" fontId="14" fillId="0" borderId="19" xfId="0" applyFont="1" applyBorder="1"/>
    <xf numFmtId="0" fontId="20" fillId="0" borderId="13" xfId="0" applyFont="1" applyBorder="1" applyAlignment="1">
      <alignment horizontal="left" vertical="center"/>
    </xf>
    <xf numFmtId="0" fontId="17" fillId="0" borderId="13" xfId="0" applyFont="1" applyBorder="1" applyAlignment="1">
      <alignment horizontal="left" vertical="center"/>
    </xf>
    <xf numFmtId="0" fontId="32" fillId="0" borderId="38" xfId="0" applyFont="1" applyBorder="1" applyAlignment="1">
      <alignment horizontal="justify" vertical="top" wrapText="1"/>
    </xf>
    <xf numFmtId="180" fontId="0" fillId="0" borderId="0" xfId="0" applyNumberFormat="1" applyProtection="1">
      <protection hidden="1"/>
    </xf>
    <xf numFmtId="0" fontId="32" fillId="0" borderId="0" xfId="0" applyFont="1" applyAlignment="1">
      <alignment horizontal="center"/>
    </xf>
    <xf numFmtId="0" fontId="0" fillId="2" borderId="0" xfId="0" applyFill="1" applyProtection="1">
      <protection hidden="1"/>
    </xf>
    <xf numFmtId="0" fontId="32" fillId="0" borderId="0" xfId="0" applyFont="1" applyAlignment="1">
      <alignment horizontal="justify" vertical="top" wrapText="1"/>
    </xf>
    <xf numFmtId="172" fontId="0" fillId="2" borderId="0" xfId="1" applyNumberFormat="1" applyFont="1" applyFill="1" applyBorder="1" applyProtection="1">
      <protection hidden="1"/>
    </xf>
    <xf numFmtId="0" fontId="17" fillId="0" borderId="0" xfId="0" applyFont="1"/>
    <xf numFmtId="169" fontId="0" fillId="0" borderId="0" xfId="1" applyFont="1" applyBorder="1" applyProtection="1"/>
    <xf numFmtId="0" fontId="0" fillId="2" borderId="0" xfId="0" applyFill="1"/>
    <xf numFmtId="172" fontId="0" fillId="2" borderId="0" xfId="0" applyNumberFormat="1" applyFill="1" applyProtection="1">
      <protection hidden="1"/>
    </xf>
    <xf numFmtId="0" fontId="0" fillId="0" borderId="36" xfId="0" applyBorder="1"/>
    <xf numFmtId="0" fontId="17" fillId="0" borderId="10" xfId="0" applyFont="1" applyBorder="1" applyAlignment="1">
      <alignment horizontal="left"/>
    </xf>
    <xf numFmtId="0" fontId="0" fillId="0" borderId="54" xfId="0" applyBorder="1"/>
    <xf numFmtId="0" fontId="15" fillId="0" borderId="36" xfId="0" applyFont="1" applyBorder="1"/>
    <xf numFmtId="0" fontId="0" fillId="2" borderId="60" xfId="0" applyFill="1" applyBorder="1"/>
    <xf numFmtId="0" fontId="0" fillId="2" borderId="36" xfId="0" applyFill="1" applyBorder="1"/>
    <xf numFmtId="0" fontId="1" fillId="3" borderId="0" xfId="0" applyFont="1" applyFill="1" applyProtection="1">
      <protection hidden="1"/>
    </xf>
    <xf numFmtId="0" fontId="44" fillId="2" borderId="21" xfId="0" applyFont="1" applyFill="1" applyBorder="1"/>
    <xf numFmtId="0" fontId="44" fillId="2" borderId="0" xfId="0" applyFont="1" applyFill="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Alignment="1" applyProtection="1">
      <alignment horizontal="center" vertical="center"/>
      <protection hidden="1"/>
    </xf>
    <xf numFmtId="0" fontId="44" fillId="2" borderId="0" xfId="0" applyFont="1" applyFill="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Protection="1">
      <protection hidden="1"/>
    </xf>
    <xf numFmtId="0" fontId="1" fillId="2" borderId="19" xfId="0" applyFont="1" applyFill="1" applyBorder="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Protection="1">
      <protection hidden="1"/>
    </xf>
    <xf numFmtId="0" fontId="1" fillId="2" borderId="0" xfId="0" applyFont="1" applyFill="1" applyProtection="1">
      <protection hidden="1"/>
    </xf>
    <xf numFmtId="0" fontId="44" fillId="2" borderId="0" xfId="0" applyFont="1" applyFill="1" applyProtection="1">
      <protection hidden="1"/>
    </xf>
    <xf numFmtId="0" fontId="44" fillId="0" borderId="22" xfId="0" applyFont="1" applyBorder="1" applyProtection="1">
      <protection hidden="1"/>
    </xf>
    <xf numFmtId="0" fontId="1" fillId="2" borderId="10" xfId="0" applyFont="1" applyFill="1" applyBorder="1" applyProtection="1">
      <protection hidden="1"/>
    </xf>
    <xf numFmtId="0" fontId="44" fillId="2" borderId="10" xfId="0" applyFont="1" applyFill="1" applyBorder="1" applyProtection="1">
      <protection hidden="1"/>
    </xf>
    <xf numFmtId="0" fontId="44" fillId="0" borderId="42" xfId="0" applyFont="1" applyBorder="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Protection="1">
      <protection hidden="1"/>
    </xf>
    <xf numFmtId="0" fontId="44" fillId="0" borderId="22" xfId="0" applyFont="1" applyBorder="1" applyAlignment="1" applyProtection="1">
      <alignment horizontal="left"/>
      <protection hidden="1"/>
    </xf>
    <xf numFmtId="0" fontId="50" fillId="2" borderId="0" xfId="0" applyFont="1" applyFill="1" applyAlignment="1" applyProtection="1">
      <alignment horizontal="center"/>
      <protection hidden="1"/>
    </xf>
    <xf numFmtId="0" fontId="44" fillId="0" borderId="24" xfId="0" applyFont="1" applyBorder="1" applyProtection="1">
      <protection hidden="1"/>
    </xf>
    <xf numFmtId="0" fontId="50" fillId="0" borderId="22" xfId="0" applyFont="1" applyBorder="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Protection="1">
      <protection hidden="1"/>
    </xf>
    <xf numFmtId="0" fontId="21" fillId="2" borderId="0" xfId="0" applyFont="1" applyFill="1"/>
    <xf numFmtId="0" fontId="44" fillId="0" borderId="54" xfId="0" applyFont="1" applyBorder="1" applyProtection="1">
      <protection hidden="1"/>
    </xf>
    <xf numFmtId="0" fontId="1" fillId="0" borderId="0" xfId="0" applyFont="1" applyProtection="1">
      <protection hidden="1"/>
    </xf>
    <xf numFmtId="0" fontId="0" fillId="2" borderId="0" xfId="0" applyFill="1" applyAlignment="1" applyProtection="1">
      <alignment horizontal="center"/>
      <protection hidden="1"/>
    </xf>
    <xf numFmtId="0" fontId="0" fillId="0" borderId="0" xfId="0" applyAlignment="1">
      <alignment horizontal="center"/>
    </xf>
    <xf numFmtId="0" fontId="52" fillId="0" borderId="0" xfId="0" applyFont="1" applyAlignment="1">
      <alignment horizontal="center"/>
    </xf>
    <xf numFmtId="0" fontId="53" fillId="0" borderId="0" xfId="0" applyFont="1"/>
    <xf numFmtId="0" fontId="52" fillId="0" borderId="0" xfId="0" applyFont="1"/>
    <xf numFmtId="0" fontId="54" fillId="0" borderId="0" xfId="0" applyFont="1"/>
    <xf numFmtId="0" fontId="52" fillId="0" borderId="0" xfId="0" applyFont="1" applyAlignment="1">
      <alignment horizontal="right"/>
    </xf>
    <xf numFmtId="0" fontId="55" fillId="0" borderId="0" xfId="0" applyFont="1"/>
    <xf numFmtId="0" fontId="52" fillId="0" borderId="0" xfId="0" applyFont="1" applyAlignment="1">
      <alignment horizontal="left"/>
    </xf>
    <xf numFmtId="0" fontId="52" fillId="0" borderId="43" xfId="0" applyFont="1" applyBorder="1"/>
    <xf numFmtId="0" fontId="52" fillId="0" borderId="67" xfId="0" applyFont="1" applyBorder="1"/>
    <xf numFmtId="0" fontId="52" fillId="0" borderId="67" xfId="0" applyFont="1" applyBorder="1" applyAlignment="1">
      <alignment horizontal="right"/>
    </xf>
    <xf numFmtId="0" fontId="52" fillId="0" borderId="44" xfId="0" applyFont="1" applyBorder="1"/>
    <xf numFmtId="0" fontId="52" fillId="0" borderId="68" xfId="0" applyFont="1" applyBorder="1"/>
    <xf numFmtId="0" fontId="52" fillId="0" borderId="13" xfId="0" applyFont="1" applyBorder="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xf numFmtId="0" fontId="52" fillId="0" borderId="70" xfId="0" applyFont="1" applyBorder="1"/>
    <xf numFmtId="0" fontId="52" fillId="0" borderId="60" xfId="0" applyFont="1" applyBorder="1"/>
    <xf numFmtId="0" fontId="52" fillId="0" borderId="60" xfId="0" applyFont="1" applyBorder="1" applyAlignment="1">
      <alignment horizontal="center"/>
    </xf>
    <xf numFmtId="0" fontId="54" fillId="0" borderId="60" xfId="0" applyFont="1" applyBorder="1"/>
    <xf numFmtId="0" fontId="52" fillId="0" borderId="60" xfId="0" applyFont="1" applyBorder="1" applyAlignment="1">
      <alignment horizontal="right"/>
    </xf>
    <xf numFmtId="0" fontId="52" fillId="0" borderId="71" xfId="0" applyFont="1" applyBorder="1"/>
    <xf numFmtId="0" fontId="52" fillId="0" borderId="0" xfId="0" applyFont="1" applyAlignment="1" applyProtection="1">
      <alignment horizontal="center"/>
      <protection hidden="1"/>
    </xf>
    <xf numFmtId="0" fontId="52" fillId="0" borderId="0" xfId="0" applyFont="1" applyProtection="1">
      <protection hidden="1"/>
    </xf>
    <xf numFmtId="0" fontId="54" fillId="0" borderId="0" xfId="0" applyFont="1" applyProtection="1">
      <protection hidden="1"/>
    </xf>
    <xf numFmtId="0" fontId="52" fillId="0" borderId="0" xfId="0" applyFont="1" applyAlignment="1" applyProtection="1">
      <alignment horizontal="right"/>
      <protection hidden="1"/>
    </xf>
    <xf numFmtId="0" fontId="55" fillId="0" borderId="0" xfId="0" applyFont="1" applyProtection="1">
      <protection hidden="1"/>
    </xf>
    <xf numFmtId="0" fontId="52" fillId="0" borderId="0" xfId="0" applyFont="1" applyAlignment="1" applyProtection="1">
      <alignment horizontal="left"/>
      <protection hidden="1"/>
    </xf>
    <xf numFmtId="0" fontId="21" fillId="0" borderId="0" xfId="0" applyFont="1" applyAlignment="1" applyProtection="1">
      <alignment horizontal="left"/>
      <protection hidden="1"/>
    </xf>
    <xf numFmtId="0" fontId="21" fillId="0" borderId="0" xfId="0" applyFont="1" applyProtection="1">
      <protection hidden="1"/>
    </xf>
    <xf numFmtId="0" fontId="16" fillId="0" borderId="36" xfId="0" applyFont="1" applyBorder="1" applyAlignment="1">
      <alignment vertical="center"/>
    </xf>
    <xf numFmtId="0" fontId="52" fillId="0" borderId="36" xfId="0" applyFont="1" applyBorder="1"/>
    <xf numFmtId="0" fontId="52" fillId="0" borderId="72" xfId="0" applyFont="1" applyBorder="1"/>
    <xf numFmtId="0" fontId="52" fillId="0" borderId="19" xfId="0" applyFont="1" applyBorder="1"/>
    <xf numFmtId="0" fontId="52" fillId="0" borderId="19" xfId="0" applyFont="1" applyBorder="1" applyAlignment="1">
      <alignment horizontal="center"/>
    </xf>
    <xf numFmtId="0" fontId="54" fillId="0" borderId="19" xfId="0" applyFont="1" applyBorder="1"/>
    <xf numFmtId="0" fontId="52" fillId="0" borderId="19" xfId="0" applyFont="1" applyBorder="1" applyAlignment="1">
      <alignment horizontal="right"/>
    </xf>
    <xf numFmtId="0" fontId="52" fillId="0" borderId="52" xfId="0" applyFont="1" applyBorder="1"/>
    <xf numFmtId="0" fontId="49" fillId="2" borderId="43" xfId="0" applyFont="1" applyFill="1" applyBorder="1"/>
    <xf numFmtId="0" fontId="49" fillId="2" borderId="67" xfId="0" applyFont="1" applyFill="1" applyBorder="1"/>
    <xf numFmtId="0" fontId="44" fillId="0" borderId="67" xfId="0" applyFont="1" applyBorder="1"/>
    <xf numFmtId="0" fontId="46" fillId="0" borderId="67" xfId="0" applyFont="1" applyBorder="1"/>
    <xf numFmtId="0" fontId="46" fillId="2" borderId="67" xfId="0" applyFont="1" applyFill="1" applyBorder="1"/>
    <xf numFmtId="0" fontId="46" fillId="2" borderId="44" xfId="0" applyFont="1" applyFill="1" applyBorder="1"/>
    <xf numFmtId="0" fontId="44" fillId="0" borderId="68" xfId="0" applyFont="1" applyBorder="1" applyAlignment="1">
      <alignment horizontal="left" vertical="center"/>
    </xf>
    <xf numFmtId="0" fontId="44" fillId="0" borderId="13" xfId="0" applyFont="1" applyBorder="1" applyAlignment="1">
      <alignment vertical="center"/>
    </xf>
    <xf numFmtId="0" fontId="50" fillId="2" borderId="13" xfId="0" applyFont="1" applyFill="1" applyBorder="1"/>
    <xf numFmtId="0" fontId="50" fillId="2" borderId="13" xfId="0" applyFont="1" applyFill="1" applyBorder="1" applyAlignment="1">
      <alignment horizontal="center"/>
    </xf>
    <xf numFmtId="0" fontId="44" fillId="0" borderId="68" xfId="0" applyFont="1" applyBorder="1"/>
    <xf numFmtId="0" fontId="44" fillId="0" borderId="13" xfId="0" applyFont="1" applyBorder="1"/>
    <xf numFmtId="0" fontId="44" fillId="0" borderId="68" xfId="0" applyFont="1" applyBorder="1" applyAlignment="1">
      <alignment vertical="center"/>
    </xf>
    <xf numFmtId="0" fontId="44" fillId="0" borderId="70" xfId="0" applyFont="1" applyBorder="1" applyAlignment="1">
      <alignment horizontal="left" vertical="center"/>
    </xf>
    <xf numFmtId="0" fontId="44" fillId="0" borderId="60" xfId="0" applyFont="1" applyBorder="1"/>
    <xf numFmtId="0" fontId="50" fillId="2" borderId="60" xfId="0" applyFont="1" applyFill="1" applyBorder="1" applyAlignment="1">
      <alignment horizontal="center"/>
    </xf>
    <xf numFmtId="0" fontId="49" fillId="2" borderId="21" xfId="0" applyFont="1" applyFill="1" applyBorder="1"/>
    <xf numFmtId="0" fontId="49" fillId="2" borderId="0" xfId="0" applyFont="1" applyFill="1"/>
    <xf numFmtId="0" fontId="44" fillId="0" borderId="0" xfId="0" applyFont="1"/>
    <xf numFmtId="0" fontId="46" fillId="0" borderId="0" xfId="0" applyFont="1"/>
    <xf numFmtId="0" fontId="46" fillId="2" borderId="0" xfId="0" applyFont="1" applyFill="1"/>
    <xf numFmtId="0" fontId="44" fillId="0" borderId="44" xfId="0" applyFont="1" applyBorder="1"/>
    <xf numFmtId="0" fontId="50" fillId="2" borderId="68" xfId="0" applyFont="1" applyFill="1" applyBorder="1"/>
    <xf numFmtId="0" fontId="50" fillId="2" borderId="70" xfId="0" applyFont="1" applyFill="1" applyBorder="1"/>
    <xf numFmtId="0" fontId="50" fillId="2" borderId="60" xfId="0" applyFont="1" applyFill="1" applyBorder="1"/>
    <xf numFmtId="0" fontId="44" fillId="2" borderId="60" xfId="0" applyFont="1" applyFill="1" applyBorder="1"/>
    <xf numFmtId="0" fontId="46" fillId="2" borderId="67" xfId="0" applyFont="1" applyFill="1" applyBorder="1" applyAlignment="1">
      <alignment horizontal="left"/>
    </xf>
    <xf numFmtId="0" fontId="46" fillId="0" borderId="67" xfId="0" applyFont="1" applyBorder="1" applyAlignment="1">
      <alignment horizontal="left"/>
    </xf>
    <xf numFmtId="0" fontId="44" fillId="0" borderId="67" xfId="0" applyFont="1" applyBorder="1" applyAlignment="1">
      <alignment horizontal="left"/>
    </xf>
    <xf numFmtId="0" fontId="44" fillId="0" borderId="44" xfId="0" applyFont="1" applyBorder="1" applyAlignment="1">
      <alignment horizontal="left"/>
    </xf>
    <xf numFmtId="0" fontId="44" fillId="2" borderId="68" xfId="0" applyFont="1" applyFill="1" applyBorder="1"/>
    <xf numFmtId="0" fontId="44" fillId="2" borderId="13" xfId="0" applyFont="1" applyFill="1" applyBorder="1"/>
    <xf numFmtId="0" fontId="44" fillId="2" borderId="13" xfId="0" applyFont="1" applyFill="1" applyBorder="1" applyAlignment="1">
      <alignment horizontal="center" vertical="center"/>
    </xf>
    <xf numFmtId="0" fontId="44" fillId="2" borderId="70" xfId="0" applyFont="1" applyFill="1" applyBorder="1"/>
    <xf numFmtId="0" fontId="44" fillId="2" borderId="60" xfId="0" applyFont="1" applyFill="1" applyBorder="1" applyAlignment="1">
      <alignment horizontal="center"/>
    </xf>
    <xf numFmtId="0" fontId="27" fillId="0" borderId="47" xfId="0" applyFont="1" applyBorder="1" applyAlignment="1">
      <alignment horizontal="left"/>
    </xf>
    <xf numFmtId="0" fontId="56" fillId="0" borderId="47" xfId="0" applyFont="1" applyBorder="1" applyAlignment="1">
      <alignment horizontal="justify"/>
    </xf>
    <xf numFmtId="0" fontId="15" fillId="0" borderId="47" xfId="0" applyFont="1" applyBorder="1" applyAlignment="1">
      <alignment horizontal="justify"/>
    </xf>
    <xf numFmtId="0" fontId="15" fillId="0" borderId="37" xfId="0" applyFont="1" applyBorder="1" applyAlignment="1">
      <alignment horizontal="justify"/>
    </xf>
    <xf numFmtId="0" fontId="40" fillId="0" borderId="48" xfId="0" applyFont="1" applyBorder="1" applyAlignment="1">
      <alignment horizontal="left"/>
    </xf>
    <xf numFmtId="0" fontId="40" fillId="0" borderId="0" xfId="0" applyFont="1" applyAlignment="1">
      <alignment horizontal="left"/>
    </xf>
    <xf numFmtId="0" fontId="57" fillId="0" borderId="0" xfId="0" applyFont="1" applyAlignment="1">
      <alignment horizontal="left"/>
    </xf>
    <xf numFmtId="0" fontId="15" fillId="0" borderId="0" xfId="0" applyFont="1" applyAlignment="1">
      <alignment horizontal="justify"/>
    </xf>
    <xf numFmtId="14" fontId="57" fillId="0" borderId="0" xfId="0" applyNumberFormat="1" applyFont="1" applyAlignment="1">
      <alignment horizontal="left"/>
    </xf>
    <xf numFmtId="0" fontId="15" fillId="0" borderId="38" xfId="0" applyFont="1" applyBorder="1" applyAlignment="1">
      <alignment horizontal="justify"/>
    </xf>
    <xf numFmtId="0" fontId="41" fillId="0" borderId="48" xfId="0" applyFont="1" applyBorder="1"/>
    <xf numFmtId="0" fontId="58" fillId="0" borderId="0" xfId="0" applyFont="1" applyAlignment="1">
      <alignment vertical="top"/>
    </xf>
    <xf numFmtId="0" fontId="59" fillId="0" borderId="0" xfId="0" applyFont="1"/>
    <xf numFmtId="0" fontId="1" fillId="0" borderId="0" xfId="0" applyFont="1" applyAlignment="1">
      <alignment vertical="top"/>
    </xf>
    <xf numFmtId="0" fontId="1" fillId="0" borderId="38" xfId="0" applyFont="1" applyBorder="1" applyAlignment="1">
      <alignment vertical="top"/>
    </xf>
    <xf numFmtId="0" fontId="0" fillId="0" borderId="48" xfId="0" applyBorder="1"/>
    <xf numFmtId="0" fontId="44" fillId="0" borderId="53" xfId="0" applyFont="1" applyBorder="1"/>
    <xf numFmtId="0" fontId="44" fillId="0" borderId="36" xfId="0" applyFont="1" applyBorder="1"/>
    <xf numFmtId="0" fontId="44" fillId="0" borderId="54" xfId="0" applyFont="1" applyBorder="1"/>
    <xf numFmtId="0" fontId="0" fillId="0" borderId="51" xfId="0" applyBorder="1"/>
    <xf numFmtId="0" fontId="22" fillId="0" borderId="47" xfId="0" applyFont="1" applyBorder="1"/>
    <xf numFmtId="0" fontId="0" fillId="0" borderId="37" xfId="0" applyBorder="1"/>
    <xf numFmtId="0" fontId="21" fillId="0" borderId="0" xfId="0" applyFont="1" applyAlignment="1">
      <alignment horizontal="left"/>
    </xf>
    <xf numFmtId="0" fontId="15" fillId="0" borderId="59" xfId="0" applyFont="1" applyBorder="1" applyAlignment="1">
      <alignment horizontal="center" vertical="center"/>
    </xf>
    <xf numFmtId="0" fontId="0" fillId="0" borderId="76" xfId="0" applyBorder="1"/>
    <xf numFmtId="0" fontId="59" fillId="0" borderId="43" xfId="0" applyFont="1" applyBorder="1"/>
    <xf numFmtId="0" fontId="0" fillId="0" borderId="67" xfId="0" applyBorder="1"/>
    <xf numFmtId="0" fontId="0" fillId="0" borderId="44" xfId="0" applyBorder="1"/>
    <xf numFmtId="0" fontId="17" fillId="0" borderId="59" xfId="0" applyFont="1" applyBorder="1" applyAlignment="1">
      <alignment horizontal="left" vertical="center"/>
    </xf>
    <xf numFmtId="0" fontId="17" fillId="0" borderId="75" xfId="0" applyFont="1" applyBorder="1" applyAlignment="1">
      <alignment horizontal="left"/>
    </xf>
    <xf numFmtId="0" fontId="17" fillId="0" borderId="59" xfId="0" applyFont="1" applyBorder="1" applyAlignment="1">
      <alignment horizontal="left"/>
    </xf>
    <xf numFmtId="0" fontId="0" fillId="0" borderId="59" xfId="0" applyBorder="1"/>
    <xf numFmtId="0" fontId="21" fillId="0" borderId="59" xfId="0" applyFont="1" applyBorder="1" applyAlignment="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61" fillId="0" borderId="0" xfId="0" applyFont="1"/>
    <xf numFmtId="0" fontId="62" fillId="0" borderId="0" xfId="0" applyFont="1"/>
    <xf numFmtId="173" fontId="17" fillId="0" borderId="76" xfId="0" applyNumberFormat="1" applyFont="1" applyBorder="1" applyAlignment="1">
      <alignment horizontal="left"/>
    </xf>
    <xf numFmtId="0" fontId="19" fillId="0" borderId="48" xfId="0" applyFont="1" applyBorder="1"/>
    <xf numFmtId="0" fontId="1" fillId="0" borderId="48" xfId="0" applyFont="1" applyBorder="1"/>
    <xf numFmtId="0" fontId="22" fillId="0" borderId="0" xfId="0" applyFont="1"/>
    <xf numFmtId="3" fontId="1" fillId="0" borderId="75" xfId="0" applyNumberFormat="1" applyFont="1" applyBorder="1" applyAlignment="1">
      <alignment horizontal="center"/>
    </xf>
    <xf numFmtId="0" fontId="1" fillId="0" borderId="51" xfId="0" applyFont="1" applyBorder="1" applyAlignment="1">
      <alignment horizontal="left"/>
    </xf>
    <xf numFmtId="0" fontId="1" fillId="0" borderId="47" xfId="0" applyFont="1" applyBorder="1" applyAlignment="1">
      <alignment horizontal="left"/>
    </xf>
    <xf numFmtId="177" fontId="1" fillId="0" borderId="47" xfId="0" applyNumberFormat="1" applyFont="1" applyBorder="1" applyAlignment="1">
      <alignment horizontal="center"/>
    </xf>
    <xf numFmtId="0" fontId="1" fillId="0" borderId="47" xfId="0" applyFont="1" applyBorder="1" applyAlignment="1">
      <alignment horizontal="center"/>
    </xf>
    <xf numFmtId="3" fontId="1" fillId="0" borderId="47" xfId="0" applyNumberFormat="1" applyFont="1" applyBorder="1" applyAlignment="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lignment horizontal="center"/>
    </xf>
    <xf numFmtId="0" fontId="19" fillId="0" borderId="47" xfId="0" applyFont="1" applyBorder="1"/>
    <xf numFmtId="0" fontId="1" fillId="0" borderId="38" xfId="0" applyFont="1" applyBorder="1"/>
    <xf numFmtId="4" fontId="1" fillId="0" borderId="53" xfId="0" applyNumberFormat="1" applyFont="1" applyBorder="1"/>
    <xf numFmtId="0" fontId="0" fillId="0" borderId="75" xfId="0" applyBorder="1"/>
    <xf numFmtId="0" fontId="0" fillId="0" borderId="59" xfId="0" applyBorder="1" applyAlignment="1">
      <alignment horizontal="right"/>
    </xf>
    <xf numFmtId="0" fontId="0" fillId="0" borderId="76" xfId="0" applyBorder="1" applyAlignment="1">
      <alignment horizontal="right"/>
    </xf>
    <xf numFmtId="0" fontId="0" fillId="0" borderId="53" xfId="0" applyBorder="1"/>
    <xf numFmtId="0" fontId="18" fillId="0" borderId="13" xfId="0" applyFont="1" applyBorder="1" applyAlignment="1">
      <alignment vertical="center"/>
    </xf>
    <xf numFmtId="0" fontId="18" fillId="0" borderId="50" xfId="0" applyFont="1" applyBorder="1" applyAlignment="1">
      <alignment vertical="center"/>
    </xf>
    <xf numFmtId="0" fontId="19" fillId="0" borderId="36" xfId="0" applyFont="1" applyBorder="1" applyAlignment="1">
      <alignment vertical="top"/>
    </xf>
    <xf numFmtId="0" fontId="15" fillId="0" borderId="49" xfId="0" applyFont="1" applyBorder="1" applyAlignment="1">
      <alignment horizontal="center"/>
    </xf>
    <xf numFmtId="0" fontId="0" fillId="0" borderId="22" xfId="0" applyBorder="1"/>
    <xf numFmtId="0" fontId="64" fillId="0" borderId="0" xfId="0" applyFont="1"/>
    <xf numFmtId="0" fontId="65" fillId="0" borderId="19" xfId="0" applyFont="1" applyBorder="1" applyAlignment="1" applyProtection="1">
      <alignment vertical="center"/>
      <protection locked="0"/>
    </xf>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64" fillId="0" borderId="0" xfId="0" quotePrefix="1" applyFont="1"/>
    <xf numFmtId="0" fontId="32" fillId="0" borderId="38" xfId="0" applyFont="1" applyBorder="1" applyAlignment="1">
      <alignment vertical="top" wrapText="1"/>
    </xf>
    <xf numFmtId="0" fontId="26" fillId="0" borderId="0" xfId="0" applyFont="1" applyAlignment="1">
      <alignment vertical="top" wrapText="1"/>
    </xf>
    <xf numFmtId="0" fontId="26" fillId="0" borderId="22" xfId="0" applyFont="1" applyBorder="1" applyAlignment="1">
      <alignment vertical="top" wrapText="1"/>
    </xf>
    <xf numFmtId="0" fontId="26" fillId="0" borderId="21" xfId="0" applyFont="1" applyBorder="1"/>
    <xf numFmtId="0" fontId="66" fillId="0" borderId="13" xfId="0" applyFont="1" applyBorder="1" applyAlignment="1">
      <alignment vertical="center"/>
    </xf>
    <xf numFmtId="0" fontId="67" fillId="0" borderId="13" xfId="0" applyFont="1" applyBorder="1" applyAlignment="1">
      <alignment vertical="center"/>
    </xf>
    <xf numFmtId="0" fontId="17" fillId="0" borderId="19" xfId="0" applyFont="1" applyBorder="1" applyAlignment="1">
      <alignment horizontal="left" vertical="center"/>
    </xf>
    <xf numFmtId="0" fontId="71" fillId="0" borderId="0" xfId="0" applyFont="1" applyAlignment="1">
      <alignment horizontal="center" vertical="center" textRotation="90"/>
    </xf>
    <xf numFmtId="0" fontId="72" fillId="0" borderId="0" xfId="0" applyFont="1"/>
    <xf numFmtId="0" fontId="72" fillId="6" borderId="0" xfId="0" applyFont="1" applyFill="1"/>
    <xf numFmtId="0" fontId="77" fillId="0" borderId="27" xfId="0" applyFont="1" applyBorder="1"/>
    <xf numFmtId="0" fontId="77" fillId="0" borderId="27" xfId="0" applyFont="1" applyBorder="1" applyAlignment="1">
      <alignment horizontal="left"/>
    </xf>
    <xf numFmtId="0" fontId="72" fillId="0" borderId="66" xfId="0" applyFont="1" applyBorder="1"/>
    <xf numFmtId="0" fontId="77" fillId="0" borderId="0" xfId="0" applyFont="1"/>
    <xf numFmtId="0" fontId="77" fillId="0" borderId="0" xfId="0" applyFont="1" applyAlignment="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Alignment="1">
      <alignment horizontal="center" vertical="center" textRotation="90"/>
    </xf>
    <xf numFmtId="0" fontId="72" fillId="0" borderId="65" xfId="0" applyFont="1" applyBorder="1" applyAlignment="1">
      <alignment horizontal="center"/>
    </xf>
    <xf numFmtId="0" fontId="79" fillId="0" borderId="0" xfId="0" applyFont="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Alignment="1">
      <alignment horizontal="left"/>
    </xf>
    <xf numFmtId="0" fontId="21" fillId="0" borderId="19" xfId="0" applyFont="1" applyBorder="1" applyAlignment="1">
      <alignment horizontal="left" vertical="center"/>
    </xf>
    <xf numFmtId="0" fontId="0" fillId="0" borderId="19" xfId="0" applyBorder="1" applyAlignment="1">
      <alignment horizontal="left"/>
    </xf>
    <xf numFmtId="0" fontId="17" fillId="0" borderId="19" xfId="0" applyFont="1" applyBorder="1" applyAlignment="1">
      <alignment horizontal="left"/>
    </xf>
    <xf numFmtId="0" fontId="22" fillId="0" borderId="19" xfId="0" applyFont="1" applyBorder="1" applyAlignment="1">
      <alignment horizontal="left"/>
    </xf>
    <xf numFmtId="0" fontId="22" fillId="0" borderId="20" xfId="0" applyFont="1" applyBorder="1" applyAlignment="1">
      <alignment horizontal="left"/>
    </xf>
    <xf numFmtId="0" fontId="17" fillId="0" borderId="0" xfId="0" applyFont="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Alignment="1">
      <alignment horizontal="center"/>
    </xf>
    <xf numFmtId="0" fontId="77" fillId="0" borderId="66" xfId="0" applyFont="1" applyBorder="1" applyAlignment="1">
      <alignment horizontal="center" vertical="center" textRotation="180"/>
    </xf>
    <xf numFmtId="0" fontId="44" fillId="8" borderId="0" xfId="0" applyFont="1" applyFill="1" applyAlignment="1" applyProtection="1">
      <alignment horizontal="center" vertical="center"/>
      <protection hidden="1"/>
    </xf>
    <xf numFmtId="0" fontId="21" fillId="0" borderId="0" xfId="0" applyFont="1" applyAlignment="1">
      <alignment horizontal="center"/>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Alignment="1">
      <alignment horizontal="left" vertical="center"/>
    </xf>
    <xf numFmtId="0" fontId="21" fillId="0" borderId="0" xfId="0" applyFont="1"/>
    <xf numFmtId="0" fontId="102" fillId="0" borderId="0" xfId="0" applyFont="1"/>
    <xf numFmtId="0" fontId="70" fillId="2" borderId="0" xfId="0" applyFont="1" applyFill="1" applyAlignment="1">
      <alignment vertical="center" wrapText="1"/>
    </xf>
    <xf numFmtId="0" fontId="71" fillId="0" borderId="102" xfId="0" applyFont="1" applyBorder="1" applyAlignment="1">
      <alignment vertical="center" textRotation="90"/>
    </xf>
    <xf numFmtId="0" fontId="71" fillId="0" borderId="65" xfId="0" applyFont="1" applyBorder="1" applyAlignment="1">
      <alignment vertical="center" textRotation="90"/>
    </xf>
    <xf numFmtId="0" fontId="72" fillId="6" borderId="66" xfId="0" applyFont="1" applyFill="1" applyBorder="1"/>
    <xf numFmtId="0" fontId="21" fillId="0" borderId="0" xfId="0" applyFont="1" applyAlignment="1">
      <alignment vertical="center"/>
    </xf>
    <xf numFmtId="0" fontId="106" fillId="14" borderId="0" xfId="0" applyFont="1" applyFill="1" applyAlignment="1" applyProtection="1">
      <alignment vertical="center"/>
      <protection locked="0"/>
    </xf>
    <xf numFmtId="0" fontId="102" fillId="14" borderId="0" xfId="0" applyFont="1" applyFill="1" applyAlignment="1" applyProtection="1">
      <alignment vertical="center"/>
      <protection locked="0"/>
    </xf>
    <xf numFmtId="0" fontId="71" fillId="10" borderId="10" xfId="0" applyFont="1" applyFill="1" applyBorder="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xf numFmtId="0" fontId="0" fillId="10" borderId="0" xfId="0" applyFill="1"/>
    <xf numFmtId="0" fontId="72" fillId="10" borderId="27" xfId="0" applyFont="1" applyFill="1" applyBorder="1"/>
    <xf numFmtId="0" fontId="72" fillId="10" borderId="0" xfId="0" applyFont="1" applyFill="1"/>
    <xf numFmtId="0" fontId="72" fillId="10" borderId="19" xfId="0" applyFont="1" applyFill="1" applyBorder="1"/>
    <xf numFmtId="0" fontId="14" fillId="0" borderId="0" xfId="0" applyFont="1" applyProtection="1">
      <protection hidden="1"/>
    </xf>
    <xf numFmtId="0" fontId="14" fillId="0" borderId="48" xfId="0" applyFont="1" applyBorder="1" applyProtection="1">
      <protection hidden="1"/>
    </xf>
    <xf numFmtId="0" fontId="14" fillId="0" borderId="0" xfId="0" applyFont="1" applyAlignment="1" applyProtection="1">
      <alignment vertical="center"/>
      <protection hidden="1"/>
    </xf>
    <xf numFmtId="0" fontId="28" fillId="0" borderId="0" xfId="0" applyFont="1" applyProtection="1">
      <protection hidden="1"/>
    </xf>
    <xf numFmtId="0" fontId="10" fillId="0" borderId="0" xfId="0" applyFont="1" applyProtection="1">
      <protection hidden="1"/>
    </xf>
    <xf numFmtId="0" fontId="1" fillId="2" borderId="13" xfId="0" applyFont="1" applyFill="1" applyBorder="1" applyProtection="1">
      <protection hidden="1"/>
    </xf>
    <xf numFmtId="0" fontId="44" fillId="8" borderId="10" xfId="0" applyFont="1" applyFill="1" applyBorder="1" applyAlignment="1" applyProtection="1">
      <alignment horizontal="center"/>
      <protection hidden="1"/>
    </xf>
    <xf numFmtId="0" fontId="0" fillId="0" borderId="0" xfId="0" applyProtection="1">
      <protection locked="0"/>
    </xf>
    <xf numFmtId="0" fontId="0" fillId="0" borderId="27" xfId="0" applyBorder="1" applyProtection="1">
      <protection locked="0"/>
    </xf>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Alignment="1">
      <alignment horizontal="left" vertical="center"/>
    </xf>
    <xf numFmtId="0" fontId="108" fillId="2" borderId="0" xfId="0" applyFont="1" applyFill="1" applyAlignment="1">
      <alignment horizontal="left"/>
    </xf>
    <xf numFmtId="0" fontId="108" fillId="2" borderId="0" xfId="0" applyFont="1" applyFill="1"/>
    <xf numFmtId="0" fontId="77" fillId="2" borderId="0" xfId="0" applyFont="1" applyFill="1" applyAlignment="1">
      <alignment horizontal="center"/>
    </xf>
    <xf numFmtId="0" fontId="108" fillId="2" borderId="0" xfId="0" applyFont="1" applyFill="1" applyAlignment="1">
      <alignment horizontal="left" vertical="center"/>
    </xf>
    <xf numFmtId="0" fontId="105" fillId="0" borderId="0" xfId="0" applyFont="1"/>
    <xf numFmtId="0" fontId="105" fillId="0" borderId="101" xfId="0" applyFont="1" applyBorder="1"/>
    <xf numFmtId="0" fontId="105" fillId="0" borderId="99" xfId="0" applyFont="1" applyBorder="1"/>
    <xf numFmtId="0" fontId="105" fillId="0" borderId="100" xfId="0" applyFont="1" applyBorder="1"/>
    <xf numFmtId="0" fontId="0" fillId="16" borderId="0" xfId="0" applyFill="1"/>
    <xf numFmtId="0" fontId="52" fillId="16" borderId="70" xfId="0" applyFont="1" applyFill="1" applyBorder="1"/>
    <xf numFmtId="0" fontId="52" fillId="16" borderId="60" xfId="0" applyFont="1" applyFill="1" applyBorder="1"/>
    <xf numFmtId="0" fontId="52" fillId="16" borderId="60" xfId="0" applyFont="1" applyFill="1" applyBorder="1" applyAlignment="1">
      <alignment horizontal="center"/>
    </xf>
    <xf numFmtId="0" fontId="54" fillId="16" borderId="60" xfId="0" applyFont="1" applyFill="1" applyBorder="1"/>
    <xf numFmtId="0" fontId="52" fillId="16" borderId="60" xfId="0" applyFont="1" applyFill="1" applyBorder="1" applyAlignment="1">
      <alignment horizontal="right"/>
    </xf>
    <xf numFmtId="0" fontId="52" fillId="16" borderId="71" xfId="0" applyFont="1" applyFill="1" applyBorder="1"/>
    <xf numFmtId="0" fontId="55" fillId="16" borderId="0" xfId="0" applyFont="1" applyFill="1" applyProtection="1">
      <protection hidden="1"/>
    </xf>
    <xf numFmtId="0" fontId="52" fillId="16" borderId="0" xfId="0" applyFont="1" applyFill="1" applyProtection="1">
      <protection hidden="1"/>
    </xf>
    <xf numFmtId="0" fontId="72" fillId="16" borderId="0" xfId="0" applyFont="1" applyFill="1"/>
    <xf numFmtId="0" fontId="47" fillId="0" borderId="0" xfId="0" applyFont="1" applyProtection="1">
      <protection hidden="1"/>
    </xf>
    <xf numFmtId="0" fontId="0" fillId="16" borderId="19" xfId="0" applyFill="1" applyBorder="1"/>
    <xf numFmtId="0" fontId="32" fillId="16" borderId="19" xfId="0" applyFont="1" applyFill="1" applyBorder="1" applyAlignment="1">
      <alignment horizontal="left"/>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Alignment="1" applyProtection="1">
      <alignment vertical="center"/>
      <protection locked="0"/>
    </xf>
    <xf numFmtId="14" fontId="0" fillId="0" borderId="0" xfId="0" applyNumberFormat="1"/>
    <xf numFmtId="0" fontId="79" fillId="0" borderId="0" xfId="0" applyFont="1" applyAlignment="1">
      <alignment vertical="center"/>
    </xf>
    <xf numFmtId="0" fontId="108" fillId="2" borderId="0" xfId="0" applyFont="1" applyFill="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Alignment="1">
      <alignment horizontal="left" vertical="center"/>
    </xf>
    <xf numFmtId="0" fontId="113" fillId="2" borderId="0" xfId="0" applyFont="1" applyFill="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lignment horizontal="center" vertical="center"/>
    </xf>
    <xf numFmtId="0" fontId="0" fillId="0" borderId="75"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90" fillId="0" borderId="0" xfId="0" applyFont="1" applyAlignment="1">
      <alignment horizontal="center" vertical="center" textRotation="90"/>
    </xf>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92" fillId="6" borderId="0" xfId="0" applyFont="1" applyFill="1" applyAlignment="1">
      <alignment horizontal="center" vertical="center"/>
    </xf>
    <xf numFmtId="0" fontId="77" fillId="0" borderId="0" xfId="0" applyFont="1" applyAlignment="1" applyProtection="1">
      <alignment vertical="center"/>
      <protection hidden="1"/>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Alignment="1" applyProtection="1">
      <alignment horizontal="center"/>
      <protection hidden="1"/>
    </xf>
    <xf numFmtId="0" fontId="31" fillId="2" borderId="0" xfId="0" applyFont="1" applyFill="1" applyAlignment="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31" xfId="0" applyBorder="1"/>
    <xf numFmtId="0" fontId="137" fillId="0" borderId="75" xfId="0" applyFont="1" applyBorder="1"/>
    <xf numFmtId="0" fontId="1" fillId="8" borderId="13" xfId="0" applyFont="1" applyFill="1" applyBorder="1" applyAlignment="1" applyProtection="1">
      <alignment horizontal="left" vertical="center" wrapText="1"/>
      <protection locked="0"/>
    </xf>
    <xf numFmtId="0" fontId="50" fillId="8" borderId="23" xfId="0" applyFont="1" applyFill="1" applyBorder="1" applyProtection="1">
      <protection hidden="1"/>
    </xf>
    <xf numFmtId="0" fontId="50" fillId="8" borderId="10" xfId="0" applyFont="1" applyFill="1" applyBorder="1" applyProtection="1">
      <protection hidden="1"/>
    </xf>
    <xf numFmtId="0" fontId="44" fillId="8" borderId="10" xfId="0" applyFont="1" applyFill="1" applyBorder="1" applyProtection="1">
      <protection hidden="1"/>
    </xf>
    <xf numFmtId="0" fontId="17" fillId="0" borderId="0" xfId="0" applyFont="1" applyAlignment="1">
      <alignment horizontal="center"/>
    </xf>
    <xf numFmtId="4" fontId="15" fillId="2" borderId="39" xfId="1" applyNumberFormat="1" applyFont="1" applyFill="1" applyBorder="1" applyAlignment="1" applyProtection="1">
      <alignment horizontal="right" vertical="center"/>
    </xf>
    <xf numFmtId="0" fontId="16" fillId="0" borderId="0" xfId="0" applyFont="1" applyAlignment="1">
      <alignment horizontal="center" vertical="center"/>
    </xf>
    <xf numFmtId="0" fontId="20" fillId="0" borderId="0" xfId="0" applyFont="1" applyAlignment="1">
      <alignment vertical="center"/>
    </xf>
    <xf numFmtId="0" fontId="2" fillId="0" borderId="0" xfId="0" applyFont="1" applyAlignment="1" applyProtection="1">
      <alignment horizontal="left" vertical="top" wrapText="1"/>
      <protection locked="0"/>
    </xf>
    <xf numFmtId="0" fontId="27" fillId="0" borderId="0" xfId="0" applyFont="1" applyAlignment="1">
      <alignment horizontal="left"/>
    </xf>
    <xf numFmtId="0" fontId="29" fillId="0" borderId="0" xfId="0" applyFont="1" applyAlignment="1">
      <alignment horizontal="left" vertical="center"/>
    </xf>
    <xf numFmtId="3" fontId="15" fillId="0" borderId="0" xfId="0" applyNumberFormat="1" applyFont="1" applyAlignment="1">
      <alignment horizontal="center"/>
    </xf>
    <xf numFmtId="3" fontId="15" fillId="0" borderId="0" xfId="0" applyNumberFormat="1" applyFont="1" applyAlignment="1">
      <alignment horizontal="right"/>
    </xf>
    <xf numFmtId="3" fontId="17" fillId="0" borderId="21" xfId="0" applyNumberFormat="1" applyFont="1" applyBorder="1" applyAlignment="1">
      <alignment horizontal="center"/>
    </xf>
    <xf numFmtId="3" fontId="17" fillId="0" borderId="0" xfId="0" applyNumberFormat="1" applyFont="1" applyAlignment="1">
      <alignment horizontal="center"/>
    </xf>
    <xf numFmtId="3" fontId="17" fillId="0" borderId="0" xfId="0" applyNumberFormat="1" applyFont="1" applyAlignment="1">
      <alignment horizontal="right"/>
    </xf>
    <xf numFmtId="3" fontId="17" fillId="0" borderId="0" xfId="1" applyNumberFormat="1" applyFont="1" applyBorder="1" applyAlignment="1" applyProtection="1">
      <alignment horizontal="right" vertical="center"/>
    </xf>
    <xf numFmtId="0" fontId="10" fillId="0" borderId="0" xfId="0" applyFont="1"/>
    <xf numFmtId="0" fontId="40" fillId="0" borderId="0" xfId="0" applyFont="1" applyAlignment="1">
      <alignment horizontal="center"/>
    </xf>
    <xf numFmtId="179" fontId="41" fillId="0" borderId="0" xfId="0" applyNumberFormat="1" applyFont="1" applyAlignment="1">
      <alignment horizontal="left"/>
    </xf>
    <xf numFmtId="2" fontId="15" fillId="0" borderId="0" xfId="0" applyNumberFormat="1" applyFont="1" applyAlignment="1">
      <alignment horizontal="justify"/>
    </xf>
    <xf numFmtId="0" fontId="32" fillId="0" borderId="0" xfId="0" applyFont="1" applyAlignment="1">
      <alignment vertical="top" wrapText="1"/>
    </xf>
    <xf numFmtId="0" fontId="65" fillId="0" borderId="39" xfId="0" applyFont="1" applyBorder="1"/>
    <xf numFmtId="0" fontId="117" fillId="0" borderId="0" xfId="0" applyFont="1"/>
    <xf numFmtId="0" fontId="117" fillId="0" borderId="0" xfId="0" applyFont="1" applyAlignment="1">
      <alignment horizontal="center"/>
    </xf>
    <xf numFmtId="0" fontId="73" fillId="0" borderId="0" xfId="0" applyFont="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Protection="1">
      <protection locked="0"/>
    </xf>
    <xf numFmtId="182" fontId="69" fillId="0" borderId="0" xfId="0" applyNumberFormat="1" applyFont="1" applyAlignment="1" applyProtection="1">
      <alignment horizontal="center"/>
      <protection locked="0"/>
    </xf>
    <xf numFmtId="4" fontId="17" fillId="0" borderId="39" xfId="0" applyNumberFormat="1" applyFont="1" applyBorder="1" applyAlignment="1">
      <alignment horizontal="right"/>
    </xf>
    <xf numFmtId="4" fontId="65" fillId="0" borderId="39" xfId="0" applyNumberFormat="1" applyFont="1" applyBorder="1" applyAlignment="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xf numFmtId="0" fontId="140"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1" fillId="23" borderId="0" xfId="0" applyFont="1" applyFill="1" applyAlignment="1" applyProtection="1">
      <alignment vertical="center"/>
      <protection locked="0"/>
    </xf>
    <xf numFmtId="0" fontId="141"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lignment horizontal="center" vertical="center"/>
    </xf>
    <xf numFmtId="0" fontId="85" fillId="2" borderId="21" xfId="0" applyFont="1" applyFill="1" applyBorder="1" applyProtection="1">
      <protection locked="0"/>
    </xf>
    <xf numFmtId="0" fontId="142" fillId="22" borderId="0" xfId="0" applyFont="1" applyFill="1"/>
    <xf numFmtId="169" fontId="142" fillId="22" borderId="0" xfId="1" applyFont="1" applyFill="1" applyBorder="1" applyProtection="1"/>
    <xf numFmtId="0" fontId="8" fillId="22" borderId="0" xfId="0" applyFont="1" applyFill="1"/>
    <xf numFmtId="0" fontId="104" fillId="22" borderId="0" xfId="0" applyFont="1" applyFill="1" applyProtection="1">
      <protection hidden="1"/>
    </xf>
    <xf numFmtId="0" fontId="52" fillId="22" borderId="51" xfId="0" applyFont="1" applyFill="1" applyBorder="1"/>
    <xf numFmtId="0" fontId="52" fillId="22" borderId="47" xfId="0" applyFont="1" applyFill="1" applyBorder="1"/>
    <xf numFmtId="0" fontId="52" fillId="22" borderId="47" xfId="0" applyFont="1" applyFill="1" applyBorder="1" applyAlignment="1">
      <alignment horizontal="left"/>
    </xf>
    <xf numFmtId="0" fontId="52" fillId="22" borderId="37" xfId="0" applyFont="1" applyFill="1" applyBorder="1"/>
    <xf numFmtId="0" fontId="0" fillId="22" borderId="48" xfId="0" applyFill="1" applyBorder="1"/>
    <xf numFmtId="0" fontId="52" fillId="22" borderId="0" xfId="0" applyFont="1" applyFill="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xf numFmtId="0" fontId="143" fillId="22" borderId="0" xfId="0" applyFont="1" applyFill="1"/>
    <xf numFmtId="0" fontId="104" fillId="22" borderId="0" xfId="0" applyFont="1" applyFill="1"/>
    <xf numFmtId="0" fontId="137" fillId="22" borderId="0" xfId="0" applyFont="1" applyFill="1"/>
    <xf numFmtId="0" fontId="116" fillId="22" borderId="0" xfId="0" applyFont="1" applyFill="1" applyProtection="1">
      <protection hidden="1"/>
    </xf>
    <xf numFmtId="0" fontId="144" fillId="22" borderId="0" xfId="0" applyFont="1" applyFill="1" applyProtection="1">
      <protection hidden="1"/>
    </xf>
    <xf numFmtId="0" fontId="146" fillId="22" borderId="78" xfId="0" applyFont="1" applyFill="1" applyBorder="1"/>
    <xf numFmtId="0" fontId="146" fillId="22" borderId="79" xfId="0" applyFont="1" applyFill="1" applyBorder="1"/>
    <xf numFmtId="0" fontId="137" fillId="22" borderId="0" xfId="0" applyFont="1" applyFill="1" applyProtection="1">
      <protection hidden="1"/>
    </xf>
    <xf numFmtId="0" fontId="72" fillId="0" borderId="19" xfId="0" applyFont="1" applyBorder="1" applyAlignment="1">
      <alignment horizontal="left" vertical="center"/>
    </xf>
    <xf numFmtId="0" fontId="114" fillId="2" borderId="0" xfId="0" applyFont="1" applyFill="1"/>
    <xf numFmtId="0" fontId="114" fillId="0" borderId="0" xfId="0" applyFont="1"/>
    <xf numFmtId="0" fontId="113" fillId="2" borderId="0" xfId="0" applyFont="1" applyFill="1" applyAlignment="1">
      <alignment horizontal="left"/>
    </xf>
    <xf numFmtId="0" fontId="113" fillId="0" borderId="0" xfId="0" applyFont="1"/>
    <xf numFmtId="0" fontId="113" fillId="0" borderId="0" xfId="0" applyFont="1" applyAlignment="1">
      <alignment wrapText="1"/>
    </xf>
    <xf numFmtId="0" fontId="0" fillId="6" borderId="0" xfId="0" applyFill="1"/>
    <xf numFmtId="0" fontId="52" fillId="6" borderId="0" xfId="0" applyFont="1" applyFill="1" applyAlignment="1" applyProtection="1">
      <alignment horizontal="left"/>
      <protection hidden="1"/>
    </xf>
    <xf numFmtId="4" fontId="68" fillId="2" borderId="0" xfId="0" applyNumberFormat="1" applyFont="1" applyFill="1" applyAlignment="1">
      <alignment horizontal="right" vertical="center"/>
    </xf>
    <xf numFmtId="0" fontId="68" fillId="0" borderId="0" xfId="0" applyFont="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 fillId="22" borderId="0" xfId="0" applyFont="1" applyFill="1"/>
    <xf numFmtId="0" fontId="12" fillId="22" borderId="0" xfId="0" applyFont="1" applyFill="1"/>
    <xf numFmtId="0" fontId="148" fillId="22" borderId="0" xfId="0" applyFont="1" applyFill="1"/>
    <xf numFmtId="0" fontId="21" fillId="22" borderId="0" xfId="0" applyFont="1" applyFill="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Alignment="1">
      <alignment vertical="center" wrapText="1"/>
    </xf>
    <xf numFmtId="0" fontId="1" fillId="2" borderId="7" xfId="0" applyFont="1" applyFill="1" applyBorder="1" applyAlignment="1">
      <alignment vertical="center" wrapText="1"/>
    </xf>
    <xf numFmtId="0" fontId="149" fillId="22" borderId="38" xfId="0" applyFont="1" applyFill="1" applyBorder="1" applyAlignment="1">
      <alignment horizontal="center" vertical="center"/>
    </xf>
    <xf numFmtId="167" fontId="150" fillId="2" borderId="10" xfId="10" applyNumberFormat="1" applyFill="1" applyBorder="1" applyAlignment="1" applyProtection="1">
      <alignment horizontal="left" vertical="center"/>
      <protection locked="0"/>
    </xf>
    <xf numFmtId="0" fontId="151" fillId="16" borderId="0" xfId="0" applyFont="1" applyFill="1"/>
    <xf numFmtId="0" fontId="152" fillId="24" borderId="114" xfId="0" applyFont="1" applyFill="1" applyBorder="1" applyAlignment="1">
      <alignment horizontal="right"/>
    </xf>
    <xf numFmtId="0" fontId="153" fillId="24" borderId="114" xfId="0" applyFont="1" applyFill="1" applyBorder="1"/>
    <xf numFmtId="0" fontId="152" fillId="0" borderId="115"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5" fillId="26" borderId="0" xfId="0" applyNumberFormat="1" applyFont="1" applyFill="1" applyAlignment="1">
      <alignment horizontal="center"/>
    </xf>
    <xf numFmtId="0" fontId="154" fillId="26" borderId="0" xfId="0" applyFont="1" applyFill="1" applyAlignment="1">
      <alignment horizontal="center"/>
    </xf>
    <xf numFmtId="4" fontId="153" fillId="24" borderId="114" xfId="0" applyNumberFormat="1" applyFont="1" applyFill="1" applyBorder="1" applyAlignment="1">
      <alignment horizontal="right"/>
    </xf>
    <xf numFmtId="0" fontId="153" fillId="24" borderId="114" xfId="0" applyFont="1" applyFill="1" applyBorder="1" applyAlignment="1">
      <alignment horizontal="right"/>
    </xf>
    <xf numFmtId="0" fontId="79" fillId="0" borderId="0" xfId="0" applyFont="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49" fontId="64" fillId="0" borderId="0" xfId="0" applyNumberFormat="1" applyFont="1"/>
    <xf numFmtId="0" fontId="65" fillId="0" borderId="13" xfId="0" applyFont="1" applyBorder="1"/>
    <xf numFmtId="0" fontId="65" fillId="0" borderId="10" xfId="0" applyFont="1" applyBorder="1"/>
    <xf numFmtId="190" fontId="153" fillId="24" borderId="114" xfId="0" applyNumberFormat="1" applyFont="1" applyFill="1" applyBorder="1" applyAlignment="1">
      <alignment horizontal="right"/>
    </xf>
    <xf numFmtId="191" fontId="153" fillId="24" borderId="114" xfId="0" applyNumberFormat="1" applyFont="1" applyFill="1" applyBorder="1" applyAlignment="1">
      <alignment horizontal="right"/>
    </xf>
    <xf numFmtId="192" fontId="153" fillId="24" borderId="114" xfId="0" applyNumberFormat="1" applyFont="1" applyFill="1" applyBorder="1" applyAlignment="1">
      <alignment horizontal="right"/>
    </xf>
    <xf numFmtId="3" fontId="153" fillId="24" borderId="114"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3" fillId="24" borderId="114" xfId="0" applyFont="1" applyFill="1" applyBorder="1" applyAlignment="1">
      <alignment horizontal="left"/>
    </xf>
    <xf numFmtId="0" fontId="153" fillId="24" borderId="114" xfId="0" applyFont="1" applyFill="1" applyBorder="1" applyAlignment="1">
      <alignment horizontal="left" wrapText="1"/>
    </xf>
    <xf numFmtId="3" fontId="153" fillId="24" borderId="114" xfId="0" applyNumberFormat="1" applyFont="1" applyFill="1" applyBorder="1" applyAlignment="1">
      <alignment horizontal="left"/>
    </xf>
    <xf numFmtId="0" fontId="46" fillId="2" borderId="0" xfId="0" applyFont="1" applyFill="1" applyAlignment="1" applyProtection="1">
      <alignment horizontal="left"/>
      <protection locked="0"/>
    </xf>
    <xf numFmtId="181" fontId="46" fillId="8" borderId="22" xfId="0" applyNumberFormat="1" applyFont="1" applyFill="1" applyBorder="1" applyAlignment="1" applyProtection="1">
      <alignment horizontal="left"/>
      <protection locked="0"/>
    </xf>
    <xf numFmtId="0" fontId="159"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140" fillId="6" borderId="0" xfId="0" applyFont="1" applyFill="1" applyProtection="1">
      <protection hidden="1"/>
    </xf>
    <xf numFmtId="0" fontId="151"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40" fillId="26" borderId="31" xfId="0" applyFont="1" applyFill="1" applyBorder="1" applyAlignment="1">
      <alignment horizontal="center"/>
    </xf>
    <xf numFmtId="3" fontId="151"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40" fillId="31" borderId="0" xfId="0" applyFont="1" applyFill="1"/>
    <xf numFmtId="0" fontId="0" fillId="31" borderId="0" xfId="0" applyFill="1"/>
    <xf numFmtId="0" fontId="140" fillId="31" borderId="0" xfId="0" applyFont="1" applyFill="1" applyProtection="1">
      <protection hidden="1"/>
    </xf>
    <xf numFmtId="0" fontId="143" fillId="19" borderId="0" xfId="0" applyFont="1" applyFill="1"/>
    <xf numFmtId="0" fontId="0" fillId="19" borderId="0" xfId="0" applyFill="1"/>
    <xf numFmtId="0" fontId="162" fillId="19" borderId="0" xfId="0" applyFont="1" applyFill="1"/>
    <xf numFmtId="0" fontId="143" fillId="16" borderId="64" xfId="0" applyFont="1" applyFill="1" applyBorder="1"/>
    <xf numFmtId="0" fontId="159" fillId="16" borderId="83" xfId="0" applyFont="1" applyFill="1" applyBorder="1"/>
    <xf numFmtId="0" fontId="131" fillId="0" borderId="31" xfId="0" applyFont="1" applyBorder="1" applyAlignment="1">
      <alignment horizontal="center"/>
    </xf>
    <xf numFmtId="0" fontId="0" fillId="0" borderId="31" xfId="0" applyBorder="1" applyAlignment="1">
      <alignment horizontal="center"/>
    </xf>
    <xf numFmtId="1" fontId="0" fillId="0" borderId="0" xfId="0" applyNumberFormat="1"/>
    <xf numFmtId="0" fontId="163"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1" fillId="0" borderId="0" xfId="0" applyFont="1"/>
    <xf numFmtId="3" fontId="0" fillId="0" borderId="0" xfId="0" applyNumberFormat="1" applyAlignment="1">
      <alignment horizontal="left"/>
    </xf>
    <xf numFmtId="0" fontId="164"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6" borderId="0" xfId="0" applyFill="1" applyProtection="1">
      <protection hidden="1"/>
    </xf>
    <xf numFmtId="0" fontId="0" fillId="6" borderId="0" xfId="0" applyFill="1" applyAlignment="1">
      <alignment vertical="center"/>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0" fillId="0" borderId="0" xfId="0" applyAlignment="1">
      <alignment horizontal="center"/>
    </xf>
    <xf numFmtId="0" fontId="1" fillId="27" borderId="13" xfId="0" applyFont="1" applyFill="1" applyBorder="1" applyAlignment="1" applyProtection="1">
      <alignment horizontal="center" vertical="center" wrapText="1"/>
      <protection locked="0"/>
    </xf>
    <xf numFmtId="0" fontId="0" fillId="0" borderId="75"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5" fillId="2" borderId="26" xfId="0" applyFont="1" applyFill="1" applyBorder="1" applyAlignment="1" applyProtection="1">
      <alignment horizontal="center" vertical="center"/>
      <protection locked="0"/>
    </xf>
    <xf numFmtId="0" fontId="1" fillId="27" borderId="95" xfId="0" applyFont="1" applyFill="1" applyBorder="1" applyAlignment="1" applyProtection="1">
      <alignment horizontal="left" vertical="center" wrapText="1"/>
      <protection locked="0"/>
    </xf>
    <xf numFmtId="0" fontId="1" fillId="27" borderId="10" xfId="0" applyFont="1" applyFill="1" applyBorder="1" applyAlignment="1" applyProtection="1">
      <alignment horizontal="left" vertical="center" wrapText="1"/>
      <protection locked="0"/>
    </xf>
    <xf numFmtId="0" fontId="1" fillId="27" borderId="0" xfId="0" applyFont="1" applyFill="1" applyAlignment="1" applyProtection="1">
      <alignment horizontal="left" vertical="center" wrapText="1"/>
      <protection locked="0"/>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 borderId="0" xfId="0" applyFont="1" applyFill="1" applyAlignment="1" applyProtection="1">
      <alignment horizontal="center" vertical="center" wrapText="1"/>
      <protection locked="0"/>
    </xf>
    <xf numFmtId="0" fontId="1" fillId="2" borderId="0" xfId="0" applyFont="1" applyFill="1" applyAlignment="1" applyProtection="1">
      <alignmen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Alignment="1" applyProtection="1">
      <alignment horizontal="left" vertical="center" wrapText="1"/>
      <protection locked="0"/>
    </xf>
    <xf numFmtId="0" fontId="1" fillId="27" borderId="18" xfId="0" applyFont="1" applyFill="1" applyBorder="1" applyAlignment="1" applyProtection="1">
      <alignment horizontal="left" vertical="top"/>
      <protection locked="0"/>
    </xf>
    <xf numFmtId="0" fontId="1" fillId="27" borderId="19" xfId="0" applyFont="1" applyFill="1" applyBorder="1" applyAlignment="1" applyProtection="1">
      <alignment horizontal="left" vertical="top"/>
      <protection locked="0"/>
    </xf>
    <xf numFmtId="0" fontId="1" fillId="27" borderId="20" xfId="0" applyFont="1" applyFill="1" applyBorder="1" applyAlignment="1" applyProtection="1">
      <alignment horizontal="left" vertical="top"/>
      <protection locked="0"/>
    </xf>
    <xf numFmtId="0" fontId="1" fillId="27" borderId="21" xfId="0" applyFont="1" applyFill="1" applyBorder="1" applyAlignment="1" applyProtection="1">
      <alignment horizontal="left" vertical="top"/>
      <protection locked="0"/>
    </xf>
    <xf numFmtId="0" fontId="1" fillId="27" borderId="0" xfId="0" applyFont="1" applyFill="1" applyAlignment="1" applyProtection="1">
      <alignment horizontal="left" vertical="top"/>
      <protection locked="0"/>
    </xf>
    <xf numFmtId="0" fontId="1" fillId="27" borderId="22" xfId="0" applyFont="1" applyFill="1" applyBorder="1" applyAlignment="1" applyProtection="1">
      <alignment horizontal="left" vertical="top"/>
      <protection locked="0"/>
    </xf>
    <xf numFmtId="0" fontId="1" fillId="27" borderId="23" xfId="0" applyFont="1" applyFill="1" applyBorder="1" applyAlignment="1" applyProtection="1">
      <alignment horizontal="left" vertical="top"/>
      <protection locked="0"/>
    </xf>
    <xf numFmtId="0" fontId="1" fillId="27" borderId="10" xfId="0" applyFont="1" applyFill="1" applyBorder="1" applyAlignment="1" applyProtection="1">
      <alignment horizontal="left" vertical="top"/>
      <protection locked="0"/>
    </xf>
    <xf numFmtId="0" fontId="1" fillId="27" borderId="24" xfId="0" applyFont="1" applyFill="1" applyBorder="1" applyAlignment="1" applyProtection="1">
      <alignment horizontal="left" vertical="top"/>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Alignment="1" applyProtection="1">
      <alignment horizontal="left" vertical="top" wrapText="1"/>
      <protection locked="0"/>
    </xf>
    <xf numFmtId="0" fontId="1" fillId="2" borderId="19"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0" xfId="0" applyFont="1" applyFill="1" applyAlignment="1" applyProtection="1">
      <alignment horizontal="left" vertical="center"/>
      <protection locked="0"/>
    </xf>
    <xf numFmtId="0" fontId="5" fillId="2" borderId="0" xfId="0" applyFont="1" applyFill="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6" fillId="2" borderId="0" xfId="0" applyFont="1" applyFill="1" applyAlignment="1" applyProtection="1">
      <alignment horizontal="right" vertical="center" wrapText="1"/>
      <protection hidden="1"/>
    </xf>
    <xf numFmtId="0" fontId="6" fillId="2" borderId="0" xfId="0" applyFont="1" applyFill="1" applyAlignment="1" applyProtection="1">
      <alignment horizontal="left" vertical="center" wrapText="1"/>
      <protection hidden="1"/>
    </xf>
    <xf numFmtId="0" fontId="1" fillId="2" borderId="0" xfId="0" applyFont="1" applyFill="1" applyAlignment="1" applyProtection="1">
      <alignment horizontal="center" vertical="center"/>
      <protection locked="0"/>
    </xf>
    <xf numFmtId="0" fontId="143" fillId="19" borderId="31" xfId="0" applyFont="1" applyFill="1" applyBorder="1" applyAlignment="1">
      <alignment horizontal="center" vertical="center"/>
    </xf>
    <xf numFmtId="0" fontId="137" fillId="19" borderId="0" xfId="0" applyFont="1" applyFill="1" applyAlignment="1">
      <alignment horizontal="center" vertical="center"/>
    </xf>
    <xf numFmtId="0" fontId="157" fillId="0" borderId="0" xfId="0" applyFont="1" applyAlignment="1" applyProtection="1">
      <alignment horizontal="center" wrapText="1"/>
      <protection hidden="1"/>
    </xf>
    <xf numFmtId="0" fontId="157" fillId="0" borderId="10" xfId="0" applyFont="1" applyBorder="1" applyAlignment="1" applyProtection="1">
      <alignment horizontal="center" wrapText="1"/>
      <protection hidden="1"/>
    </xf>
    <xf numFmtId="10" fontId="156" fillId="0" borderId="0" xfId="3" applyNumberFormat="1" applyFont="1" applyAlignment="1">
      <alignment horizontal="center" wrapText="1"/>
    </xf>
    <xf numFmtId="10" fontId="156" fillId="0" borderId="36" xfId="3" applyNumberFormat="1" applyFont="1" applyBorder="1" applyAlignment="1">
      <alignment horizontal="center" wrapText="1"/>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lignment horizontal="right" vertical="center"/>
    </xf>
    <xf numFmtId="0" fontId="15" fillId="0" borderId="21" xfId="0" applyFont="1" applyBorder="1" applyAlignment="1">
      <alignment horizontal="left" vertical="center"/>
    </xf>
    <xf numFmtId="0" fontId="15" fillId="0" borderId="0" xfId="0" applyFont="1" applyAlignment="1">
      <alignment horizontal="left" vertical="center"/>
    </xf>
    <xf numFmtId="0" fontId="15" fillId="0" borderId="59" xfId="0" applyFont="1" applyBorder="1" applyAlignment="1">
      <alignment horizontal="left"/>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4" fontId="15" fillId="2" borderId="39" xfId="1" applyNumberFormat="1" applyFont="1" applyFill="1" applyBorder="1" applyAlignment="1" applyProtection="1">
      <alignment horizontal="right" vertical="center"/>
    </xf>
    <xf numFmtId="10" fontId="15" fillId="0" borderId="39" xfId="3" applyNumberFormat="1" applyFont="1" applyBorder="1" applyAlignment="1" applyProtection="1">
      <alignment horizontal="right"/>
      <protection locked="0"/>
    </xf>
    <xf numFmtId="1" fontId="17" fillId="0" borderId="0" xfId="0" applyNumberFormat="1" applyFont="1" applyAlignment="1" applyProtection="1">
      <alignment horizontal="left"/>
      <protection locked="0"/>
    </xf>
    <xf numFmtId="0" fontId="30" fillId="0" borderId="39" xfId="0" applyFont="1" applyBorder="1" applyAlignment="1">
      <alignment vertical="center"/>
    </xf>
    <xf numFmtId="0" fontId="30" fillId="0" borderId="39" xfId="0" applyFont="1" applyBorder="1" applyAlignment="1">
      <alignment horizontal="center" vertical="center"/>
    </xf>
    <xf numFmtId="0" fontId="30" fillId="0" borderId="49" xfId="0" applyFont="1" applyBorder="1" applyAlignment="1">
      <alignment horizontal="center" vertical="center"/>
    </xf>
    <xf numFmtId="4" fontId="15" fillId="0" borderId="39" xfId="1" applyNumberFormat="1" applyFont="1" applyBorder="1" applyAlignment="1" applyProtection="1">
      <alignment horizontal="center" vertical="center"/>
    </xf>
    <xf numFmtId="0" fontId="30" fillId="0" borderId="49" xfId="0" applyFont="1" applyBorder="1" applyAlignment="1">
      <alignment horizontal="center"/>
    </xf>
    <xf numFmtId="0" fontId="30" fillId="0" borderId="13" xfId="0" applyFont="1" applyBorder="1" applyAlignment="1">
      <alignment horizontal="center"/>
    </xf>
    <xf numFmtId="0" fontId="30" fillId="0" borderId="50" xfId="0" applyFont="1" applyBorder="1" applyAlignment="1">
      <alignment horizontal="center"/>
    </xf>
    <xf numFmtId="169" fontId="15" fillId="0" borderId="39" xfId="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0" fontId="143" fillId="22" borderId="48" xfId="0" applyFont="1" applyFill="1" applyBorder="1" applyAlignment="1" applyProtection="1">
      <alignment horizontal="left" wrapText="1"/>
      <protection hidden="1"/>
    </xf>
    <xf numFmtId="0" fontId="11" fillId="0" borderId="43" xfId="0" applyFont="1" applyBorder="1" applyAlignment="1">
      <alignment horizontal="center"/>
    </xf>
    <xf numFmtId="0" fontId="2" fillId="4" borderId="45" xfId="0" applyFont="1" applyFill="1" applyBorder="1" applyAlignment="1">
      <alignment horizontal="center" vertical="center" textRotation="90" wrapText="1"/>
    </xf>
    <xf numFmtId="0" fontId="2" fillId="5" borderId="46" xfId="0" applyFont="1" applyFill="1" applyBorder="1" applyAlignment="1">
      <alignment horizontal="center" vertical="center" textRotation="90" wrapText="1"/>
    </xf>
    <xf numFmtId="0" fontId="15" fillId="0" borderId="19" xfId="0" applyFont="1" applyBorder="1" applyAlignment="1">
      <alignment horizontal="left" vertical="center"/>
    </xf>
    <xf numFmtId="0" fontId="2" fillId="6" borderId="18" xfId="0" applyFont="1" applyFill="1" applyBorder="1" applyAlignment="1" applyProtection="1">
      <alignment horizontal="justify" vertical="top" wrapText="1"/>
      <protection locked="0"/>
    </xf>
    <xf numFmtId="0" fontId="2" fillId="6" borderId="19" xfId="0" applyFont="1" applyFill="1" applyBorder="1" applyAlignment="1" applyProtection="1">
      <alignment horizontal="justify" vertical="top" wrapText="1"/>
      <protection locked="0"/>
    </xf>
    <xf numFmtId="0" fontId="2" fillId="6" borderId="21" xfId="0" applyFont="1" applyFill="1" applyBorder="1" applyAlignment="1" applyProtection="1">
      <alignment horizontal="justify" vertical="top" wrapText="1"/>
      <protection locked="0"/>
    </xf>
    <xf numFmtId="0" fontId="2" fillId="6" borderId="0" xfId="0" applyFont="1" applyFill="1" applyAlignment="1" applyProtection="1">
      <alignment horizontal="justify" vertical="top" wrapText="1"/>
      <protection locked="0"/>
    </xf>
    <xf numFmtId="0" fontId="2" fillId="6" borderId="23" xfId="0" applyFont="1" applyFill="1" applyBorder="1" applyAlignment="1" applyProtection="1">
      <alignment horizontal="justify" vertical="top" wrapText="1"/>
      <protection locked="0"/>
    </xf>
    <xf numFmtId="0" fontId="2" fillId="6"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lignment horizontal="center" vertical="center"/>
    </xf>
    <xf numFmtId="0" fontId="18" fillId="0" borderId="0" xfId="0" applyFont="1" applyAlignment="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lignment vertical="center"/>
    </xf>
    <xf numFmtId="0" fontId="15" fillId="0" borderId="19" xfId="0" applyFont="1" applyBorder="1" applyAlignment="1">
      <alignment vertical="center"/>
    </xf>
    <xf numFmtId="0" fontId="17" fillId="0" borderId="0" xfId="0" applyFont="1" applyAlignment="1" applyProtection="1">
      <alignment horizontal="left" vertical="center"/>
      <protection locked="0"/>
    </xf>
    <xf numFmtId="4" fontId="15" fillId="0" borderId="39" xfId="1"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0" fontId="24" fillId="0" borderId="13" xfId="0" applyFont="1" applyBorder="1" applyAlignment="1">
      <alignment horizontal="center"/>
    </xf>
    <xf numFmtId="179" fontId="17" fillId="0" borderId="60" xfId="0" applyNumberFormat="1" applyFont="1" applyBorder="1" applyAlignment="1">
      <alignment horizontal="left"/>
    </xf>
    <xf numFmtId="0" fontId="15" fillId="0" borderId="0" xfId="0" applyFont="1" applyAlignment="1">
      <alignment horizontal="left"/>
    </xf>
    <xf numFmtId="3" fontId="15" fillId="6" borderId="49" xfId="0" applyNumberFormat="1" applyFont="1" applyFill="1" applyBorder="1" applyAlignment="1" applyProtection="1">
      <alignment horizontal="center" vertical="center"/>
      <protection hidden="1"/>
    </xf>
    <xf numFmtId="0" fontId="15" fillId="6" borderId="13" xfId="0" applyFont="1" applyFill="1" applyBorder="1" applyAlignment="1" applyProtection="1">
      <alignment horizontal="center" vertical="center"/>
      <protection hidden="1"/>
    </xf>
    <xf numFmtId="0" fontId="15" fillId="6" borderId="50" xfId="0" applyFont="1" applyFill="1" applyBorder="1" applyAlignment="1" applyProtection="1">
      <alignment horizontal="center" vertical="center"/>
      <protection hidden="1"/>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5" fillId="0" borderId="49"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17" fillId="0" borderId="13" xfId="0" applyFont="1" applyBorder="1" applyAlignment="1">
      <alignment horizontal="left"/>
    </xf>
    <xf numFmtId="17" fontId="15" fillId="0" borderId="40"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left" vertical="center"/>
      <protection locked="0"/>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7" fillId="4" borderId="50" xfId="0" applyFont="1" applyFill="1" applyBorder="1" applyAlignment="1">
      <alignment horizontal="left" vertical="center"/>
    </xf>
    <xf numFmtId="0" fontId="15" fillId="6" borderId="39" xfId="0" applyFont="1" applyFill="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0" borderId="39" xfId="0" applyFont="1" applyBorder="1" applyAlignment="1" applyProtection="1">
      <alignment horizontal="left" vertical="center"/>
      <protection locked="0"/>
    </xf>
    <xf numFmtId="17" fontId="15" fillId="0" borderId="49" xfId="0" applyNumberFormat="1" applyFont="1" applyBorder="1" applyAlignment="1" applyProtection="1">
      <alignment horizontal="center"/>
      <protection locked="0"/>
    </xf>
    <xf numFmtId="0" fontId="30" fillId="0" borderId="39" xfId="0" applyFont="1" applyBorder="1" applyAlignment="1">
      <alignment horizontal="left" vertical="center"/>
    </xf>
    <xf numFmtId="172" fontId="15" fillId="4" borderId="39" xfId="1" applyNumberFormat="1" applyFont="1" applyFill="1" applyBorder="1" applyAlignment="1" applyProtection="1">
      <alignment horizontal="center"/>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0" fontId="15" fillId="0" borderId="39" xfId="0" applyFont="1" applyBorder="1" applyAlignment="1" applyProtection="1">
      <alignment horizontal="center"/>
      <protection locked="0"/>
    </xf>
    <xf numFmtId="0" fontId="9" fillId="0" borderId="10" xfId="0" applyFont="1" applyBorder="1" applyAlignment="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3" fontId="15" fillId="0" borderId="39" xfId="0" applyNumberFormat="1" applyFont="1" applyBorder="1" applyAlignment="1" applyProtection="1">
      <alignment horizontal="right"/>
      <protection locked="0"/>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Alignment="1">
      <alignment horizontal="center" vertical="center"/>
    </xf>
    <xf numFmtId="0" fontId="78" fillId="0" borderId="41" xfId="0" applyFont="1" applyBorder="1" applyAlignment="1">
      <alignment horizontal="left" vertical="top"/>
    </xf>
    <xf numFmtId="0" fontId="78" fillId="0" borderId="42" xfId="0" applyFont="1" applyBorder="1" applyAlignment="1">
      <alignment horizontal="left" vertical="top"/>
    </xf>
    <xf numFmtId="175" fontId="15" fillId="0" borderId="39" xfId="2" applyNumberFormat="1" applyFont="1" applyBorder="1" applyAlignment="1" applyProtection="1">
      <alignment horizontal="right"/>
    </xf>
    <xf numFmtId="0" fontId="17" fillId="0" borderId="19" xfId="0" applyFont="1" applyBorder="1" applyAlignment="1" applyProtection="1">
      <alignment horizontal="left" vertical="center"/>
      <protection locked="0"/>
    </xf>
    <xf numFmtId="0" fontId="17" fillId="0" borderId="20" xfId="0" applyFont="1" applyBorder="1" applyAlignment="1" applyProtection="1">
      <alignment horizontal="left" vertical="center"/>
      <protection locked="0"/>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lignment horizontal="right" vertical="center"/>
    </xf>
    <xf numFmtId="4" fontId="17" fillId="0" borderId="39" xfId="0" applyNumberFormat="1" applyFont="1" applyBorder="1" applyAlignment="1">
      <alignment horizontal="center" vertical="center"/>
    </xf>
    <xf numFmtId="4" fontId="17" fillId="0" borderId="50" xfId="1" applyNumberFormat="1" applyFont="1" applyBorder="1" applyAlignment="1" applyProtection="1">
      <alignment horizontal="right" vertical="center"/>
    </xf>
    <xf numFmtId="4" fontId="17" fillId="0" borderId="13" xfId="1" applyNumberFormat="1" applyFont="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4" fontId="17" fillId="0" borderId="50" xfId="0" applyNumberFormat="1" applyFont="1" applyBorder="1" applyAlignment="1">
      <alignment horizontal="right" vertical="center"/>
    </xf>
    <xf numFmtId="4" fontId="17" fillId="0" borderId="13" xfId="0" applyNumberFormat="1" applyFont="1" applyBorder="1" applyAlignment="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lignment horizontal="left"/>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3" fontId="15" fillId="0" borderId="13" xfId="1" applyNumberFormat="1" applyFont="1" applyBorder="1" applyAlignment="1" applyProtection="1">
      <alignment horizontal="center" vertical="center"/>
    </xf>
    <xf numFmtId="3" fontId="17" fillId="0" borderId="13" xfId="0" applyNumberFormat="1" applyFont="1" applyBorder="1" applyAlignment="1">
      <alignment horizontal="center" vertical="center"/>
    </xf>
    <xf numFmtId="189" fontId="145" fillId="0" borderId="13" xfId="3" applyNumberFormat="1" applyFont="1" applyBorder="1" applyAlignment="1" applyProtection="1">
      <alignment horizontal="center"/>
    </xf>
    <xf numFmtId="0" fontId="17" fillId="0" borderId="0" xfId="0" applyFont="1" applyAlignment="1">
      <alignment horizontal="center"/>
    </xf>
    <xf numFmtId="0" fontId="31" fillId="0" borderId="0" xfId="0" applyFont="1" applyAlignment="1">
      <alignment horizontal="left"/>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lignment horizontal="left" vertical="top"/>
    </xf>
    <xf numFmtId="0" fontId="17" fillId="0" borderId="13" xfId="0" applyFont="1" applyBorder="1" applyAlignment="1">
      <alignment horizontal="center"/>
    </xf>
    <xf numFmtId="3" fontId="17" fillId="0" borderId="50" xfId="1" applyNumberFormat="1" applyFont="1" applyBorder="1" applyAlignment="1" applyProtection="1">
      <alignment horizontal="right" vertical="center"/>
    </xf>
    <xf numFmtId="0" fontId="0" fillId="0" borderId="49" xfId="0" applyBorder="1" applyAlignment="1">
      <alignment horizontal="center"/>
    </xf>
    <xf numFmtId="0" fontId="0" fillId="0" borderId="13" xfId="0" applyBorder="1" applyAlignment="1">
      <alignment horizontal="center"/>
    </xf>
    <xf numFmtId="0" fontId="0" fillId="0" borderId="50" xfId="0" applyBorder="1" applyAlignment="1">
      <alignment horizontal="center"/>
    </xf>
    <xf numFmtId="0" fontId="17" fillId="0" borderId="49" xfId="0" applyFont="1" applyBorder="1" applyAlignment="1">
      <alignment horizontal="center"/>
    </xf>
    <xf numFmtId="0" fontId="17" fillId="0" borderId="50" xfId="0" applyFont="1" applyBorder="1" applyAlignment="1">
      <alignment horizontal="center"/>
    </xf>
    <xf numFmtId="0" fontId="32" fillId="0" borderId="0" xfId="0" applyFont="1" applyAlignment="1">
      <alignment horizontal="justify" vertical="top" wrapText="1"/>
    </xf>
    <xf numFmtId="0" fontId="17" fillId="0" borderId="10" xfId="0" applyFont="1" applyBorder="1" applyAlignment="1">
      <alignment horizontal="left"/>
    </xf>
    <xf numFmtId="170" fontId="15" fillId="28" borderId="10" xfId="2" applyNumberFormat="1" applyFont="1" applyFill="1" applyBorder="1" applyAlignment="1" applyProtection="1">
      <alignment horizontal="center" vertical="center"/>
      <protection locked="0"/>
    </xf>
    <xf numFmtId="0" fontId="1" fillId="0" borderId="18" xfId="0" applyFont="1" applyBorder="1" applyAlignment="1">
      <alignment horizontal="left" vertical="top"/>
    </xf>
    <xf numFmtId="0" fontId="1" fillId="0" borderId="19" xfId="0" applyFont="1" applyBorder="1" applyAlignment="1">
      <alignment horizontal="left" vertical="top"/>
    </xf>
    <xf numFmtId="0" fontId="1" fillId="0" borderId="20" xfId="0" applyFont="1" applyBorder="1" applyAlignment="1">
      <alignment horizontal="left" vertical="top"/>
    </xf>
    <xf numFmtId="0" fontId="1" fillId="0" borderId="21" xfId="0" applyFont="1" applyBorder="1" applyAlignment="1">
      <alignment horizontal="left" vertical="top"/>
    </xf>
    <xf numFmtId="0" fontId="1" fillId="0" borderId="0" xfId="0" applyFont="1" applyAlignment="1">
      <alignment horizontal="left" vertical="top"/>
    </xf>
    <xf numFmtId="0" fontId="1" fillId="0" borderId="22" xfId="0" applyFont="1" applyBorder="1" applyAlignment="1">
      <alignment horizontal="left" vertical="top"/>
    </xf>
    <xf numFmtId="0" fontId="1" fillId="0" borderId="23" xfId="0" applyFont="1" applyBorder="1" applyAlignment="1">
      <alignment horizontal="left" vertical="top"/>
    </xf>
    <xf numFmtId="0" fontId="1" fillId="0" borderId="10" xfId="0" applyFont="1" applyBorder="1" applyAlignment="1">
      <alignment horizontal="left" vertical="top"/>
    </xf>
    <xf numFmtId="0" fontId="1" fillId="0" borderId="24" xfId="0" applyFont="1" applyBorder="1" applyAlignment="1">
      <alignment horizontal="left" vertical="top"/>
    </xf>
    <xf numFmtId="0" fontId="40" fillId="0" borderId="80" xfId="0" applyFont="1" applyBorder="1" applyAlignment="1">
      <alignment horizontal="center" vertical="center"/>
    </xf>
    <xf numFmtId="178" fontId="22" fillId="5" borderId="55" xfId="0" applyNumberFormat="1" applyFont="1" applyFill="1" applyBorder="1" applyAlignment="1">
      <alignment horizontal="center" vertical="center"/>
    </xf>
    <xf numFmtId="4" fontId="22" fillId="5" borderId="56" xfId="0" applyNumberFormat="1" applyFont="1" applyFill="1" applyBorder="1" applyAlignment="1">
      <alignment horizontal="center" vertical="center"/>
    </xf>
    <xf numFmtId="3" fontId="22" fillId="5" borderId="56" xfId="0" applyNumberFormat="1" applyFont="1" applyFill="1" applyBorder="1" applyAlignment="1">
      <alignment vertical="center"/>
    </xf>
    <xf numFmtId="179" fontId="101" fillId="20" borderId="57" xfId="0" applyNumberFormat="1" applyFont="1" applyFill="1" applyBorder="1" applyAlignment="1">
      <alignment horizontal="right" vertical="center" wrapText="1"/>
    </xf>
    <xf numFmtId="0" fontId="103" fillId="0" borderId="111" xfId="0" applyFont="1" applyBorder="1" applyAlignment="1">
      <alignment horizontal="left" vertical="center"/>
    </xf>
    <xf numFmtId="0" fontId="30" fillId="0" borderId="50" xfId="0" applyFont="1" applyBorder="1" applyAlignment="1">
      <alignment horizontal="center" vertical="center"/>
    </xf>
    <xf numFmtId="0" fontId="30" fillId="0" borderId="13" xfId="0" applyFont="1" applyBorder="1" applyAlignment="1">
      <alignment horizontal="center" vertical="center"/>
    </xf>
    <xf numFmtId="0" fontId="17" fillId="0" borderId="39" xfId="0" applyFont="1" applyBorder="1" applyAlignment="1">
      <alignment horizontal="left" vertical="center"/>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175" fontId="15" fillId="4" borderId="39" xfId="2" applyNumberFormat="1" applyFont="1" applyFill="1" applyBorder="1" applyAlignment="1" applyProtection="1">
      <alignment horizontal="center"/>
    </xf>
    <xf numFmtId="9" fontId="15" fillId="4" borderId="39" xfId="3"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169" fontId="15" fillId="4" borderId="39" xfId="1" applyFont="1" applyFill="1" applyBorder="1" applyAlignment="1" applyProtection="1">
      <alignment horizontal="center" vertical="center"/>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lignment horizontal="left" vertical="center"/>
    </xf>
    <xf numFmtId="0" fontId="20" fillId="0" borderId="44" xfId="0" applyFont="1" applyBorder="1" applyAlignment="1">
      <alignment horizontal="left" vertical="center"/>
    </xf>
    <xf numFmtId="0" fontId="139" fillId="18" borderId="18" xfId="0" applyFont="1" applyFill="1" applyBorder="1" applyAlignment="1" applyProtection="1">
      <alignment horizontal="left" vertical="top" wrapText="1"/>
      <protection locked="0"/>
    </xf>
    <xf numFmtId="0" fontId="139" fillId="18" borderId="19" xfId="0" applyFont="1" applyFill="1" applyBorder="1" applyAlignment="1" applyProtection="1">
      <alignment horizontal="left" vertical="top" wrapText="1"/>
      <protection locked="0"/>
    </xf>
    <xf numFmtId="0" fontId="139" fillId="18" borderId="52" xfId="0" applyFont="1" applyFill="1" applyBorder="1" applyAlignment="1" applyProtection="1">
      <alignment horizontal="left" vertical="top" wrapText="1"/>
      <protection locked="0"/>
    </xf>
    <xf numFmtId="0" fontId="139" fillId="18" borderId="21" xfId="0" applyFont="1" applyFill="1" applyBorder="1" applyAlignment="1" applyProtection="1">
      <alignment horizontal="left" vertical="top" wrapText="1"/>
      <protection locked="0"/>
    </xf>
    <xf numFmtId="0" fontId="139" fillId="18" borderId="0" xfId="0" applyFont="1" applyFill="1" applyAlignment="1" applyProtection="1">
      <alignment horizontal="left" vertical="top" wrapText="1"/>
      <protection locked="0"/>
    </xf>
    <xf numFmtId="0" fontId="139" fillId="18" borderId="38" xfId="0" applyFont="1" applyFill="1" applyBorder="1" applyAlignment="1" applyProtection="1">
      <alignment horizontal="left" vertical="top" wrapText="1"/>
      <protection locked="0"/>
    </xf>
    <xf numFmtId="0" fontId="139" fillId="18" borderId="41" xfId="0" applyFont="1" applyFill="1" applyBorder="1" applyAlignment="1" applyProtection="1">
      <alignment horizontal="left" vertical="top" wrapText="1"/>
      <protection locked="0"/>
    </xf>
    <xf numFmtId="0" fontId="139" fillId="18" borderId="36" xfId="0" applyFont="1" applyFill="1" applyBorder="1" applyAlignment="1" applyProtection="1">
      <alignment horizontal="left" vertical="top" wrapText="1"/>
      <protection locked="0"/>
    </xf>
    <xf numFmtId="0" fontId="139" fillId="18" borderId="54" xfId="0" applyFont="1" applyFill="1" applyBorder="1" applyAlignment="1" applyProtection="1">
      <alignment horizontal="left" vertical="top" wrapText="1"/>
      <protection locked="0"/>
    </xf>
    <xf numFmtId="0" fontId="11" fillId="0" borderId="43" xfId="0" applyFont="1" applyBorder="1" applyAlignment="1">
      <alignment horizontal="center" vertical="top" wrapText="1"/>
    </xf>
    <xf numFmtId="0" fontId="17" fillId="0" borderId="24" xfId="1" applyNumberFormat="1" applyFont="1" applyBorder="1" applyAlignment="1" applyProtection="1">
      <alignment horizontal="left" vertical="center"/>
    </xf>
    <xf numFmtId="3" fontId="17" fillId="0" borderId="0" xfId="0" applyNumberFormat="1"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lignment horizontal="left"/>
    </xf>
    <xf numFmtId="0" fontId="17" fillId="0" borderId="0" xfId="0" applyFont="1" applyAlignment="1">
      <alignment horizontal="left" vertical="center"/>
    </xf>
    <xf numFmtId="0" fontId="44" fillId="15" borderId="22" xfId="0" applyFont="1" applyFill="1" applyBorder="1" applyAlignment="1" applyProtection="1">
      <alignment horizontal="left"/>
      <protection locked="0"/>
    </xf>
    <xf numFmtId="0" fontId="17" fillId="0" borderId="19" xfId="0" applyFont="1" applyBorder="1" applyAlignment="1">
      <alignment horizontal="left" vertical="center"/>
    </xf>
    <xf numFmtId="0" fontId="17" fillId="0" borderId="20" xfId="1" applyNumberFormat="1" applyFont="1" applyBorder="1" applyAlignment="1" applyProtection="1">
      <alignment horizontal="left" vertical="center"/>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lignment horizontal="left" vertical="center"/>
    </xf>
    <xf numFmtId="0" fontId="17" fillId="0" borderId="0" xfId="0" applyFont="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5" fillId="6" borderId="21" xfId="0" applyFont="1" applyFill="1" applyBorder="1" applyAlignment="1">
      <alignment horizontal="left" vertical="center"/>
    </xf>
    <xf numFmtId="0" fontId="15" fillId="6" borderId="0" xfId="0" applyFont="1" applyFill="1" applyAlignment="1">
      <alignment horizontal="left" vertical="center"/>
    </xf>
    <xf numFmtId="0" fontId="15" fillId="18" borderId="59" xfId="0" applyFont="1" applyFill="1" applyBorder="1" applyAlignment="1">
      <alignment horizontal="center"/>
    </xf>
    <xf numFmtId="0" fontId="15" fillId="0" borderId="36" xfId="0" applyFont="1" applyBorder="1" applyAlignment="1">
      <alignment horizontal="center" vertical="center"/>
    </xf>
    <xf numFmtId="0" fontId="19" fillId="0" borderId="0" xfId="0" applyFont="1" applyAlignment="1">
      <alignment horizontal="left" vertical="top"/>
    </xf>
    <xf numFmtId="0" fontId="19" fillId="0" borderId="22" xfId="0" applyFont="1" applyBorder="1" applyAlignment="1">
      <alignment horizontal="left" vertical="top"/>
    </xf>
    <xf numFmtId="1" fontId="15" fillId="0" borderId="0" xfId="0" applyNumberFormat="1" applyFont="1" applyAlignment="1">
      <alignment horizontal="left"/>
    </xf>
    <xf numFmtId="4" fontId="19" fillId="26" borderId="13" xfId="0" applyNumberFormat="1" applyFont="1" applyFill="1" applyBorder="1" applyAlignment="1">
      <alignment horizontal="center" vertical="center"/>
    </xf>
    <xf numFmtId="0" fontId="21" fillId="0" borderId="102" xfId="0" applyFont="1" applyBorder="1" applyAlignment="1">
      <alignment horizontal="justify" vertical="top"/>
    </xf>
    <xf numFmtId="0" fontId="21" fillId="0" borderId="27" xfId="0" applyFont="1" applyBorder="1" applyAlignment="1">
      <alignment horizontal="justify" vertical="top"/>
    </xf>
    <xf numFmtId="0" fontId="21" fillId="0" borderId="103" xfId="0" applyFont="1" applyBorder="1" applyAlignment="1">
      <alignment horizontal="justify" vertical="top"/>
    </xf>
    <xf numFmtId="0" fontId="21" fillId="0" borderId="65" xfId="0" applyFont="1" applyBorder="1" applyAlignment="1">
      <alignment horizontal="justify" vertical="top"/>
    </xf>
    <xf numFmtId="0" fontId="21" fillId="0" borderId="0" xfId="0" applyFont="1" applyAlignment="1">
      <alignment horizontal="justify" vertical="top"/>
    </xf>
    <xf numFmtId="0" fontId="21" fillId="0" borderId="66" xfId="0" applyFont="1" applyBorder="1" applyAlignment="1">
      <alignment horizontal="justify" vertical="top"/>
    </xf>
    <xf numFmtId="0" fontId="21" fillId="0" borderId="101" xfId="0" applyFont="1" applyBorder="1" applyAlignment="1">
      <alignment horizontal="justify" vertical="top"/>
    </xf>
    <xf numFmtId="0" fontId="21" fillId="0" borderId="99" xfId="0" applyFont="1" applyBorder="1" applyAlignment="1">
      <alignment horizontal="justify" vertical="top"/>
    </xf>
    <xf numFmtId="0" fontId="21" fillId="0" borderId="100" xfId="0" applyFont="1" applyBorder="1" applyAlignment="1">
      <alignment horizontal="justify" vertical="top"/>
    </xf>
    <xf numFmtId="0" fontId="26" fillId="0" borderId="102" xfId="0" applyFont="1" applyBorder="1" applyAlignment="1">
      <alignment horizontal="left" vertical="top" wrapText="1"/>
    </xf>
    <xf numFmtId="0" fontId="26" fillId="0" borderId="27" xfId="0" applyFont="1" applyBorder="1" applyAlignment="1">
      <alignment horizontal="left" vertical="top" wrapText="1"/>
    </xf>
    <xf numFmtId="0" fontId="26" fillId="0" borderId="103" xfId="0" applyFont="1" applyBorder="1" applyAlignment="1">
      <alignment horizontal="left" vertical="top" wrapText="1"/>
    </xf>
    <xf numFmtId="0" fontId="26" fillId="0" borderId="65" xfId="0" applyFont="1" applyBorder="1" applyAlignment="1">
      <alignment horizontal="left" vertical="top" wrapText="1"/>
    </xf>
    <xf numFmtId="0" fontId="26" fillId="0" borderId="0" xfId="0" applyFont="1" applyAlignment="1">
      <alignment horizontal="left" vertical="top" wrapText="1"/>
    </xf>
    <xf numFmtId="0" fontId="26" fillId="0" borderId="66" xfId="0" applyFont="1" applyBorder="1" applyAlignment="1">
      <alignment horizontal="left" vertical="top" wrapText="1"/>
    </xf>
    <xf numFmtId="0" fontId="26" fillId="0" borderId="101" xfId="0" applyFont="1" applyBorder="1" applyAlignment="1">
      <alignment horizontal="left" vertical="top" wrapText="1"/>
    </xf>
    <xf numFmtId="0" fontId="26" fillId="0" borderId="99" xfId="0" applyFont="1" applyBorder="1" applyAlignment="1">
      <alignment horizontal="left" vertical="top" wrapText="1"/>
    </xf>
    <xf numFmtId="0" fontId="26" fillId="0" borderId="100" xfId="0" applyFont="1" applyBorder="1" applyAlignment="1">
      <alignment horizontal="left" vertical="top" wrapText="1"/>
    </xf>
    <xf numFmtId="0" fontId="77" fillId="0" borderId="0" xfId="0" applyFont="1" applyAlignment="1">
      <alignment horizontal="left"/>
    </xf>
    <xf numFmtId="0" fontId="19" fillId="0" borderId="21" xfId="0" applyFont="1" applyBorder="1" applyAlignment="1">
      <alignment horizontal="left" vertical="top"/>
    </xf>
    <xf numFmtId="0" fontId="0" fillId="0" borderId="0" xfId="0" applyAlignment="1" applyProtection="1">
      <alignment horizontal="center"/>
      <protection hidden="1"/>
    </xf>
    <xf numFmtId="0" fontId="26" fillId="0" borderId="40" xfId="0" applyFont="1" applyBorder="1" applyAlignment="1">
      <alignment horizontal="left"/>
    </xf>
    <xf numFmtId="0" fontId="19" fillId="13" borderId="10" xfId="0" applyFont="1" applyFill="1" applyBorder="1" applyAlignment="1">
      <alignment horizontal="left" vertical="top"/>
    </xf>
    <xf numFmtId="1" fontId="17" fillId="0" borderId="0" xfId="0" applyNumberFormat="1" applyFont="1" applyAlignment="1" applyProtection="1">
      <alignment horizontal="center"/>
      <protection locked="0"/>
    </xf>
    <xf numFmtId="0" fontId="15" fillId="0" borderId="59" xfId="0" applyFont="1" applyBorder="1" applyAlignment="1">
      <alignment horizontal="center"/>
    </xf>
    <xf numFmtId="0" fontId="139" fillId="18" borderId="23" xfId="0" applyFont="1" applyFill="1" applyBorder="1" applyAlignment="1" applyProtection="1">
      <alignment horizontal="left" vertical="top" wrapText="1"/>
      <protection locked="0"/>
    </xf>
    <xf numFmtId="0" fontId="139" fillId="18" borderId="10" xfId="0" applyFont="1" applyFill="1" applyBorder="1" applyAlignment="1" applyProtection="1">
      <alignment horizontal="left" vertical="top" wrapText="1"/>
      <protection locked="0"/>
    </xf>
    <xf numFmtId="0" fontId="139" fillId="18" borderId="81" xfId="0" applyFont="1" applyFill="1" applyBorder="1" applyAlignment="1" applyProtection="1">
      <alignment horizontal="left" vertical="top" wrapText="1"/>
      <protection locked="0"/>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Alignment="1">
      <alignment horizontal="center" vertical="top"/>
    </xf>
    <xf numFmtId="0" fontId="105" fillId="0" borderId="102" xfId="0" applyFont="1" applyBorder="1" applyAlignment="1">
      <alignment horizontal="center"/>
    </xf>
    <xf numFmtId="0" fontId="105" fillId="0" borderId="27" xfId="0" applyFont="1" applyBorder="1" applyAlignment="1">
      <alignment horizontal="center"/>
    </xf>
    <xf numFmtId="0" fontId="105" fillId="0" borderId="103" xfId="0" applyFont="1" applyBorder="1" applyAlignment="1">
      <alignment horizontal="center"/>
    </xf>
    <xf numFmtId="0" fontId="105" fillId="0" borderId="65" xfId="0" applyFont="1" applyBorder="1" applyAlignment="1">
      <alignment horizontal="center"/>
    </xf>
    <xf numFmtId="0" fontId="105" fillId="0" borderId="0" xfId="0" applyFont="1" applyAlignment="1">
      <alignment horizontal="center"/>
    </xf>
    <xf numFmtId="0" fontId="105" fillId="0" borderId="66" xfId="0" applyFont="1" applyBorder="1" applyAlignment="1">
      <alignment horizontal="center"/>
    </xf>
    <xf numFmtId="0" fontId="105" fillId="0" borderId="101" xfId="0" applyFont="1" applyBorder="1" applyAlignment="1">
      <alignment horizontal="center"/>
    </xf>
    <xf numFmtId="0" fontId="105" fillId="0" borderId="99" xfId="0" applyFont="1" applyBorder="1" applyAlignment="1">
      <alignment horizontal="center"/>
    </xf>
    <xf numFmtId="0" fontId="105" fillId="0" borderId="100" xfId="0" applyFont="1" applyBorder="1" applyAlignment="1">
      <alignment horizontal="center"/>
    </xf>
    <xf numFmtId="0" fontId="104" fillId="0" borderId="0" xfId="0" applyFont="1" applyAlignment="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5" fillId="0" borderId="49" xfId="0" applyFont="1" applyBorder="1" applyAlignment="1" applyProtection="1">
      <alignment horizontal="left"/>
      <protection hidden="1"/>
    </xf>
    <xf numFmtId="0" fontId="50" fillId="8" borderId="21" xfId="0" applyFont="1" applyFill="1" applyBorder="1" applyAlignment="1" applyProtection="1">
      <alignment horizontal="left"/>
      <protection hidden="1"/>
    </xf>
    <xf numFmtId="0" fontId="51" fillId="17" borderId="0" xfId="0" applyFont="1" applyFill="1" applyAlignment="1" applyProtection="1">
      <alignment horizontal="left"/>
      <protection locked="0"/>
    </xf>
    <xf numFmtId="0" fontId="49" fillId="2" borderId="18" xfId="0" applyFont="1" applyFill="1" applyBorder="1" applyProtection="1">
      <protection hidden="1"/>
    </xf>
    <xf numFmtId="0" fontId="49" fillId="2" borderId="19" xfId="0" applyFont="1" applyFill="1" applyBorder="1" applyProtection="1">
      <protection hidden="1"/>
    </xf>
    <xf numFmtId="3" fontId="44" fillId="0" borderId="49" xfId="0" applyNumberFormat="1"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0" fontId="44" fillId="0" borderId="13" xfId="0" applyFont="1" applyBorder="1" applyAlignment="1" applyProtection="1">
      <alignment horizontal="center"/>
      <protection locked="0"/>
    </xf>
    <xf numFmtId="0" fontId="51" fillId="17" borderId="0" xfId="0" applyFont="1" applyFill="1" applyProtection="1">
      <protection locked="0"/>
    </xf>
    <xf numFmtId="0" fontId="51" fillId="2" borderId="0" xfId="0" applyFont="1" applyFill="1" applyProtection="1">
      <protection locked="0"/>
    </xf>
    <xf numFmtId="0" fontId="50" fillId="8" borderId="21" xfId="0" applyFont="1" applyFill="1" applyBorder="1" applyProtection="1">
      <protection hidden="1"/>
    </xf>
    <xf numFmtId="0" fontId="44" fillId="0" borderId="40" xfId="0" applyFont="1" applyBorder="1" applyAlignment="1" applyProtection="1">
      <alignment horizontal="center"/>
      <protection locked="0"/>
    </xf>
    <xf numFmtId="0" fontId="44" fillId="2" borderId="49" xfId="0" applyFont="1" applyFill="1" applyBorder="1" applyAlignment="1" applyProtection="1">
      <alignment horizontal="left"/>
      <protection hidden="1"/>
    </xf>
    <xf numFmtId="0" fontId="44" fillId="2" borderId="13" xfId="0" applyFont="1" applyFill="1" applyBorder="1" applyAlignment="1" applyProtection="1">
      <alignment horizontal="left"/>
      <protection hidden="1"/>
    </xf>
    <xf numFmtId="3" fontId="44" fillId="2" borderId="13" xfId="0" applyNumberFormat="1"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5" fillId="0" borderId="39" xfId="0" applyFont="1" applyBorder="1" applyAlignment="1" applyProtection="1">
      <alignment horizontal="left"/>
      <protection hidden="1"/>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44" fillId="0" borderId="39" xfId="0" applyFont="1" applyBorder="1" applyAlignment="1" applyProtection="1">
      <alignment horizontal="center"/>
      <protection locked="0"/>
    </xf>
    <xf numFmtId="2" fontId="44" fillId="0" borderId="39" xfId="4" applyNumberFormat="1" applyFont="1" applyBorder="1" applyAlignment="1" applyProtection="1">
      <alignment horizontal="right"/>
      <protection locked="0"/>
    </xf>
    <xf numFmtId="0" fontId="44" fillId="2" borderId="13" xfId="0" applyFont="1" applyFill="1" applyBorder="1" applyAlignment="1" applyProtection="1">
      <alignment horizontal="center"/>
      <protection hidden="1"/>
    </xf>
    <xf numFmtId="3" fontId="44" fillId="0" borderId="39" xfId="0" applyNumberFormat="1" applyFont="1" applyBorder="1" applyAlignment="1" applyProtection="1">
      <alignment horizontal="center"/>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166" fontId="44" fillId="0" borderId="39" xfId="4" applyFont="1" applyBorder="1" applyAlignment="1" applyProtection="1">
      <alignment horizontal="right"/>
      <protection locked="0"/>
    </xf>
    <xf numFmtId="0" fontId="44" fillId="2" borderId="21" xfId="0" applyFont="1" applyFill="1" applyBorder="1" applyAlignment="1" applyProtection="1">
      <alignment horizontal="left"/>
      <protection hidden="1"/>
    </xf>
    <xf numFmtId="0" fontId="44" fillId="0" borderId="49"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15" fillId="2" borderId="0" xfId="0" applyFont="1" applyFill="1" applyAlignment="1" applyProtection="1">
      <alignment horizontal="left"/>
      <protection locked="0"/>
    </xf>
    <xf numFmtId="0" fontId="15" fillId="0" borderId="0" xfId="0" applyFont="1" applyAlignment="1" applyProtection="1">
      <alignment horizontal="left"/>
      <protection locked="0"/>
    </xf>
    <xf numFmtId="0" fontId="46" fillId="2" borderId="19" xfId="0" applyFont="1" applyFill="1" applyBorder="1" applyProtection="1">
      <protection hidden="1"/>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Alignment="1" applyProtection="1">
      <alignment horizontal="left" vertical="center"/>
      <protection locked="0"/>
    </xf>
    <xf numFmtId="3" fontId="44" fillId="0" borderId="40" xfId="0" applyNumberFormat="1" applyFont="1" applyBorder="1" applyAlignment="1" applyProtection="1">
      <alignment horizontal="center"/>
      <protection locked="0"/>
    </xf>
    <xf numFmtId="0" fontId="51" fillId="8" borderId="0" xfId="0" applyFont="1" applyFill="1" applyProtection="1">
      <protection locked="0"/>
    </xf>
    <xf numFmtId="3" fontId="44" fillId="2" borderId="13" xfId="0" applyNumberFormat="1" applyFont="1" applyFill="1" applyBorder="1" applyAlignment="1" applyProtection="1">
      <alignment horizontal="center"/>
      <protection hidden="1"/>
    </xf>
    <xf numFmtId="0" fontId="44" fillId="0" borderId="13" xfId="0" applyFont="1" applyBorder="1" applyAlignment="1" applyProtection="1">
      <alignment horizontal="center"/>
      <protection hidden="1"/>
    </xf>
    <xf numFmtId="185" fontId="44" fillId="2" borderId="0" xfId="0" applyNumberFormat="1" applyFont="1" applyFill="1" applyAlignment="1" applyProtection="1">
      <alignment horizontal="center"/>
      <protection hidden="1"/>
    </xf>
    <xf numFmtId="0" fontId="44" fillId="2" borderId="0" xfId="0" applyFont="1" applyFill="1" applyAlignment="1" applyProtection="1">
      <alignment horizontal="left"/>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8" borderId="23" xfId="0" applyFont="1" applyFill="1" applyBorder="1" applyAlignment="1" applyProtection="1">
      <alignment horizontal="left"/>
      <protection hidden="1"/>
    </xf>
    <xf numFmtId="0" fontId="46" fillId="25" borderId="13"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0" fontId="46" fillId="2" borderId="0" xfId="0" applyFont="1" applyFill="1" applyAlignment="1" applyProtection="1">
      <alignment horizontal="center"/>
      <protection locked="0"/>
    </xf>
    <xf numFmtId="0" fontId="46" fillId="2" borderId="0" xfId="0" applyFont="1" applyFill="1" applyAlignment="1" applyProtection="1">
      <alignment horizontal="left"/>
      <protection locked="0"/>
    </xf>
    <xf numFmtId="0" fontId="46" fillId="2" borderId="22"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3" fontId="46" fillId="2" borderId="0" xfId="0" applyNumberFormat="1" applyFont="1" applyFill="1" applyAlignment="1" applyProtection="1">
      <alignment horizontal="left"/>
      <protection locked="0"/>
    </xf>
    <xf numFmtId="184" fontId="46" fillId="2" borderId="0" xfId="0" applyNumberFormat="1" applyFont="1" applyFill="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6" fillId="2" borderId="24" xfId="0" applyFont="1" applyFill="1" applyBorder="1" applyAlignment="1" applyProtection="1">
      <alignment horizontal="left" vertical="center"/>
      <protection locked="0"/>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3" fillId="0" borderId="39" xfId="0" applyFont="1" applyBorder="1" applyAlignment="1" applyProtection="1">
      <alignment horizontal="center" vertical="center" textRotation="90"/>
      <protection hidden="1"/>
    </xf>
    <xf numFmtId="0" fontId="45" fillId="0" borderId="10" xfId="0" applyFont="1" applyBorder="1" applyAlignment="1" applyProtection="1">
      <alignment horizontal="left"/>
      <protection hidden="1"/>
    </xf>
    <xf numFmtId="0" fontId="44" fillId="2" borderId="18" xfId="0" applyFont="1" applyFill="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0" fontId="46" fillId="2" borderId="20" xfId="0" applyFont="1" applyFill="1" applyBorder="1" applyAlignment="1" applyProtection="1">
      <alignment horizontal="left"/>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left"/>
      <protection locked="0"/>
    </xf>
    <xf numFmtId="0" fontId="44" fillId="8" borderId="0" xfId="0" applyFont="1" applyFill="1" applyAlignment="1" applyProtection="1">
      <alignment horizontal="left"/>
      <protection hidden="1"/>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protection locked="0"/>
    </xf>
    <xf numFmtId="0" fontId="46" fillId="2" borderId="22" xfId="0" applyFont="1" applyFill="1" applyBorder="1" applyAlignment="1" applyProtection="1">
      <alignment horizontal="left" vertical="center"/>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6" fillId="0" borderId="39" xfId="0" applyFont="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0" fontId="46" fillId="17" borderId="22" xfId="0" applyFont="1" applyFill="1" applyBorder="1" applyAlignment="1" applyProtection="1">
      <alignment horizontal="left" vertical="center"/>
      <protection locked="0"/>
    </xf>
    <xf numFmtId="0" fontId="44" fillId="2" borderId="0" xfId="0" applyFont="1" applyFill="1" applyAlignment="1" applyProtection="1">
      <alignment horizontal="left" vertical="center"/>
      <protection hidden="1"/>
    </xf>
    <xf numFmtId="0" fontId="44" fillId="2" borderId="22" xfId="0" applyFont="1" applyFill="1" applyBorder="1" applyAlignment="1" applyProtection="1">
      <alignment horizontal="left"/>
      <protection locked="0"/>
    </xf>
    <xf numFmtId="0" fontId="46" fillId="8" borderId="0" xfId="4" applyNumberFormat="1" applyFont="1" applyFill="1" applyBorder="1" applyAlignment="1" applyProtection="1">
      <alignment horizontal="left"/>
      <protection locked="0"/>
    </xf>
    <xf numFmtId="0" fontId="44" fillId="8" borderId="0" xfId="0" applyFont="1" applyFill="1" applyAlignment="1" applyProtection="1">
      <alignment horizont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4" fontId="46" fillId="8" borderId="1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6" fillId="8" borderId="22" xfId="0" applyFont="1" applyFill="1" applyBorder="1" applyAlignment="1" applyProtection="1">
      <alignment horizontal="center"/>
      <protection locked="0"/>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3" fontId="138" fillId="27" borderId="13" xfId="0" applyNumberFormat="1" applyFont="1" applyFill="1" applyBorder="1" applyAlignment="1" applyProtection="1">
      <alignment horizontal="left" vertical="center"/>
      <protection locked="0"/>
    </xf>
    <xf numFmtId="3" fontId="138" fillId="27" borderId="50" xfId="0" applyNumberFormat="1" applyFont="1" applyFill="1" applyBorder="1" applyAlignment="1" applyProtection="1">
      <alignment horizontal="left" vertical="center"/>
      <protection locked="0"/>
    </xf>
    <xf numFmtId="0" fontId="46" fillId="6" borderId="13" xfId="0" applyFont="1" applyFill="1" applyBorder="1" applyAlignment="1" applyProtection="1">
      <alignment horizontal="left"/>
      <protection hidden="1"/>
    </xf>
    <xf numFmtId="1" fontId="46" fillId="8" borderId="0" xfId="4" applyNumberFormat="1" applyFont="1" applyFill="1" applyBorder="1" applyAlignment="1" applyProtection="1">
      <alignment horizontal="left"/>
      <protection locked="0"/>
    </xf>
    <xf numFmtId="181" fontId="46" fillId="8" borderId="22" xfId="0" applyNumberFormat="1" applyFont="1" applyFill="1" applyBorder="1" applyAlignment="1" applyProtection="1">
      <alignment horizontal="left"/>
      <protection locked="0"/>
    </xf>
    <xf numFmtId="0" fontId="31" fillId="2" borderId="0" xfId="0" applyFont="1" applyFill="1" applyAlignment="1">
      <alignment horizontal="center"/>
    </xf>
    <xf numFmtId="0" fontId="31" fillId="2" borderId="0" xfId="0" applyFont="1" applyFill="1" applyAlignment="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3" fontId="79" fillId="0" borderId="0" xfId="0" applyNumberFormat="1" applyFont="1" applyAlignment="1">
      <alignment horizontal="center"/>
    </xf>
    <xf numFmtId="0" fontId="79" fillId="0" borderId="0" xfId="0"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4" fontId="132" fillId="0" borderId="39" xfId="0" applyNumberFormat="1" applyFont="1" applyBorder="1" applyAlignment="1">
      <alignment horizontal="center" vertical="center"/>
    </xf>
    <xf numFmtId="0" fontId="132" fillId="0" borderId="39" xfId="0" applyFont="1" applyBorder="1" applyAlignment="1">
      <alignment horizontal="center" vertical="center"/>
    </xf>
    <xf numFmtId="4" fontId="132"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39" xfId="1" applyNumberFormat="1" applyFont="1" applyFill="1" applyBorder="1" applyAlignment="1">
      <alignment horizontal="right"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9" fillId="0" borderId="0" xfId="0" applyFont="1" applyAlignment="1">
      <alignment horizontal="left"/>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96" xfId="0" applyFont="1" applyFill="1" applyBorder="1" applyAlignment="1" applyProtection="1">
      <alignment horizontal="left"/>
      <protection locked="0"/>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93" fillId="2" borderId="107" xfId="0" applyFont="1" applyFill="1" applyBorder="1" applyAlignment="1" applyProtection="1">
      <alignment horizontal="left"/>
      <protection hidden="1"/>
    </xf>
    <xf numFmtId="0" fontId="96" fillId="2" borderId="107" xfId="0" applyFont="1" applyFill="1" applyBorder="1" applyAlignment="1" applyProtection="1">
      <alignment horizontal="left"/>
      <protection locked="0"/>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6" fillId="2" borderId="90" xfId="0" applyFont="1" applyFill="1" applyBorder="1" applyAlignment="1" applyProtection="1">
      <alignment horizontal="left"/>
      <protection locked="0"/>
    </xf>
    <xf numFmtId="0" fontId="69" fillId="2" borderId="99" xfId="0" applyFont="1" applyFill="1" applyBorder="1" applyAlignment="1" applyProtection="1">
      <alignment horizontal="left"/>
      <protection hidden="1"/>
    </xf>
    <xf numFmtId="0" fontId="85" fillId="2" borderId="0" xfId="0" applyFont="1" applyFill="1" applyAlignment="1" applyProtection="1">
      <alignment horizontal="left" vertical="center"/>
      <protection locked="0"/>
    </xf>
    <xf numFmtId="0" fontId="85" fillId="2" borderId="99" xfId="0" applyFont="1" applyFill="1" applyBorder="1" applyAlignment="1" applyProtection="1">
      <alignment horizontal="left"/>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1" fontId="79" fillId="0" borderId="0" xfId="0" applyNumberFormat="1" applyFont="1" applyAlignment="1" applyProtection="1">
      <alignment horizontal="left"/>
      <protection locked="0"/>
    </xf>
    <xf numFmtId="0" fontId="98" fillId="0" borderId="0" xfId="0" applyFont="1" applyAlignment="1">
      <alignment horizontal="left"/>
    </xf>
    <xf numFmtId="0" fontId="98" fillId="0" borderId="66" xfId="0" applyFont="1" applyBorder="1" applyAlignment="1">
      <alignment horizontal="left"/>
    </xf>
    <xf numFmtId="0" fontId="72" fillId="0" borderId="0" xfId="0" applyFont="1" applyAlignment="1" applyProtection="1">
      <alignment horizontal="center" vertical="center"/>
      <protection hidden="1"/>
    </xf>
    <xf numFmtId="0" fontId="79" fillId="0" borderId="13" xfId="0" applyFont="1" applyBorder="1" applyAlignment="1">
      <alignment horizont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172" fontId="72" fillId="0" borderId="19" xfId="1" applyNumberFormat="1" applyFont="1" applyBorder="1" applyAlignment="1">
      <alignment horizontal="center"/>
    </xf>
    <xf numFmtId="4" fontId="108" fillId="0" borderId="13" xfId="0" applyNumberFormat="1" applyFont="1" applyBorder="1" applyAlignment="1">
      <alignment horizontal="center" vertical="center"/>
    </xf>
    <xf numFmtId="0" fontId="108" fillId="0" borderId="0" xfId="0" applyFont="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9" fillId="0" borderId="49"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0" fontId="69" fillId="8" borderId="65"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182" fontId="85" fillId="2" borderId="0" xfId="0" applyNumberFormat="1" applyFont="1" applyFill="1" applyAlignment="1" applyProtection="1">
      <alignment horizontal="left"/>
      <protection locked="0"/>
    </xf>
    <xf numFmtId="0" fontId="69" fillId="2" borderId="102" xfId="0" applyFont="1" applyFill="1" applyBorder="1" applyAlignment="1" applyProtection="1">
      <alignment horizontal="left"/>
      <protection hidden="1"/>
    </xf>
    <xf numFmtId="0" fontId="69" fillId="2" borderId="27" xfId="0" applyFont="1" applyFill="1" applyBorder="1" applyAlignment="1" applyProtection="1">
      <alignment horizontal="left"/>
      <protection hidden="1"/>
    </xf>
    <xf numFmtId="0" fontId="85" fillId="2" borderId="0" xfId="0" applyFont="1" applyFill="1" applyAlignment="1" applyProtection="1">
      <alignment horizontal="left"/>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9" fillId="0" borderId="27" xfId="0" applyFont="1" applyBorder="1" applyAlignment="1">
      <alignment horizontal="left"/>
    </xf>
    <xf numFmtId="0" fontId="79" fillId="0" borderId="103" xfId="0" applyFont="1" applyBorder="1" applyAlignment="1">
      <alignment horizontal="left"/>
    </xf>
    <xf numFmtId="0" fontId="72" fillId="0" borderId="0" xfId="0" applyFont="1" applyAlignment="1">
      <alignment horizontal="left" vertical="center"/>
    </xf>
    <xf numFmtId="0" fontId="72" fillId="0" borderId="101" xfId="0" applyFont="1" applyBorder="1" applyAlignment="1">
      <alignment horizontal="left"/>
    </xf>
    <xf numFmtId="0" fontId="72" fillId="2" borderId="99" xfId="0" applyFont="1" applyFill="1" applyBorder="1" applyAlignment="1">
      <alignment horizontal="left"/>
    </xf>
    <xf numFmtId="0" fontId="72" fillId="0" borderId="102" xfId="0" applyFont="1" applyBorder="1" applyAlignment="1">
      <alignment horizontal="left" vertical="center"/>
    </xf>
    <xf numFmtId="0" fontId="72" fillId="0" borderId="27" xfId="0" applyFont="1" applyBorder="1" applyAlignment="1">
      <alignment horizontal="left" vertical="center"/>
    </xf>
    <xf numFmtId="0" fontId="98" fillId="0" borderId="65" xfId="0" applyFont="1" applyBorder="1" applyAlignment="1">
      <alignment horizontal="left"/>
    </xf>
    <xf numFmtId="0" fontId="79" fillId="0" borderId="99" xfId="0" applyFont="1" applyBorder="1" applyAlignment="1" applyProtection="1">
      <alignment horizontal="left" vertical="center"/>
      <protection locked="0"/>
    </xf>
    <xf numFmtId="0" fontId="72" fillId="0" borderId="0" xfId="0" applyFont="1" applyAlignment="1">
      <alignment horizontal="left"/>
    </xf>
    <xf numFmtId="1" fontId="72" fillId="0" borderId="99" xfId="0" applyNumberFormat="1" applyFont="1" applyBorder="1" applyAlignment="1">
      <alignment horizontal="left"/>
    </xf>
    <xf numFmtId="0" fontId="79" fillId="0" borderId="0" xfId="0" applyFont="1" applyAlignment="1" applyProtection="1">
      <alignment horizontal="left" vertical="center"/>
      <protection locked="0"/>
    </xf>
    <xf numFmtId="0" fontId="71" fillId="11" borderId="82" xfId="0" applyFont="1" applyFill="1" applyBorder="1" applyAlignment="1" applyProtection="1">
      <alignment horizontal="left"/>
      <protection hidden="1"/>
    </xf>
    <xf numFmtId="0" fontId="91" fillId="11" borderId="82" xfId="0" applyFont="1" applyFill="1" applyBorder="1" applyAlignment="1" applyProtection="1">
      <alignment horizontal="left"/>
      <protection locked="0"/>
    </xf>
    <xf numFmtId="0" fontId="72" fillId="0" borderId="99" xfId="0" applyFont="1" applyBorder="1" applyAlignment="1">
      <alignment horizontal="left" vertical="center"/>
    </xf>
    <xf numFmtId="1" fontId="79" fillId="0" borderId="99" xfId="0" applyNumberFormat="1" applyFont="1" applyBorder="1" applyAlignment="1" applyProtection="1">
      <alignment horizontal="left"/>
      <protection locked="0"/>
    </xf>
    <xf numFmtId="181" fontId="85" fillId="8" borderId="27" xfId="0" applyNumberFormat="1" applyFont="1" applyFill="1" applyBorder="1" applyAlignment="1" applyProtection="1">
      <alignment horizontal="left"/>
      <protection locked="0"/>
    </xf>
    <xf numFmtId="181" fontId="85" fillId="8" borderId="0" xfId="0" applyNumberFormat="1" applyFont="1" applyFill="1" applyAlignment="1" applyProtection="1">
      <alignment horizontal="left"/>
      <protection locked="0"/>
    </xf>
    <xf numFmtId="0" fontId="69" fillId="8" borderId="27" xfId="0" applyFont="1" applyFill="1" applyBorder="1" applyAlignment="1" applyProtection="1">
      <alignment horizontal="left"/>
      <protection hidden="1"/>
    </xf>
    <xf numFmtId="0" fontId="85" fillId="2" borderId="27" xfId="0" applyFont="1" applyFill="1" applyBorder="1" applyAlignment="1" applyProtection="1">
      <alignment horizontal="left" vertical="center"/>
      <protection locked="0"/>
    </xf>
    <xf numFmtId="0" fontId="69" fillId="2" borderId="0" xfId="0" applyFont="1" applyFill="1" applyAlignment="1" applyProtection="1">
      <alignment horizontal="center"/>
      <protection hidden="1"/>
    </xf>
    <xf numFmtId="0" fontId="130" fillId="0" borderId="102" xfId="0" applyFont="1" applyBorder="1" applyAlignment="1">
      <alignment horizontal="justify" vertical="top" wrapText="1"/>
    </xf>
    <xf numFmtId="0" fontId="130" fillId="0" borderId="27" xfId="0" applyFont="1" applyBorder="1" applyAlignment="1">
      <alignment horizontal="justify" vertical="top" wrapText="1"/>
    </xf>
    <xf numFmtId="0" fontId="130" fillId="0" borderId="103" xfId="0" applyFont="1" applyBorder="1" applyAlignment="1">
      <alignment horizontal="justify" vertical="top" wrapText="1"/>
    </xf>
    <xf numFmtId="0" fontId="130" fillId="0" borderId="65" xfId="0" applyFont="1" applyBorder="1" applyAlignment="1">
      <alignment horizontal="justify" vertical="top" wrapText="1"/>
    </xf>
    <xf numFmtId="0" fontId="130" fillId="0" borderId="0" xfId="0" applyFont="1" applyAlignment="1">
      <alignment horizontal="justify" vertical="top" wrapText="1"/>
    </xf>
    <xf numFmtId="0" fontId="130" fillId="0" borderId="66" xfId="0" applyFont="1" applyBorder="1" applyAlignment="1">
      <alignment horizontal="justify" vertical="top" wrapText="1"/>
    </xf>
    <xf numFmtId="0" fontId="130" fillId="0" borderId="101" xfId="0" applyFont="1" applyBorder="1" applyAlignment="1">
      <alignment horizontal="justify" vertical="top" wrapText="1"/>
    </xf>
    <xf numFmtId="0" fontId="130" fillId="0" borderId="99" xfId="0" applyFont="1" applyBorder="1" applyAlignment="1">
      <alignment horizontal="justify" vertical="top" wrapText="1"/>
    </xf>
    <xf numFmtId="0" fontId="130" fillId="0" borderId="100" xfId="0" applyFont="1" applyBorder="1" applyAlignment="1">
      <alignment horizontal="justify" vertical="top" wrapText="1"/>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0" fontId="72" fillId="0" borderId="102" xfId="0" applyFont="1" applyBorder="1" applyAlignment="1">
      <alignment horizontal="left"/>
    </xf>
    <xf numFmtId="0" fontId="72" fillId="0" borderId="27" xfId="0" applyFont="1" applyBorder="1" applyAlignment="1">
      <alignment horizontal="left"/>
    </xf>
    <xf numFmtId="0" fontId="72" fillId="2" borderId="27" xfId="0" applyFont="1" applyFill="1" applyBorder="1" applyAlignment="1">
      <alignment horizontal="lef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3" fontId="72" fillId="0" borderId="0" xfId="0" applyNumberFormat="1" applyFont="1" applyAlignment="1">
      <alignment horizontal="left"/>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65" xfId="0" applyFont="1" applyBorder="1" applyAlignment="1">
      <alignment horizontal="left" vertical="top" wrapText="1"/>
    </xf>
    <xf numFmtId="0" fontId="72" fillId="0" borderId="0" xfId="0" applyFont="1" applyAlignment="1">
      <alignment horizontal="left" vertical="top" wrapText="1"/>
    </xf>
    <xf numFmtId="0" fontId="72" fillId="0" borderId="66" xfId="0" applyFont="1" applyBorder="1" applyAlignment="1">
      <alignment horizontal="left" vertical="top" wrapText="1"/>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86" fontId="69" fillId="2" borderId="13" xfId="0" applyNumberFormat="1" applyFont="1" applyFill="1" applyBorder="1" applyAlignment="1" applyProtection="1">
      <alignment horizontal="left"/>
      <protection hidden="1"/>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69" fillId="0" borderId="85" xfId="0" applyFont="1" applyBorder="1" applyAlignment="1" applyProtection="1">
      <alignment horizontal="center"/>
      <protection hidden="1"/>
    </xf>
    <xf numFmtId="0" fontId="69" fillId="0" borderId="104" xfId="0" applyFont="1" applyBorder="1" applyAlignment="1" applyProtection="1">
      <alignment horizontal="center"/>
      <protection hidden="1"/>
    </xf>
    <xf numFmtId="0" fontId="69" fillId="2" borderId="91" xfId="0" applyFont="1" applyFill="1" applyBorder="1" applyAlignment="1" applyProtection="1">
      <alignment horizontal="left"/>
      <protection hidden="1"/>
    </xf>
    <xf numFmtId="0" fontId="69" fillId="2" borderId="13" xfId="0" applyFont="1" applyFill="1" applyBorder="1" applyAlignment="1" applyProtection="1">
      <alignment horizontal="left"/>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85" xfId="0" applyFont="1" applyBorder="1" applyAlignment="1" applyProtection="1">
      <alignment horizontal="left"/>
      <protection hidden="1"/>
    </xf>
    <xf numFmtId="0" fontId="108" fillId="0" borderId="27" xfId="0" applyFont="1" applyBorder="1" applyAlignment="1" applyProtection="1">
      <alignment horizontal="left"/>
      <protection locked="0"/>
    </xf>
    <xf numFmtId="0" fontId="72" fillId="0" borderId="13" xfId="0" applyFont="1" applyBorder="1" applyAlignment="1">
      <alignment horizontal="center"/>
    </xf>
    <xf numFmtId="0" fontId="72" fillId="0" borderId="50" xfId="0" applyFont="1" applyBorder="1" applyAlignment="1">
      <alignment horizontal="center"/>
    </xf>
    <xf numFmtId="3" fontId="69" fillId="2" borderId="13" xfId="0" applyNumberFormat="1" applyFont="1" applyFill="1" applyBorder="1" applyAlignment="1" applyProtection="1">
      <alignment horizontal="left"/>
      <protection hidden="1"/>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0" fontId="85" fillId="2" borderId="13" xfId="0" applyFont="1" applyFill="1" applyBorder="1" applyAlignment="1" applyProtection="1">
      <alignment horizontal="center"/>
      <protection locked="0"/>
    </xf>
    <xf numFmtId="0" fontId="90" fillId="10" borderId="0" xfId="0" applyFont="1" applyFill="1" applyAlignment="1">
      <alignment horizontal="center" vertical="center" textRotation="90"/>
    </xf>
    <xf numFmtId="0" fontId="90" fillId="9" borderId="0" xfId="0" applyFont="1" applyFill="1" applyAlignment="1">
      <alignment horizontal="center" vertical="center" textRotation="90"/>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100" xfId="0" applyFont="1" applyFill="1" applyBorder="1" applyAlignment="1">
      <alignment horizontal="center" vertical="center"/>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79" fillId="0" borderId="99" xfId="0" applyFont="1" applyBorder="1" applyAlignment="1" applyProtection="1">
      <alignment horizontal="left"/>
      <protection locked="0"/>
    </xf>
    <xf numFmtId="0" fontId="69" fillId="2" borderId="13" xfId="0" applyFont="1" applyFill="1" applyBorder="1" applyAlignment="1" applyProtection="1">
      <alignment horizontal="center"/>
      <protection hidden="1"/>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 fontId="77" fillId="0" borderId="0" xfId="0" applyNumberFormat="1" applyFont="1" applyAlignment="1">
      <alignment horizontal="left"/>
    </xf>
    <xf numFmtId="1" fontId="78" fillId="0" borderId="0" xfId="0" applyNumberFormat="1" applyFont="1" applyAlignment="1" applyProtection="1">
      <alignment horizontal="left"/>
      <protection locked="0"/>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4" fontId="132" fillId="0" borderId="13" xfId="0" applyNumberFormat="1" applyFont="1" applyBorder="1" applyAlignment="1">
      <alignment horizontal="right"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182" fontId="72" fillId="0" borderId="0" xfId="0" applyNumberFormat="1" applyFont="1" applyAlignment="1" applyProtection="1">
      <alignment horizontal="center" vertical="center"/>
      <protection hidden="1"/>
    </xf>
    <xf numFmtId="4" fontId="132" fillId="0" borderId="49" xfId="0" applyNumberFormat="1" applyFont="1" applyBorder="1" applyAlignment="1">
      <alignment horizontal="right" vertical="center"/>
    </xf>
    <xf numFmtId="4" fontId="132" fillId="0" borderId="50" xfId="0"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50" xfId="1" applyNumberFormat="1" applyFont="1" applyBorder="1" applyAlignment="1">
      <alignment horizontal="right" vertical="center"/>
    </xf>
    <xf numFmtId="0" fontId="72" fillId="0" borderId="0" xfId="0" applyFont="1" applyAlignment="1">
      <alignment horizontal="left" vertical="top"/>
    </xf>
    <xf numFmtId="0" fontId="72" fillId="0" borderId="66" xfId="0" applyFont="1" applyBorder="1" applyAlignment="1">
      <alignment horizontal="left" vertical="top"/>
    </xf>
    <xf numFmtId="4" fontId="87" fillId="0" borderId="13" xfId="0" applyNumberFormat="1" applyFont="1" applyBorder="1" applyAlignment="1">
      <alignment horizontal="right" vertical="center"/>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85" fillId="2" borderId="0" xfId="4" applyNumberFormat="1" applyFont="1" applyFill="1" applyAlignment="1" applyProtection="1">
      <alignment horizontal="center"/>
      <protection locked="0"/>
    </xf>
    <xf numFmtId="0" fontId="79" fillId="0" borderId="27" xfId="0" applyFont="1" applyBorder="1" applyAlignment="1" applyProtection="1">
      <alignment horizontal="left"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85" fillId="2" borderId="27" xfId="4" applyNumberFormat="1" applyFont="1" applyFill="1" applyBorder="1" applyAlignment="1" applyProtection="1">
      <alignment horizontal="center"/>
      <protection locked="0"/>
    </xf>
    <xf numFmtId="0" fontId="69" fillId="2" borderId="27" xfId="0" applyFont="1" applyFill="1" applyBorder="1" applyAlignment="1" applyProtection="1">
      <alignment horizontal="center"/>
      <protection hidden="1"/>
    </xf>
    <xf numFmtId="0" fontId="69" fillId="2" borderId="103" xfId="0" applyFont="1" applyFill="1" applyBorder="1" applyAlignment="1" applyProtection="1">
      <alignment horizontal="center"/>
      <protection hidden="1"/>
    </xf>
    <xf numFmtId="3" fontId="72" fillId="0" borderId="13" xfId="1" applyNumberFormat="1" applyFont="1" applyBorder="1" applyAlignment="1">
      <alignment horizontal="center" vertical="center"/>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91" xfId="0" applyFont="1" applyBorder="1" applyAlignment="1" applyProtection="1">
      <alignment horizontal="left" vertical="center"/>
      <protection locked="0"/>
    </xf>
    <xf numFmtId="0" fontId="72" fillId="0" borderId="49" xfId="0" applyFont="1" applyBorder="1" applyAlignment="1">
      <alignment horizontal="center"/>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7" fillId="0" borderId="13" xfId="0" applyFont="1" applyBorder="1" applyAlignment="1">
      <alignment horizontal="center"/>
    </xf>
    <xf numFmtId="167" fontId="72" fillId="0" borderId="0" xfId="0" applyNumberFormat="1" applyFont="1" applyAlignment="1">
      <alignment horizontal="left"/>
    </xf>
    <xf numFmtId="1" fontId="72" fillId="0" borderId="0" xfId="0" applyNumberFormat="1" applyFont="1" applyAlignment="1">
      <alignment horizontal="left"/>
    </xf>
    <xf numFmtId="0" fontId="77" fillId="0" borderId="85" xfId="0" applyFont="1" applyBorder="1" applyAlignment="1">
      <alignment horizontal="center"/>
    </xf>
    <xf numFmtId="0" fontId="72" fillId="0" borderId="27" xfId="0" applyFont="1" applyBorder="1" applyAlignment="1">
      <alignment horizontal="left" vertical="top"/>
    </xf>
    <xf numFmtId="0" fontId="72" fillId="0" borderId="103" xfId="0" applyFont="1" applyBorder="1" applyAlignment="1">
      <alignment horizontal="left" vertical="top"/>
    </xf>
    <xf numFmtId="0" fontId="90" fillId="9" borderId="47" xfId="0" applyFont="1" applyFill="1" applyBorder="1" applyAlignment="1">
      <alignment horizontal="center" vertical="center" textRotation="9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172" fontId="72" fillId="0" borderId="13" xfId="1" applyNumberFormat="1" applyFont="1" applyBorder="1" applyAlignment="1">
      <alignment horizontal="center"/>
    </xf>
    <xf numFmtId="170" fontId="72" fillId="0" borderId="10" xfId="2" applyNumberFormat="1" applyFont="1" applyBorder="1" applyAlignment="1" applyProtection="1">
      <alignment horizontal="left" vertical="center"/>
      <protection locked="0"/>
    </xf>
    <xf numFmtId="4" fontId="123" fillId="21" borderId="56" xfId="0" applyNumberFormat="1" applyFont="1" applyFill="1" applyBorder="1" applyAlignment="1">
      <alignment horizontal="center"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85" fillId="2" borderId="27" xfId="0" applyFont="1" applyFill="1" applyBorder="1" applyAlignment="1" applyProtection="1">
      <alignment horizontal="left"/>
      <protection locked="0"/>
    </xf>
    <xf numFmtId="0" fontId="69" fillId="2" borderId="101" xfId="0" applyFont="1" applyFill="1" applyBorder="1" applyAlignment="1" applyProtection="1">
      <alignment horizontal="left"/>
      <protection hidden="1"/>
    </xf>
    <xf numFmtId="0" fontId="95" fillId="2" borderId="84" xfId="0" applyFont="1" applyFill="1" applyBorder="1" applyProtection="1">
      <protection hidden="1"/>
    </xf>
    <xf numFmtId="3" fontId="69" fillId="2" borderId="13" xfId="0" applyNumberFormat="1" applyFont="1" applyFill="1" applyBorder="1" applyAlignment="1" applyProtection="1">
      <alignment horizontal="center"/>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69" fillId="8" borderId="102" xfId="0" applyFont="1" applyFill="1" applyBorder="1" applyAlignment="1" applyProtection="1">
      <alignment horizontal="left"/>
      <protection hidden="1"/>
    </xf>
    <xf numFmtId="4" fontId="129" fillId="2" borderId="90" xfId="1" applyNumberFormat="1" applyFont="1" applyFill="1" applyBorder="1" applyAlignment="1">
      <alignment horizontal="right" vertical="center"/>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108" fillId="0" borderId="19" xfId="0" applyFont="1" applyBorder="1" applyAlignment="1">
      <alignment horizontal="center"/>
    </xf>
    <xf numFmtId="0" fontId="108" fillId="0" borderId="20" xfId="0" applyFont="1" applyBorder="1" applyAlignment="1">
      <alignment horizont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66" xfId="0" applyFont="1" applyBorder="1" applyAlignment="1">
      <alignment horizontal="left"/>
    </xf>
    <xf numFmtId="0" fontId="147" fillId="19" borderId="102" xfId="0" applyFont="1" applyFill="1" applyBorder="1" applyAlignment="1">
      <alignment horizontal="center" vertical="center" wrapText="1"/>
    </xf>
    <xf numFmtId="0" fontId="147" fillId="19" borderId="27" xfId="0" applyFont="1" applyFill="1" applyBorder="1" applyAlignment="1">
      <alignment horizontal="center" vertical="center" wrapText="1"/>
    </xf>
    <xf numFmtId="0" fontId="147" fillId="19" borderId="103" xfId="0" applyFont="1" applyFill="1" applyBorder="1" applyAlignment="1">
      <alignment horizontal="center" vertical="center" wrapText="1"/>
    </xf>
    <xf numFmtId="0" fontId="147" fillId="19" borderId="101" xfId="0" applyFont="1" applyFill="1" applyBorder="1" applyAlignment="1">
      <alignment horizontal="center" vertical="center" wrapText="1"/>
    </xf>
    <xf numFmtId="0" fontId="147" fillId="19" borderId="99" xfId="0" applyFont="1" applyFill="1" applyBorder="1" applyAlignment="1">
      <alignment horizontal="center" vertical="center" wrapText="1"/>
    </xf>
    <xf numFmtId="0" fontId="147" fillId="19" borderId="100" xfId="0" applyFont="1" applyFill="1" applyBorder="1" applyAlignment="1">
      <alignment horizontal="center" vertical="center" wrapText="1"/>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72" fillId="0" borderId="58" xfId="0" applyFont="1" applyBorder="1" applyAlignment="1" applyProtection="1">
      <alignment horizontal="left" vertical="top"/>
      <protection locked="0"/>
    </xf>
    <xf numFmtId="4" fontId="132" fillId="0" borderId="49" xfId="1" applyNumberFormat="1" applyFont="1" applyBorder="1" applyAlignment="1">
      <alignment horizontal="right" vertical="center"/>
    </xf>
    <xf numFmtId="4" fontId="132" fillId="0" borderId="50"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92" xfId="2" applyNumberFormat="1" applyFont="1" applyBorder="1" applyAlignment="1" applyProtection="1">
      <alignment horizontal="left" vertical="center"/>
      <protection locked="0"/>
    </xf>
    <xf numFmtId="3" fontId="158"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0" fontId="78" fillId="0" borderId="27" xfId="0" applyFont="1" applyBorder="1" applyAlignment="1" applyProtection="1">
      <alignment horizontal="left"/>
      <protection locked="0"/>
    </xf>
    <xf numFmtId="0" fontId="78" fillId="0" borderId="27" xfId="0" applyFont="1" applyBorder="1" applyAlignment="1">
      <alignment horizontal="left"/>
    </xf>
    <xf numFmtId="0" fontId="78" fillId="0" borderId="103" xfId="0" applyFont="1" applyBorder="1" applyAlignment="1">
      <alignment horizontal="left"/>
    </xf>
    <xf numFmtId="0" fontId="78" fillId="0" borderId="99" xfId="0" applyFont="1" applyBorder="1" applyAlignment="1" applyProtection="1">
      <alignment horizontal="left"/>
      <protection locked="0"/>
    </xf>
    <xf numFmtId="0" fontId="71" fillId="10" borderId="0" xfId="0" applyFont="1" applyFill="1" applyAlignment="1">
      <alignment horizontal="center" vertical="center" textRotation="90"/>
    </xf>
    <xf numFmtId="0" fontId="91" fillId="10" borderId="0" xfId="0" applyFont="1" applyFill="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Alignment="1">
      <alignment horizontal="center"/>
    </xf>
    <xf numFmtId="0" fontId="91" fillId="10" borderId="97" xfId="0" applyFont="1" applyFill="1" applyBorder="1" applyAlignment="1">
      <alignment horizontal="center"/>
    </xf>
    <xf numFmtId="0" fontId="21" fillId="0" borderId="0" xfId="0" applyFont="1" applyAlignment="1" applyProtection="1">
      <alignment horizontal="center"/>
      <protection hidden="1"/>
    </xf>
    <xf numFmtId="0" fontId="52" fillId="0" borderId="68" xfId="0" applyFont="1" applyBorder="1" applyAlignment="1">
      <alignment horizontal="left"/>
    </xf>
    <xf numFmtId="0" fontId="52" fillId="0" borderId="13" xfId="0" applyFont="1" applyBorder="1" applyAlignment="1">
      <alignment horizontal="left"/>
    </xf>
    <xf numFmtId="0" fontId="52" fillId="0" borderId="13" xfId="0" applyFont="1" applyBorder="1"/>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center"/>
    </xf>
    <xf numFmtId="1" fontId="21" fillId="0" borderId="0" xfId="0" applyNumberFormat="1" applyFont="1" applyAlignment="1" applyProtection="1">
      <alignment horizontal="center"/>
      <protection hidden="1"/>
    </xf>
    <xf numFmtId="182" fontId="21" fillId="0" borderId="0" xfId="0" applyNumberFormat="1" applyFont="1" applyAlignment="1" applyProtection="1">
      <alignment horizontal="center"/>
      <protection hidden="1"/>
    </xf>
    <xf numFmtId="0" fontId="51" fillId="2" borderId="60" xfId="0" applyFont="1" applyFill="1" applyBorder="1" applyAlignment="1">
      <alignment horizontal="left"/>
    </xf>
    <xf numFmtId="0" fontId="44" fillId="2" borderId="60" xfId="0" applyFont="1" applyFill="1" applyBorder="1" applyAlignment="1">
      <alignment horizontal="center"/>
    </xf>
    <xf numFmtId="0" fontId="50" fillId="2" borderId="71" xfId="0" applyFont="1" applyFill="1" applyBorder="1" applyAlignment="1">
      <alignment horizontal="left"/>
    </xf>
    <xf numFmtId="0" fontId="40" fillId="0" borderId="51" xfId="0" applyFont="1" applyBorder="1" applyAlignment="1">
      <alignment horizontal="left"/>
    </xf>
    <xf numFmtId="14" fontId="27" fillId="0" borderId="47" xfId="0" applyNumberFormat="1" applyFont="1" applyBorder="1" applyAlignment="1">
      <alignment horizontal="left"/>
    </xf>
    <xf numFmtId="0" fontId="58" fillId="0" borderId="0" xfId="0" applyFont="1" applyAlignment="1">
      <alignment horizontal="center" vertical="top"/>
    </xf>
    <xf numFmtId="0" fontId="51" fillId="2" borderId="13" xfId="0" applyFont="1" applyFill="1" applyBorder="1" applyAlignment="1">
      <alignment horizontal="left"/>
    </xf>
    <xf numFmtId="0" fontId="44" fillId="2" borderId="13" xfId="0" applyFont="1" applyFill="1" applyBorder="1" applyAlignment="1">
      <alignment horizontal="center"/>
    </xf>
    <xf numFmtId="0" fontId="50" fillId="2" borderId="69" xfId="0" applyFont="1" applyFill="1" applyBorder="1" applyAlignment="1">
      <alignment horizontal="left"/>
    </xf>
    <xf numFmtId="0" fontId="50" fillId="2" borderId="13" xfId="0" applyFont="1" applyFill="1" applyBorder="1" applyAlignment="1">
      <alignment horizontal="left"/>
    </xf>
    <xf numFmtId="0" fontId="50" fillId="2" borderId="60" xfId="0" applyFont="1" applyFill="1" applyBorder="1" applyAlignment="1">
      <alignment horizontal="left"/>
    </xf>
    <xf numFmtId="0" fontId="16" fillId="0" borderId="36" xfId="0" applyFont="1" applyBorder="1" applyAlignment="1">
      <alignment horizontal="center" vertical="center"/>
    </xf>
    <xf numFmtId="0" fontId="52" fillId="0" borderId="36" xfId="0" applyFont="1" applyBorder="1" applyAlignment="1">
      <alignment horizontal="left"/>
    </xf>
    <xf numFmtId="0" fontId="17" fillId="0" borderId="31" xfId="0" applyFont="1" applyBorder="1" applyAlignment="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Alignment="1">
      <alignment horizontal="center"/>
    </xf>
    <xf numFmtId="0" fontId="14" fillId="0" borderId="0" xfId="0" applyFont="1" applyAlignment="1">
      <alignment horizontal="center"/>
    </xf>
    <xf numFmtId="0" fontId="19" fillId="0" borderId="31" xfId="0" applyFont="1" applyBorder="1" applyAlignment="1">
      <alignment horizontal="left"/>
    </xf>
    <xf numFmtId="0" fontId="22" fillId="0" borderId="31" xfId="0" applyFont="1" applyBorder="1" applyAlignment="1">
      <alignment horizontal="center"/>
    </xf>
    <xf numFmtId="1" fontId="0" fillId="0" borderId="75" xfId="0" applyNumberFormat="1" applyBorder="1" applyAlignment="1">
      <alignment horizontal="center"/>
    </xf>
    <xf numFmtId="1" fontId="0" fillId="0" borderId="76" xfId="0" applyNumberFormat="1" applyBorder="1" applyAlignment="1">
      <alignment horizontal="center"/>
    </xf>
    <xf numFmtId="3" fontId="0" fillId="0" borderId="0" xfId="0" applyNumberFormat="1" applyAlignment="1">
      <alignment horizontal="center"/>
    </xf>
    <xf numFmtId="0" fontId="19" fillId="0" borderId="78" xfId="0" applyFont="1" applyBorder="1" applyAlignment="1">
      <alignment horizontal="center"/>
    </xf>
    <xf numFmtId="4" fontId="1" fillId="0" borderId="79" xfId="0" applyNumberFormat="1" applyFont="1" applyBorder="1" applyAlignment="1">
      <alignment horizontal="center"/>
    </xf>
    <xf numFmtId="4" fontId="19" fillId="0" borderId="54" xfId="0" applyNumberFormat="1" applyFont="1" applyBorder="1" applyAlignment="1">
      <alignment horizontal="right"/>
    </xf>
    <xf numFmtId="172" fontId="19" fillId="0" borderId="76" xfId="1" applyNumberFormat="1" applyFont="1" applyBorder="1" applyAlignment="1" applyProtection="1">
      <alignment horizontal="center"/>
    </xf>
    <xf numFmtId="3" fontId="19" fillId="0" borderId="76" xfId="0" applyNumberFormat="1" applyFont="1" applyBorder="1" applyAlignment="1">
      <alignment horizontal="center"/>
    </xf>
    <xf numFmtId="0" fontId="19" fillId="0" borderId="51" xfId="0" applyFont="1" applyBorder="1" applyAlignment="1">
      <alignment horizontal="center"/>
    </xf>
    <xf numFmtId="169" fontId="19" fillId="0" borderId="47" xfId="1" applyFont="1" applyBorder="1" applyProtection="1"/>
    <xf numFmtId="0" fontId="19" fillId="0" borderId="47" xfId="0" applyFont="1" applyBorder="1" applyAlignment="1">
      <alignment horizontal="left"/>
    </xf>
    <xf numFmtId="167" fontId="19" fillId="0" borderId="37" xfId="0" applyNumberFormat="1" applyFont="1" applyBorder="1" applyAlignment="1">
      <alignment horizontal="left"/>
    </xf>
    <xf numFmtId="3" fontId="19" fillId="0" borderId="54" xfId="0" applyNumberFormat="1" applyFont="1" applyBorder="1" applyAlignment="1">
      <alignment horizontal="right"/>
    </xf>
    <xf numFmtId="0" fontId="1" fillId="0" borderId="31" xfId="0" applyFont="1" applyBorder="1" applyAlignment="1">
      <alignment horizontal="left"/>
    </xf>
    <xf numFmtId="177" fontId="1" fillId="0" borderId="76" xfId="0" applyNumberFormat="1" applyFont="1" applyBorder="1" applyAlignment="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lignment horizontal="center"/>
    </xf>
    <xf numFmtId="0" fontId="17" fillId="0" borderId="59" xfId="0" applyFont="1" applyBorder="1" applyAlignment="1">
      <alignment horizontal="left"/>
    </xf>
    <xf numFmtId="0" fontId="19" fillId="0" borderId="31" xfId="0" applyFont="1" applyBorder="1" applyAlignment="1">
      <alignment horizontal="center"/>
    </xf>
    <xf numFmtId="0" fontId="19" fillId="0" borderId="76" xfId="0" applyFont="1" applyBorder="1" applyAlignment="1">
      <alignment horizontal="center"/>
    </xf>
    <xf numFmtId="0" fontId="15" fillId="0" borderId="75" xfId="0" applyFont="1" applyBorder="1" applyAlignment="1">
      <alignment horizontal="left" vertical="center"/>
    </xf>
    <xf numFmtId="1" fontId="17" fillId="0" borderId="59" xfId="0" applyNumberFormat="1" applyFont="1" applyBorder="1" applyAlignment="1">
      <alignment horizontal="right"/>
    </xf>
    <xf numFmtId="0" fontId="15" fillId="0" borderId="75" xfId="0" applyFont="1" applyBorder="1" applyAlignment="1">
      <alignment horizontal="left"/>
    </xf>
    <xf numFmtId="0" fontId="17" fillId="0" borderId="75" xfId="0" applyFont="1" applyBorder="1" applyAlignment="1">
      <alignment horizontal="left"/>
    </xf>
    <xf numFmtId="0" fontId="17" fillId="0" borderId="59" xfId="0" applyFont="1" applyBorder="1" applyAlignment="1">
      <alignment horizontal="left" vertical="center"/>
    </xf>
    <xf numFmtId="0" fontId="17" fillId="0" borderId="31" xfId="0" applyFont="1" applyBorder="1" applyAlignment="1">
      <alignment horizontal="left" vertical="center"/>
    </xf>
    <xf numFmtId="0" fontId="17" fillId="0" borderId="76" xfId="0" applyFont="1" applyBorder="1" applyAlignment="1">
      <alignment horizontal="left" vertical="center"/>
    </xf>
    <xf numFmtId="0" fontId="47" fillId="0" borderId="77" xfId="0" applyFont="1" applyBorder="1" applyAlignment="1">
      <alignment horizontal="left" vertical="top" wrapText="1"/>
    </xf>
    <xf numFmtId="49" fontId="17" fillId="0" borderId="76" xfId="0" applyNumberFormat="1" applyFont="1" applyBorder="1" applyAlignment="1">
      <alignment horizontal="center" vertical="center"/>
    </xf>
    <xf numFmtId="0" fontId="11" fillId="0" borderId="48" xfId="0" applyFont="1" applyBorder="1" applyAlignment="1">
      <alignment horizontal="left"/>
    </xf>
    <xf numFmtId="0" fontId="60" fillId="0" borderId="73" xfId="0" applyFont="1" applyBorder="1" applyAlignment="1">
      <alignment horizontal="center" vertical="center" textRotation="90" wrapText="1"/>
    </xf>
    <xf numFmtId="0" fontId="9" fillId="0" borderId="44" xfId="0" applyFont="1" applyBorder="1" applyAlignment="1">
      <alignment horizontal="left" vertical="top" wrapText="1"/>
    </xf>
    <xf numFmtId="0" fontId="60" fillId="0" borderId="74" xfId="0" applyFont="1" applyBorder="1" applyAlignment="1">
      <alignment horizontal="center" vertical="center" textRotation="90" wrapText="1"/>
    </xf>
    <xf numFmtId="0" fontId="9" fillId="0" borderId="71" xfId="0" applyFont="1" applyBorder="1" applyAlignment="1">
      <alignment horizontal="left" vertical="top" wrapText="1"/>
    </xf>
    <xf numFmtId="0" fontId="11" fillId="0" borderId="75" xfId="0" applyFont="1" applyBorder="1" applyAlignment="1">
      <alignment horizontal="center" vertical="top" wrapText="1"/>
    </xf>
    <xf numFmtId="0" fontId="15" fillId="0" borderId="76" xfId="0" applyFont="1" applyBorder="1" applyAlignment="1">
      <alignment horizontal="left" vertical="top" wrapText="1"/>
    </xf>
    <xf numFmtId="0" fontId="113" fillId="2" borderId="0" xfId="0" applyFont="1" applyFill="1" applyAlignment="1">
      <alignment horizontal="left" vertical="center"/>
    </xf>
    <xf numFmtId="0" fontId="69" fillId="2" borderId="0" xfId="0" applyFont="1" applyFill="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Alignment="1">
      <alignment horizontal="left" vertical="center" wrapText="1"/>
    </xf>
    <xf numFmtId="0" fontId="113" fillId="0" borderId="0" xfId="0" applyFont="1" applyAlignment="1">
      <alignment horizontal="left" vertical="center"/>
    </xf>
    <xf numFmtId="0" fontId="113" fillId="0" borderId="0" xfId="0" applyFont="1" applyAlignment="1">
      <alignment horizontal="left"/>
    </xf>
    <xf numFmtId="0" fontId="160" fillId="30" borderId="64" xfId="0" applyFont="1" applyFill="1" applyBorder="1" applyAlignment="1">
      <alignment horizontal="center"/>
    </xf>
    <xf numFmtId="0" fontId="160" fillId="30" borderId="82" xfId="0" applyFont="1" applyFill="1" applyBorder="1" applyAlignment="1">
      <alignment horizontal="center"/>
    </xf>
    <xf numFmtId="0" fontId="160"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xr:uid="{00000000-0005-0000-0000-000000000000}"/>
    <cellStyle name="Currency 2" xfId="8" xr:uid="{00000000-0005-0000-0000-000001000000}"/>
    <cellStyle name="Euro" xfId="6" xr:uid="{00000000-0005-0000-0000-000002000000}"/>
    <cellStyle name="Hipervínculo" xfId="10" builtinId="8"/>
    <cellStyle name="Millares" xfId="1" builtinId="3"/>
    <cellStyle name="Moneda" xfId="2" builtinId="4"/>
    <cellStyle name="Moneda [0]" xfId="11" builtinId="7"/>
    <cellStyle name="Normal" xfId="0" builtinId="0"/>
    <cellStyle name="Normal 2" xfId="5" xr:uid="{00000000-0005-0000-0000-000008000000}"/>
    <cellStyle name="Percent 2" xfId="9" xr:uid="{00000000-0005-0000-0000-000009000000}"/>
    <cellStyle name="Porcentaje" xfId="3" builtinId="5"/>
    <cellStyle name="Texto explicativo" xfId="4" builtinId="53" customBuiltin="1"/>
  </cellStyles>
  <dxfs count="132">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jpg"/><Relationship Id="rId1" Type="http://schemas.openxmlformats.org/officeDocument/2006/relationships/image" Target="../media/image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2.emf"/><Relationship Id="rId18" Type="http://schemas.openxmlformats.org/officeDocument/2006/relationships/image" Target="../media/image27.jpg"/><Relationship Id="rId26" Type="http://schemas.openxmlformats.org/officeDocument/2006/relationships/image" Target="../media/image35.jpg"/><Relationship Id="rId39" Type="http://schemas.openxmlformats.org/officeDocument/2006/relationships/image" Target="../media/image47.jpg"/><Relationship Id="rId3" Type="http://schemas.openxmlformats.org/officeDocument/2006/relationships/image" Target="../media/image13.emf"/><Relationship Id="rId21" Type="http://schemas.openxmlformats.org/officeDocument/2006/relationships/image" Target="../media/image30.jpg"/><Relationship Id="rId34" Type="http://schemas.openxmlformats.org/officeDocument/2006/relationships/image" Target="../media/image43.png"/><Relationship Id="rId7" Type="http://schemas.openxmlformats.org/officeDocument/2006/relationships/image" Target="../media/image16.emf"/><Relationship Id="rId12" Type="http://schemas.openxmlformats.org/officeDocument/2006/relationships/image" Target="../media/image21.emf"/><Relationship Id="rId17" Type="http://schemas.openxmlformats.org/officeDocument/2006/relationships/image" Target="../media/image26.jpg"/><Relationship Id="rId25" Type="http://schemas.openxmlformats.org/officeDocument/2006/relationships/image" Target="../media/image34.jpg"/><Relationship Id="rId33" Type="http://schemas.openxmlformats.org/officeDocument/2006/relationships/image" Target="../media/image42.png"/><Relationship Id="rId38" Type="http://schemas.openxmlformats.org/officeDocument/2006/relationships/image" Target="../media/image46.jpg"/><Relationship Id="rId2" Type="http://schemas.openxmlformats.org/officeDocument/2006/relationships/image" Target="../media/image12.jpeg"/><Relationship Id="rId16" Type="http://schemas.openxmlformats.org/officeDocument/2006/relationships/image" Target="../media/image25.png"/><Relationship Id="rId20" Type="http://schemas.openxmlformats.org/officeDocument/2006/relationships/image" Target="../media/image29.jpg"/><Relationship Id="rId29" Type="http://schemas.openxmlformats.org/officeDocument/2006/relationships/image" Target="../media/image38.jpg"/><Relationship Id="rId41" Type="http://schemas.openxmlformats.org/officeDocument/2006/relationships/image" Target="../media/image49.png"/><Relationship Id="rId1" Type="http://schemas.openxmlformats.org/officeDocument/2006/relationships/image" Target="../media/image11.jpg"/><Relationship Id="rId6" Type="http://schemas.openxmlformats.org/officeDocument/2006/relationships/image" Target="../media/image9.jpg"/><Relationship Id="rId11" Type="http://schemas.openxmlformats.org/officeDocument/2006/relationships/image" Target="../media/image20.emf"/><Relationship Id="rId24" Type="http://schemas.openxmlformats.org/officeDocument/2006/relationships/image" Target="../media/image33.jpg"/><Relationship Id="rId32" Type="http://schemas.openxmlformats.org/officeDocument/2006/relationships/image" Target="../media/image41.png"/><Relationship Id="rId37" Type="http://schemas.openxmlformats.org/officeDocument/2006/relationships/image" Target="../media/image45.jpg"/><Relationship Id="rId40" Type="http://schemas.openxmlformats.org/officeDocument/2006/relationships/image" Target="../media/image48.png"/><Relationship Id="rId5" Type="http://schemas.openxmlformats.org/officeDocument/2006/relationships/image" Target="../media/image15.emf"/><Relationship Id="rId15" Type="http://schemas.openxmlformats.org/officeDocument/2006/relationships/image" Target="../media/image24.png"/><Relationship Id="rId23" Type="http://schemas.openxmlformats.org/officeDocument/2006/relationships/image" Target="../media/image32.jpg"/><Relationship Id="rId28" Type="http://schemas.openxmlformats.org/officeDocument/2006/relationships/image" Target="../media/image37.jpg"/><Relationship Id="rId36" Type="http://schemas.openxmlformats.org/officeDocument/2006/relationships/image" Target="../media/image4.jpg"/><Relationship Id="rId10" Type="http://schemas.openxmlformats.org/officeDocument/2006/relationships/image" Target="../media/image19.emf"/><Relationship Id="rId19" Type="http://schemas.openxmlformats.org/officeDocument/2006/relationships/image" Target="../media/image28.jpg"/><Relationship Id="rId31" Type="http://schemas.openxmlformats.org/officeDocument/2006/relationships/image" Target="../media/image40.png"/><Relationship Id="rId4" Type="http://schemas.openxmlformats.org/officeDocument/2006/relationships/image" Target="../media/image14.emf"/><Relationship Id="rId9" Type="http://schemas.openxmlformats.org/officeDocument/2006/relationships/image" Target="../media/image18.emf"/><Relationship Id="rId14" Type="http://schemas.openxmlformats.org/officeDocument/2006/relationships/image" Target="../media/image23.png"/><Relationship Id="rId22" Type="http://schemas.openxmlformats.org/officeDocument/2006/relationships/image" Target="../media/image31.jpg"/><Relationship Id="rId27" Type="http://schemas.openxmlformats.org/officeDocument/2006/relationships/image" Target="../media/image36.jpg"/><Relationship Id="rId30" Type="http://schemas.openxmlformats.org/officeDocument/2006/relationships/image" Target="../media/image39.jpg"/><Relationship Id="rId35" Type="http://schemas.openxmlformats.org/officeDocument/2006/relationships/image" Target="../media/image44.png"/></Relationships>
</file>

<file path=xl/drawings/_rels/drawing5.xml.rels><?xml version="1.0" encoding="UTF-8" standalone="yes"?>
<Relationships xmlns="http://schemas.openxmlformats.org/package/2006/relationships"><Relationship Id="rId8" Type="http://schemas.openxmlformats.org/officeDocument/2006/relationships/image" Target="../media/image33.jpg"/><Relationship Id="rId3" Type="http://schemas.openxmlformats.org/officeDocument/2006/relationships/image" Target="../media/image28.jpg"/><Relationship Id="rId7" Type="http://schemas.openxmlformats.org/officeDocument/2006/relationships/image" Target="../media/image32.jpg"/><Relationship Id="rId2" Type="http://schemas.openxmlformats.org/officeDocument/2006/relationships/image" Target="../media/image27.jpg"/><Relationship Id="rId1" Type="http://schemas.openxmlformats.org/officeDocument/2006/relationships/image" Target="../media/image26.jpg"/><Relationship Id="rId6" Type="http://schemas.openxmlformats.org/officeDocument/2006/relationships/image" Target="../media/image31.jpg"/><Relationship Id="rId5" Type="http://schemas.openxmlformats.org/officeDocument/2006/relationships/image" Target="../media/image30.jpg"/><Relationship Id="rId4" Type="http://schemas.openxmlformats.org/officeDocument/2006/relationships/image" Target="../media/image29.jpg"/></Relationships>
</file>

<file path=xl/drawings/_rels/drawing6.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image" Target="../media/image36.jpg"/><Relationship Id="rId7" Type="http://schemas.openxmlformats.org/officeDocument/2006/relationships/image" Target="../media/image40.png"/><Relationship Id="rId2" Type="http://schemas.openxmlformats.org/officeDocument/2006/relationships/image" Target="../media/image35.jpg"/><Relationship Id="rId1" Type="http://schemas.openxmlformats.org/officeDocument/2006/relationships/image" Target="../media/image34.jpg"/><Relationship Id="rId6" Type="http://schemas.openxmlformats.org/officeDocument/2006/relationships/image" Target="../media/image39.jpg"/><Relationship Id="rId5" Type="http://schemas.openxmlformats.org/officeDocument/2006/relationships/image" Target="../media/image38.jpg"/><Relationship Id="rId4" Type="http://schemas.openxmlformats.org/officeDocument/2006/relationships/image" Target="../media/image37.jpg"/></Relationships>
</file>

<file path=xl/drawings/_rels/drawing7.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11.jpg"/><Relationship Id="rId4" Type="http://schemas.openxmlformats.org/officeDocument/2006/relationships/image" Target="../media/image2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2.jpeg"/><Relationship Id="rId2" Type="http://schemas.openxmlformats.org/officeDocument/2006/relationships/image" Target="../media/image51.jpg"/><Relationship Id="rId1" Type="http://schemas.openxmlformats.org/officeDocument/2006/relationships/image" Target="../media/image50.jpg"/><Relationship Id="rId4" Type="http://schemas.openxmlformats.org/officeDocument/2006/relationships/image" Target="../media/image53.jpg"/></Relationships>
</file>

<file path=xl/drawings/_rels/drawing9.xml.rels><?xml version="1.0" encoding="UTF-8" standalone="yes"?>
<Relationships xmlns="http://schemas.openxmlformats.org/package/2006/relationships"><Relationship Id="rId3" Type="http://schemas.openxmlformats.org/officeDocument/2006/relationships/image" Target="../media/image27.jpg"/><Relationship Id="rId2" Type="http://schemas.openxmlformats.org/officeDocument/2006/relationships/image" Target="../media/image43.png"/><Relationship Id="rId1" Type="http://schemas.openxmlformats.org/officeDocument/2006/relationships/image" Target="../media/image42.png"/><Relationship Id="rId4" Type="http://schemas.openxmlformats.org/officeDocument/2006/relationships/image" Target="../media/image54.jpg"/></Relationships>
</file>

<file path=xl/drawings/_rels/drawing10.xml.rels><?xml version="1.0" encoding="UTF-8" standalone="yes"?>
<Relationships xmlns="http://schemas.openxmlformats.org/package/2006/relationships"><Relationship Id="rId3" Type="http://schemas.openxmlformats.org/officeDocument/2006/relationships/image" Target="../media/image45.jpg"/><Relationship Id="rId7" Type="http://schemas.openxmlformats.org/officeDocument/2006/relationships/image" Target="../media/image56.jpg"/><Relationship Id="rId2" Type="http://schemas.openxmlformats.org/officeDocument/2006/relationships/image" Target="../media/image4.jpg"/><Relationship Id="rId1" Type="http://schemas.openxmlformats.org/officeDocument/2006/relationships/image" Target="../media/image44.png"/><Relationship Id="rId6" Type="http://schemas.openxmlformats.org/officeDocument/2006/relationships/image" Target="../media/image55.jpg"/><Relationship Id="rId5" Type="http://schemas.openxmlformats.org/officeDocument/2006/relationships/image" Target="../media/image47.jpg"/><Relationship Id="rId4" Type="http://schemas.openxmlformats.org/officeDocument/2006/relationships/image" Target="../media/image46.jpg"/></Relationships>
</file>

<file path=xl/drawings/_rels/drawing11.xml.rels><?xml version="1.0" encoding="UTF-8" standalone="yes"?>
<Relationships xmlns="http://schemas.openxmlformats.org/package/2006/relationships"><Relationship Id="rId3" Type="http://schemas.openxmlformats.org/officeDocument/2006/relationships/image" Target="../media/image59.png"/><Relationship Id="rId2" Type="http://schemas.openxmlformats.org/officeDocument/2006/relationships/image" Target="../media/image58.png"/><Relationship Id="rId1" Type="http://schemas.openxmlformats.org/officeDocument/2006/relationships/image" Target="../media/image57.png"/><Relationship Id="rId5" Type="http://schemas.openxmlformats.org/officeDocument/2006/relationships/image" Target="../media/image61.png"/><Relationship Id="rId4" Type="http://schemas.openxmlformats.org/officeDocument/2006/relationships/image" Target="../media/image6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2.png"/></Relationships>
</file>

<file path=xl/drawings/_rels/drawing14.xml.rels><?xml version="1.0" encoding="UTF-8" standalone="yes"?>
<Relationships xmlns="http://schemas.openxmlformats.org/package/2006/relationships"><Relationship Id="rId8" Type="http://schemas.openxmlformats.org/officeDocument/2006/relationships/image" Target="../media/image70.png"/><Relationship Id="rId3" Type="http://schemas.openxmlformats.org/officeDocument/2006/relationships/image" Target="../media/image65.png"/><Relationship Id="rId7" Type="http://schemas.openxmlformats.org/officeDocument/2006/relationships/image" Target="../media/image69.png"/><Relationship Id="rId2" Type="http://schemas.openxmlformats.org/officeDocument/2006/relationships/image" Target="../media/image64.png"/><Relationship Id="rId1" Type="http://schemas.openxmlformats.org/officeDocument/2006/relationships/image" Target="../media/image63.png"/><Relationship Id="rId6" Type="http://schemas.openxmlformats.org/officeDocument/2006/relationships/image" Target="../media/image68.png"/><Relationship Id="rId5" Type="http://schemas.openxmlformats.org/officeDocument/2006/relationships/image" Target="../media/image67.png"/><Relationship Id="rId10" Type="http://schemas.openxmlformats.org/officeDocument/2006/relationships/image" Target="../media/image72.png"/><Relationship Id="rId4" Type="http://schemas.openxmlformats.org/officeDocument/2006/relationships/image" Target="../media/image66.png"/><Relationship Id="rId9" Type="http://schemas.openxmlformats.org/officeDocument/2006/relationships/image" Target="../media/image7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5.png"/><Relationship Id="rId2" Type="http://schemas.openxmlformats.org/officeDocument/2006/relationships/image" Target="../media/image74.png"/><Relationship Id="rId1" Type="http://schemas.openxmlformats.org/officeDocument/2006/relationships/image" Target="../media/image7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8.png"/><Relationship Id="rId7" Type="http://schemas.openxmlformats.org/officeDocument/2006/relationships/image" Target="../media/image82.png"/><Relationship Id="rId2" Type="http://schemas.openxmlformats.org/officeDocument/2006/relationships/image" Target="../media/image77.png"/><Relationship Id="rId1" Type="http://schemas.openxmlformats.org/officeDocument/2006/relationships/image" Target="../media/image76.png"/><Relationship Id="rId6" Type="http://schemas.openxmlformats.org/officeDocument/2006/relationships/image" Target="../media/image81.png"/><Relationship Id="rId5" Type="http://schemas.openxmlformats.org/officeDocument/2006/relationships/image" Target="../media/image80.png"/><Relationship Id="rId4" Type="http://schemas.openxmlformats.org/officeDocument/2006/relationships/image" Target="../media/image7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9525</xdr:colOff>
          <xdr:row>34</xdr:row>
          <xdr:rowOff>200025</xdr:rowOff>
        </xdr:from>
        <xdr:to>
          <xdr:col>7</xdr:col>
          <xdr:colOff>561975</xdr:colOff>
          <xdr:row>35</xdr:row>
          <xdr:rowOff>209550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35</xdr:col>
      <xdr:colOff>513523</xdr:colOff>
      <xdr:row>22</xdr:row>
      <xdr:rowOff>163996</xdr:rowOff>
    </xdr:from>
    <xdr:to>
      <xdr:col>40</xdr:col>
      <xdr:colOff>485629</xdr:colOff>
      <xdr:row>41</xdr:row>
      <xdr:rowOff>68614</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0651436" y="3725518"/>
          <a:ext cx="3036671" cy="4153596"/>
        </a:xfrm>
        <a:prstGeom prst="rect">
          <a:avLst/>
        </a:prstGeom>
      </xdr:spPr>
    </xdr:pic>
    <xdr:clientData/>
  </xdr:twoCellAnchor>
  <xdr:twoCellAnchor editAs="oneCell">
    <xdr:from>
      <xdr:col>4</xdr:col>
      <xdr:colOff>185530</xdr:colOff>
      <xdr:row>3</xdr:row>
      <xdr:rowOff>6626</xdr:rowOff>
    </xdr:from>
    <xdr:to>
      <xdr:col>7</xdr:col>
      <xdr:colOff>46864</xdr:colOff>
      <xdr:row>7</xdr:row>
      <xdr:rowOff>74929</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2385391" y="238539"/>
          <a:ext cx="1729890" cy="624894"/>
        </a:xfrm>
        <a:prstGeom prst="rect">
          <a:avLst/>
        </a:prstGeom>
      </xdr:spPr>
    </xdr:pic>
    <xdr:clientData/>
  </xdr:twoCellAnchor>
  <xdr:twoCellAnchor>
    <xdr:from>
      <xdr:col>14</xdr:col>
      <xdr:colOff>188844</xdr:colOff>
      <xdr:row>34</xdr:row>
      <xdr:rowOff>89451</xdr:rowOff>
    </xdr:from>
    <xdr:to>
      <xdr:col>42</xdr:col>
      <xdr:colOff>125603</xdr:colOff>
      <xdr:row>45</xdr:row>
      <xdr:rowOff>31223</xdr:rowOff>
    </xdr:to>
    <xdr:pic>
      <xdr:nvPicPr>
        <xdr:cNvPr id="23" name="Imagen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100931" y="6086060"/>
          <a:ext cx="5452976" cy="2633620"/>
        </a:xfrm>
        <a:prstGeom prst="rect">
          <a:avLst/>
        </a:prstGeom>
      </xdr:spPr>
    </xdr:pic>
    <xdr:clientData/>
  </xdr:twoCellAnchor>
  <xdr:twoCellAnchor editAs="oneCell">
    <xdr:from>
      <xdr:col>35</xdr:col>
      <xdr:colOff>323022</xdr:colOff>
      <xdr:row>6</xdr:row>
      <xdr:rowOff>41413</xdr:rowOff>
    </xdr:from>
    <xdr:to>
      <xdr:col>45</xdr:col>
      <xdr:colOff>290743</xdr:colOff>
      <xdr:row>33</xdr:row>
      <xdr:rowOff>15193</xdr:rowOff>
    </xdr:to>
    <xdr:pic>
      <xdr:nvPicPr>
        <xdr:cNvPr id="12" name="Imagen 11">
          <a:extLst>
            <a:ext uri="{FF2B5EF4-FFF2-40B4-BE49-F238E27FC236}">
              <a16:creationId xmlns:a16="http://schemas.microsoft.com/office/drawing/2014/main" id="{9560B5CB-FC55-D71E-75C7-A9DA69C806F9}"/>
            </a:ext>
          </a:extLst>
        </xdr:cNvPr>
        <xdr:cNvPicPr>
          <a:picLocks noChangeAspect="1"/>
        </xdr:cNvPicPr>
      </xdr:nvPicPr>
      <xdr:blipFill>
        <a:blip xmlns:r="http://schemas.openxmlformats.org/officeDocument/2006/relationships" r:embed="rId4"/>
        <a:stretch>
          <a:fillRect/>
        </a:stretch>
      </xdr:blipFill>
      <xdr:spPr>
        <a:xfrm>
          <a:off x="10460935" y="720587"/>
          <a:ext cx="6096851" cy="5001323"/>
        </a:xfrm>
        <a:prstGeom prst="rect">
          <a:avLst/>
        </a:prstGeom>
      </xdr:spPr>
    </xdr:pic>
    <xdr:clientData/>
  </xdr:twoCellAnchor>
  <xdr:twoCellAnchor editAs="oneCell">
    <xdr:from>
      <xdr:col>13</xdr:col>
      <xdr:colOff>0</xdr:colOff>
      <xdr:row>32</xdr:row>
      <xdr:rowOff>0</xdr:rowOff>
    </xdr:from>
    <xdr:to>
      <xdr:col>54</xdr:col>
      <xdr:colOff>357670</xdr:colOff>
      <xdr:row>40</xdr:row>
      <xdr:rowOff>243399</xdr:rowOff>
    </xdr:to>
    <xdr:pic>
      <xdr:nvPicPr>
        <xdr:cNvPr id="22" name="Imagen 21">
          <a:extLst>
            <a:ext uri="{FF2B5EF4-FFF2-40B4-BE49-F238E27FC236}">
              <a16:creationId xmlns:a16="http://schemas.microsoft.com/office/drawing/2014/main" id="{02D7AD86-88AB-607F-E7C4-70A74B31765A}"/>
            </a:ext>
          </a:extLst>
        </xdr:cNvPr>
        <xdr:cNvPicPr>
          <a:picLocks noChangeAspect="1"/>
        </xdr:cNvPicPr>
      </xdr:nvPicPr>
      <xdr:blipFill>
        <a:blip xmlns:r="http://schemas.openxmlformats.org/officeDocument/2006/relationships" r:embed="rId5"/>
        <a:stretch>
          <a:fillRect/>
        </a:stretch>
      </xdr:blipFill>
      <xdr:spPr>
        <a:xfrm>
          <a:off x="8299174" y="5491370"/>
          <a:ext cx="13841757" cy="2181529"/>
        </a:xfrm>
        <a:prstGeom prst="rect">
          <a:avLst/>
        </a:prstGeom>
      </xdr:spPr>
    </xdr:pic>
    <xdr:clientData/>
  </xdr:twoCellAnchor>
  <xdr:twoCellAnchor editAs="oneCell">
    <xdr:from>
      <xdr:col>12</xdr:col>
      <xdr:colOff>0</xdr:colOff>
      <xdr:row>32</xdr:row>
      <xdr:rowOff>0</xdr:rowOff>
    </xdr:from>
    <xdr:to>
      <xdr:col>50</xdr:col>
      <xdr:colOff>24586</xdr:colOff>
      <xdr:row>37</xdr:row>
      <xdr:rowOff>76370</xdr:rowOff>
    </xdr:to>
    <xdr:pic>
      <xdr:nvPicPr>
        <xdr:cNvPr id="24" name="Imagen 23">
          <a:extLst>
            <a:ext uri="{FF2B5EF4-FFF2-40B4-BE49-F238E27FC236}">
              <a16:creationId xmlns:a16="http://schemas.microsoft.com/office/drawing/2014/main" id="{C3D33DDE-332F-40FC-9619-D839B2172709}"/>
            </a:ext>
          </a:extLst>
        </xdr:cNvPr>
        <xdr:cNvPicPr>
          <a:picLocks noChangeAspect="1"/>
        </xdr:cNvPicPr>
      </xdr:nvPicPr>
      <xdr:blipFill>
        <a:blip xmlns:r="http://schemas.openxmlformats.org/officeDocument/2006/relationships" r:embed="rId6"/>
        <a:stretch>
          <a:fillRect/>
        </a:stretch>
      </xdr:blipFill>
      <xdr:spPr>
        <a:xfrm>
          <a:off x="7686261" y="5491370"/>
          <a:ext cx="11669934" cy="12193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85725</xdr:rowOff>
        </xdr:from>
        <xdr:to>
          <xdr:col>76</xdr:col>
          <xdr:colOff>809625</xdr:colOff>
          <xdr:row>19</xdr:row>
          <xdr:rowOff>142875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28575</xdr:colOff>
          <xdr:row>11</xdr:row>
          <xdr:rowOff>142875</xdr:rowOff>
        </xdr:from>
        <xdr:to>
          <xdr:col>76</xdr:col>
          <xdr:colOff>809625</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896</xdr:colOff>
      <xdr:row>91</xdr:row>
      <xdr:rowOff>10160</xdr:rowOff>
    </xdr:from>
    <xdr:to>
      <xdr:col>73</xdr:col>
      <xdr:colOff>138503</xdr:colOff>
      <xdr:row>114</xdr:row>
      <xdr:rowOff>168088</xdr:rowOff>
    </xdr:to>
    <xdr:pic>
      <xdr:nvPicPr>
        <xdr:cNvPr id="91" name="Imagen 90">
          <a:extLst>
            <a:ext uri="{FF2B5EF4-FFF2-40B4-BE49-F238E27FC236}">
              <a16:creationId xmlns:a16="http://schemas.microsoft.com/office/drawing/2014/main" id="{00000000-0008-0000-0300-00005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0690" y="17054307"/>
          <a:ext cx="11063342" cy="4539428"/>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190500</xdr:colOff>
          <xdr:row>6</xdr:row>
          <xdr:rowOff>171450</xdr:rowOff>
        </xdr:from>
        <xdr:to>
          <xdr:col>75</xdr:col>
          <xdr:colOff>2800350</xdr:colOff>
          <xdr:row>11</xdr:row>
          <xdr:rowOff>57150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123825</xdr:colOff>
          <xdr:row>14</xdr:row>
          <xdr:rowOff>28575</xdr:rowOff>
        </xdr:from>
        <xdr:to>
          <xdr:col>75</xdr:col>
          <xdr:colOff>2838450</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72" name="Rectángulo 71">
          <a:extLst>
            <a:ext uri="{FF2B5EF4-FFF2-40B4-BE49-F238E27FC236}">
              <a16:creationId xmlns:a16="http://schemas.microsoft.com/office/drawing/2014/main" id="{00000000-0008-0000-0300-00004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38" name="Rectángulo 137">
          <a:extLst>
            <a:ext uri="{FF2B5EF4-FFF2-40B4-BE49-F238E27FC236}">
              <a16:creationId xmlns:a16="http://schemas.microsoft.com/office/drawing/2014/main" id="{00000000-0008-0000-0300-00008A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71" name="Rectángulo 170">
          <a:extLst>
            <a:ext uri="{FF2B5EF4-FFF2-40B4-BE49-F238E27FC236}">
              <a16:creationId xmlns:a16="http://schemas.microsoft.com/office/drawing/2014/main" id="{00000000-0008-0000-0300-0000AB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04" name="Rectángulo 203">
          <a:extLst>
            <a:ext uri="{FF2B5EF4-FFF2-40B4-BE49-F238E27FC236}">
              <a16:creationId xmlns:a16="http://schemas.microsoft.com/office/drawing/2014/main" id="{00000000-0008-0000-0300-0000CC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2828925</xdr:colOff>
          <xdr:row>25</xdr:row>
          <xdr:rowOff>9525</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1304925</xdr:colOff>
          <xdr:row>29</xdr:row>
          <xdr:rowOff>85725</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104775</xdr:colOff>
          <xdr:row>30</xdr:row>
          <xdr:rowOff>66675</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57150</xdr:rowOff>
        </xdr:from>
        <xdr:to>
          <xdr:col>75</xdr:col>
          <xdr:colOff>2943225</xdr:colOff>
          <xdr:row>29</xdr:row>
          <xdr:rowOff>104775</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57150</xdr:rowOff>
        </xdr:from>
        <xdr:to>
          <xdr:col>75</xdr:col>
          <xdr:colOff>2943225</xdr:colOff>
          <xdr:row>32</xdr:row>
          <xdr:rowOff>104775</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477</xdr:row>
          <xdr:rowOff>114300</xdr:rowOff>
        </xdr:from>
        <xdr:to>
          <xdr:col>75</xdr:col>
          <xdr:colOff>2886075</xdr:colOff>
          <xdr:row>481</xdr:row>
          <xdr:rowOff>95250</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394</xdr:row>
          <xdr:rowOff>114300</xdr:rowOff>
        </xdr:from>
        <xdr:to>
          <xdr:col>75</xdr:col>
          <xdr:colOff>2886075</xdr:colOff>
          <xdr:row>398</xdr:row>
          <xdr:rowOff>95250</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306</xdr:row>
          <xdr:rowOff>114300</xdr:rowOff>
        </xdr:from>
        <xdr:to>
          <xdr:col>75</xdr:col>
          <xdr:colOff>2886075</xdr:colOff>
          <xdr:row>310</xdr:row>
          <xdr:rowOff>95250</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223</xdr:row>
          <xdr:rowOff>114300</xdr:rowOff>
        </xdr:from>
        <xdr:to>
          <xdr:col>75</xdr:col>
          <xdr:colOff>2886075</xdr:colOff>
          <xdr:row>227</xdr:row>
          <xdr:rowOff>95250</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91</xdr:row>
          <xdr:rowOff>19050</xdr:rowOff>
        </xdr:from>
        <xdr:to>
          <xdr:col>75</xdr:col>
          <xdr:colOff>2886075</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200</xdr:row>
          <xdr:rowOff>114300</xdr:rowOff>
        </xdr:from>
        <xdr:to>
          <xdr:col>75</xdr:col>
          <xdr:colOff>2886075</xdr:colOff>
          <xdr:row>204</xdr:row>
          <xdr:rowOff>95250</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149</xdr:row>
          <xdr:rowOff>114300</xdr:rowOff>
        </xdr:from>
        <xdr:to>
          <xdr:col>75</xdr:col>
          <xdr:colOff>2886075</xdr:colOff>
          <xdr:row>153</xdr:row>
          <xdr:rowOff>95250</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173</xdr:row>
          <xdr:rowOff>114300</xdr:rowOff>
        </xdr:from>
        <xdr:to>
          <xdr:col>75</xdr:col>
          <xdr:colOff>2886075</xdr:colOff>
          <xdr:row>177</xdr:row>
          <xdr:rowOff>95250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55</xdr:row>
          <xdr:rowOff>19050</xdr:rowOff>
        </xdr:from>
        <xdr:to>
          <xdr:col>75</xdr:col>
          <xdr:colOff>2886075</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119</xdr:row>
          <xdr:rowOff>19050</xdr:rowOff>
        </xdr:from>
        <xdr:to>
          <xdr:col>75</xdr:col>
          <xdr:colOff>2886075</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261</xdr:row>
          <xdr:rowOff>133350</xdr:rowOff>
        </xdr:from>
        <xdr:to>
          <xdr:col>75</xdr:col>
          <xdr:colOff>2886075</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342</xdr:row>
          <xdr:rowOff>104775</xdr:rowOff>
        </xdr:from>
        <xdr:to>
          <xdr:col>75</xdr:col>
          <xdr:colOff>2886075</xdr:colOff>
          <xdr:row>346</xdr:row>
          <xdr:rowOff>85725</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438</xdr:row>
          <xdr:rowOff>19050</xdr:rowOff>
        </xdr:from>
        <xdr:to>
          <xdr:col>75</xdr:col>
          <xdr:colOff>2886075</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528</xdr:row>
          <xdr:rowOff>66675</xdr:rowOff>
        </xdr:from>
        <xdr:to>
          <xdr:col>75</xdr:col>
          <xdr:colOff>2886075</xdr:colOff>
          <xdr:row>532</xdr:row>
          <xdr:rowOff>47625</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57150</xdr:rowOff>
        </xdr:from>
        <xdr:to>
          <xdr:col>75</xdr:col>
          <xdr:colOff>2943225</xdr:colOff>
          <xdr:row>63</xdr:row>
          <xdr:rowOff>104775</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57150</xdr:rowOff>
        </xdr:from>
        <xdr:to>
          <xdr:col>75</xdr:col>
          <xdr:colOff>2943225</xdr:colOff>
          <xdr:row>66</xdr:row>
          <xdr:rowOff>104775</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57150</xdr:rowOff>
        </xdr:from>
        <xdr:to>
          <xdr:col>75</xdr:col>
          <xdr:colOff>2943225</xdr:colOff>
          <xdr:row>98</xdr:row>
          <xdr:rowOff>104775</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57150</xdr:rowOff>
        </xdr:from>
        <xdr:to>
          <xdr:col>75</xdr:col>
          <xdr:colOff>2943225</xdr:colOff>
          <xdr:row>101</xdr:row>
          <xdr:rowOff>104775</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57150</xdr:rowOff>
        </xdr:from>
        <xdr:to>
          <xdr:col>75</xdr:col>
          <xdr:colOff>2943225</xdr:colOff>
          <xdr:row>126</xdr:row>
          <xdr:rowOff>104775</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57150</xdr:rowOff>
        </xdr:from>
        <xdr:to>
          <xdr:col>75</xdr:col>
          <xdr:colOff>2943225</xdr:colOff>
          <xdr:row>129</xdr:row>
          <xdr:rowOff>104775</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57150</xdr:rowOff>
        </xdr:from>
        <xdr:to>
          <xdr:col>75</xdr:col>
          <xdr:colOff>2943225</xdr:colOff>
          <xdr:row>157</xdr:row>
          <xdr:rowOff>104775</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57150</xdr:rowOff>
        </xdr:from>
        <xdr:to>
          <xdr:col>75</xdr:col>
          <xdr:colOff>2943225</xdr:colOff>
          <xdr:row>160</xdr:row>
          <xdr:rowOff>104775</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57150</xdr:rowOff>
        </xdr:from>
        <xdr:to>
          <xdr:col>75</xdr:col>
          <xdr:colOff>2943225</xdr:colOff>
          <xdr:row>181</xdr:row>
          <xdr:rowOff>104775</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57150</xdr:rowOff>
        </xdr:from>
        <xdr:to>
          <xdr:col>75</xdr:col>
          <xdr:colOff>2943225</xdr:colOff>
          <xdr:row>184</xdr:row>
          <xdr:rowOff>104775</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57150</xdr:rowOff>
        </xdr:from>
        <xdr:to>
          <xdr:col>75</xdr:col>
          <xdr:colOff>2943225</xdr:colOff>
          <xdr:row>209</xdr:row>
          <xdr:rowOff>104775</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57150</xdr:rowOff>
        </xdr:from>
        <xdr:to>
          <xdr:col>75</xdr:col>
          <xdr:colOff>2943225</xdr:colOff>
          <xdr:row>212</xdr:row>
          <xdr:rowOff>104775</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57150</xdr:rowOff>
        </xdr:from>
        <xdr:to>
          <xdr:col>75</xdr:col>
          <xdr:colOff>2943225</xdr:colOff>
          <xdr:row>313</xdr:row>
          <xdr:rowOff>104775</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57150</xdr:rowOff>
        </xdr:from>
        <xdr:to>
          <xdr:col>75</xdr:col>
          <xdr:colOff>2943225</xdr:colOff>
          <xdr:row>316</xdr:row>
          <xdr:rowOff>104775</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57150</xdr:rowOff>
        </xdr:from>
        <xdr:to>
          <xdr:col>75</xdr:col>
          <xdr:colOff>2943225</xdr:colOff>
          <xdr:row>350</xdr:row>
          <xdr:rowOff>104775</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57150</xdr:rowOff>
        </xdr:from>
        <xdr:to>
          <xdr:col>75</xdr:col>
          <xdr:colOff>2943225</xdr:colOff>
          <xdr:row>353</xdr:row>
          <xdr:rowOff>104775</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57150</xdr:rowOff>
        </xdr:from>
        <xdr:to>
          <xdr:col>75</xdr:col>
          <xdr:colOff>2943225</xdr:colOff>
          <xdr:row>402</xdr:row>
          <xdr:rowOff>104775</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57150</xdr:rowOff>
        </xdr:from>
        <xdr:to>
          <xdr:col>75</xdr:col>
          <xdr:colOff>2943225</xdr:colOff>
          <xdr:row>269</xdr:row>
          <xdr:rowOff>104775</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57150</xdr:rowOff>
        </xdr:from>
        <xdr:to>
          <xdr:col>75</xdr:col>
          <xdr:colOff>2943225</xdr:colOff>
          <xdr:row>272</xdr:row>
          <xdr:rowOff>104775</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57150</xdr:rowOff>
        </xdr:from>
        <xdr:to>
          <xdr:col>75</xdr:col>
          <xdr:colOff>2943225</xdr:colOff>
          <xdr:row>230</xdr:row>
          <xdr:rowOff>104775</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57150</xdr:rowOff>
        </xdr:from>
        <xdr:to>
          <xdr:col>75</xdr:col>
          <xdr:colOff>2943225</xdr:colOff>
          <xdr:row>233</xdr:row>
          <xdr:rowOff>104775</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57150</xdr:rowOff>
        </xdr:from>
        <xdr:to>
          <xdr:col>75</xdr:col>
          <xdr:colOff>2943225</xdr:colOff>
          <xdr:row>486</xdr:row>
          <xdr:rowOff>104775</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57150</xdr:rowOff>
        </xdr:from>
        <xdr:to>
          <xdr:col>75</xdr:col>
          <xdr:colOff>2943225</xdr:colOff>
          <xdr:row>446</xdr:row>
          <xdr:rowOff>104775</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xdr:twoCellAnchor editAs="oneCell">
    <xdr:from>
      <xdr:col>59</xdr:col>
      <xdr:colOff>8965</xdr:colOff>
      <xdr:row>7</xdr:row>
      <xdr:rowOff>26895</xdr:rowOff>
    </xdr:from>
    <xdr:to>
      <xdr:col>74</xdr:col>
      <xdr:colOff>31825</xdr:colOff>
      <xdr:row>20</xdr:row>
      <xdr:rowOff>171675</xdr:rowOff>
    </xdr:to>
    <xdr:pic>
      <xdr:nvPicPr>
        <xdr:cNvPr id="19529" name="Picture 73">
          <a:extLst>
            <a:ext uri="{FF2B5EF4-FFF2-40B4-BE49-F238E27FC236}">
              <a16:creationId xmlns:a16="http://schemas.microsoft.com/office/drawing/2014/main" id="{00000000-0008-0000-0300-0000494C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269506" y="1192307"/>
          <a:ext cx="2497119" cy="2592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145677</xdr:colOff>
      <xdr:row>66</xdr:row>
      <xdr:rowOff>179294</xdr:rowOff>
    </xdr:from>
    <xdr:to>
      <xdr:col>36</xdr:col>
      <xdr:colOff>156562</xdr:colOff>
      <xdr:row>80</xdr:row>
      <xdr:rowOff>179294</xdr:rowOff>
    </xdr:to>
    <xdr:pic>
      <xdr:nvPicPr>
        <xdr:cNvPr id="19530" name="Picture 74">
          <a:extLst>
            <a:ext uri="{FF2B5EF4-FFF2-40B4-BE49-F238E27FC236}">
              <a16:creationId xmlns:a16="http://schemas.microsoft.com/office/drawing/2014/main" id="{00000000-0008-0000-0300-00004A4C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86118" y="12617823"/>
          <a:ext cx="4851826" cy="2599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75</xdr:col>
      <xdr:colOff>1706110</xdr:colOff>
      <xdr:row>104</xdr:row>
      <xdr:rowOff>56105</xdr:rowOff>
    </xdr:from>
    <xdr:to>
      <xdr:col>75</xdr:col>
      <xdr:colOff>2087503</xdr:colOff>
      <xdr:row>106</xdr:row>
      <xdr:rowOff>34534</xdr:rowOff>
    </xdr:to>
    <xdr:sp macro="" textlink="">
      <xdr:nvSpPr>
        <xdr:cNvPr id="74" name="27 Elipse">
          <a:extLst>
            <a:ext uri="{FF2B5EF4-FFF2-40B4-BE49-F238E27FC236}">
              <a16:creationId xmlns:a16="http://schemas.microsoft.com/office/drawing/2014/main" id="{00000000-0008-0000-0700-000003000000}"/>
            </a:ext>
          </a:extLst>
        </xdr:cNvPr>
        <xdr:cNvSpPr/>
      </xdr:nvSpPr>
      <xdr:spPr>
        <a:xfrm>
          <a:off x="13486630" y="19532825"/>
          <a:ext cx="381393" cy="359429"/>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75</xdr:col>
      <xdr:colOff>1889187</xdr:colOff>
      <xdr:row>106</xdr:row>
      <xdr:rowOff>32294</xdr:rowOff>
    </xdr:from>
    <xdr:to>
      <xdr:col>75</xdr:col>
      <xdr:colOff>1889187</xdr:colOff>
      <xdr:row>108</xdr:row>
      <xdr:rowOff>108213</xdr:rowOff>
    </xdr:to>
    <xdr:cxnSp macro="">
      <xdr:nvCxnSpPr>
        <xdr:cNvPr id="75" name="28 Conector recto de flecha">
          <a:extLst>
            <a:ext uri="{FF2B5EF4-FFF2-40B4-BE49-F238E27FC236}">
              <a16:creationId xmlns:a16="http://schemas.microsoft.com/office/drawing/2014/main" id="{00000000-0008-0000-0700-000004000000}"/>
            </a:ext>
          </a:extLst>
        </xdr:cNvPr>
        <xdr:cNvCxnSpPr/>
      </xdr:nvCxnSpPr>
      <xdr:spPr>
        <a:xfrm>
          <a:off x="13669707" y="19890014"/>
          <a:ext cx="0" cy="45691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2365686</xdr:colOff>
      <xdr:row>106</xdr:row>
      <xdr:rowOff>41819</xdr:rowOff>
    </xdr:from>
    <xdr:to>
      <xdr:col>75</xdr:col>
      <xdr:colOff>2365686</xdr:colOff>
      <xdr:row>108</xdr:row>
      <xdr:rowOff>146313</xdr:rowOff>
    </xdr:to>
    <xdr:cxnSp macro="">
      <xdr:nvCxnSpPr>
        <xdr:cNvPr id="76" name="30 Conector recto de flecha">
          <a:extLst>
            <a:ext uri="{FF2B5EF4-FFF2-40B4-BE49-F238E27FC236}">
              <a16:creationId xmlns:a16="http://schemas.microsoft.com/office/drawing/2014/main" id="{00000000-0008-0000-0700-000006000000}"/>
            </a:ext>
          </a:extLst>
        </xdr:cNvPr>
        <xdr:cNvCxnSpPr/>
      </xdr:nvCxnSpPr>
      <xdr:spPr>
        <a:xfrm flipH="1">
          <a:off x="14146206" y="19899539"/>
          <a:ext cx="0" cy="48549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2872165</xdr:colOff>
      <xdr:row>106</xdr:row>
      <xdr:rowOff>41819</xdr:rowOff>
    </xdr:from>
    <xdr:to>
      <xdr:col>75</xdr:col>
      <xdr:colOff>2872165</xdr:colOff>
      <xdr:row>108</xdr:row>
      <xdr:rowOff>136788</xdr:rowOff>
    </xdr:to>
    <xdr:cxnSp macro="">
      <xdr:nvCxnSpPr>
        <xdr:cNvPr id="77" name="32 Conector recto de flecha">
          <a:extLst>
            <a:ext uri="{FF2B5EF4-FFF2-40B4-BE49-F238E27FC236}">
              <a16:creationId xmlns:a16="http://schemas.microsoft.com/office/drawing/2014/main" id="{00000000-0008-0000-0700-000008000000}"/>
            </a:ext>
          </a:extLst>
        </xdr:cNvPr>
        <xdr:cNvCxnSpPr/>
      </xdr:nvCxnSpPr>
      <xdr:spPr>
        <a:xfrm>
          <a:off x="14652685" y="19899539"/>
          <a:ext cx="0" cy="475969"/>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1834415</xdr:colOff>
      <xdr:row>108</xdr:row>
      <xdr:rowOff>103730</xdr:rowOff>
    </xdr:from>
    <xdr:to>
      <xdr:col>75</xdr:col>
      <xdr:colOff>1948715</xdr:colOff>
      <xdr:row>109</xdr:row>
      <xdr:rowOff>18005</xdr:rowOff>
    </xdr:to>
    <xdr:sp macro="" textlink="">
      <xdr:nvSpPr>
        <xdr:cNvPr id="78" name="33 Elipse">
          <a:extLst>
            <a:ext uri="{FF2B5EF4-FFF2-40B4-BE49-F238E27FC236}">
              <a16:creationId xmlns:a16="http://schemas.microsoft.com/office/drawing/2014/main" id="{00000000-0008-0000-0700-000009000000}"/>
            </a:ext>
          </a:extLst>
        </xdr:cNvPr>
        <xdr:cNvSpPr/>
      </xdr:nvSpPr>
      <xdr:spPr>
        <a:xfrm>
          <a:off x="13614935" y="2034245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2306295</xdr:colOff>
      <xdr:row>108</xdr:row>
      <xdr:rowOff>141830</xdr:rowOff>
    </xdr:from>
    <xdr:to>
      <xdr:col>75</xdr:col>
      <xdr:colOff>2425077</xdr:colOff>
      <xdr:row>109</xdr:row>
      <xdr:rowOff>56105</xdr:rowOff>
    </xdr:to>
    <xdr:sp macro="" textlink="">
      <xdr:nvSpPr>
        <xdr:cNvPr id="79" name="38 Elipse">
          <a:extLst>
            <a:ext uri="{FF2B5EF4-FFF2-40B4-BE49-F238E27FC236}">
              <a16:creationId xmlns:a16="http://schemas.microsoft.com/office/drawing/2014/main" id="{00000000-0008-0000-0700-00000A000000}"/>
            </a:ext>
          </a:extLst>
        </xdr:cNvPr>
        <xdr:cNvSpPr/>
      </xdr:nvSpPr>
      <xdr:spPr>
        <a:xfrm>
          <a:off x="14086815" y="2038055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2821317</xdr:colOff>
      <xdr:row>108</xdr:row>
      <xdr:rowOff>132305</xdr:rowOff>
    </xdr:from>
    <xdr:to>
      <xdr:col>75</xdr:col>
      <xdr:colOff>2935617</xdr:colOff>
      <xdr:row>109</xdr:row>
      <xdr:rowOff>46580</xdr:rowOff>
    </xdr:to>
    <xdr:sp macro="" textlink="">
      <xdr:nvSpPr>
        <xdr:cNvPr id="80" name="39 Elipse">
          <a:extLst>
            <a:ext uri="{FF2B5EF4-FFF2-40B4-BE49-F238E27FC236}">
              <a16:creationId xmlns:a16="http://schemas.microsoft.com/office/drawing/2014/main" id="{00000000-0008-0000-0700-00000B000000}"/>
            </a:ext>
          </a:extLst>
        </xdr:cNvPr>
        <xdr:cNvSpPr/>
      </xdr:nvSpPr>
      <xdr:spPr>
        <a:xfrm>
          <a:off x="14601837" y="2037102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43</xdr:col>
      <xdr:colOff>24261</xdr:colOff>
      <xdr:row>100</xdr:row>
      <xdr:rowOff>4557</xdr:rowOff>
    </xdr:from>
    <xdr:to>
      <xdr:col>50</xdr:col>
      <xdr:colOff>112059</xdr:colOff>
      <xdr:row>106</xdr:row>
      <xdr:rowOff>78441</xdr:rowOff>
    </xdr:to>
    <xdr:cxnSp macro="">
      <xdr:nvCxnSpPr>
        <xdr:cNvPr id="81" name="41 Conector recto de flecha">
          <a:extLst>
            <a:ext uri="{FF2B5EF4-FFF2-40B4-BE49-F238E27FC236}">
              <a16:creationId xmlns:a16="http://schemas.microsoft.com/office/drawing/2014/main" id="{00000000-0008-0000-0700-00000C000000}"/>
            </a:ext>
          </a:extLst>
        </xdr:cNvPr>
        <xdr:cNvCxnSpPr>
          <a:stCxn id="82" idx="2"/>
        </xdr:cNvCxnSpPr>
      </xdr:nvCxnSpPr>
      <xdr:spPr>
        <a:xfrm>
          <a:off x="6590908" y="18763204"/>
          <a:ext cx="1242004" cy="121688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37</xdr:col>
      <xdr:colOff>86173</xdr:colOff>
      <xdr:row>98</xdr:row>
      <xdr:rowOff>78516</xdr:rowOff>
    </xdr:from>
    <xdr:to>
      <xdr:col>47</xdr:col>
      <xdr:colOff>141642</xdr:colOff>
      <xdr:row>100</xdr:row>
      <xdr:rowOff>4557</xdr:rowOff>
    </xdr:to>
    <xdr:sp macro="" textlink="">
      <xdr:nvSpPr>
        <xdr:cNvPr id="82" name="8 Rectángulo">
          <a:extLst>
            <a:ext uri="{FF2B5EF4-FFF2-40B4-BE49-F238E27FC236}">
              <a16:creationId xmlns:a16="http://schemas.microsoft.com/office/drawing/2014/main" id="{00000000-0008-0000-0700-00000D000000}"/>
            </a:ext>
          </a:extLst>
        </xdr:cNvPr>
        <xdr:cNvSpPr/>
      </xdr:nvSpPr>
      <xdr:spPr>
        <a:xfrm>
          <a:off x="5924438" y="18456163"/>
          <a:ext cx="1332939" cy="30704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53</xdr:col>
      <xdr:colOff>37497</xdr:colOff>
      <xdr:row>98</xdr:row>
      <xdr:rowOff>76</xdr:rowOff>
    </xdr:from>
    <xdr:to>
      <xdr:col>57</xdr:col>
      <xdr:colOff>33797</xdr:colOff>
      <xdr:row>105</xdr:row>
      <xdr:rowOff>71233</xdr:rowOff>
    </xdr:to>
    <xdr:cxnSp macro="">
      <xdr:nvCxnSpPr>
        <xdr:cNvPr id="83" name="41 Conector recto de flecha">
          <a:extLst>
            <a:ext uri="{FF2B5EF4-FFF2-40B4-BE49-F238E27FC236}">
              <a16:creationId xmlns:a16="http://schemas.microsoft.com/office/drawing/2014/main" id="{00000000-0008-0000-0700-00000F000000}"/>
            </a:ext>
          </a:extLst>
        </xdr:cNvPr>
        <xdr:cNvCxnSpPr>
          <a:stCxn id="84" idx="2"/>
          <a:endCxn id="85" idx="0"/>
        </xdr:cNvCxnSpPr>
      </xdr:nvCxnSpPr>
      <xdr:spPr>
        <a:xfrm flipH="1">
          <a:off x="8228997" y="18377723"/>
          <a:ext cx="545388" cy="1404657"/>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52</xdr:col>
      <xdr:colOff>93468</xdr:colOff>
      <xdr:row>96</xdr:row>
      <xdr:rowOff>91405</xdr:rowOff>
    </xdr:from>
    <xdr:to>
      <xdr:col>60</xdr:col>
      <xdr:colOff>220655</xdr:colOff>
      <xdr:row>98</xdr:row>
      <xdr:rowOff>76</xdr:rowOff>
    </xdr:to>
    <xdr:sp macro="" textlink="">
      <xdr:nvSpPr>
        <xdr:cNvPr id="84" name="8 Rectángulo">
          <a:extLst>
            <a:ext uri="{FF2B5EF4-FFF2-40B4-BE49-F238E27FC236}">
              <a16:creationId xmlns:a16="http://schemas.microsoft.com/office/drawing/2014/main" id="{00000000-0008-0000-0700-000010000000}"/>
            </a:ext>
          </a:extLst>
        </xdr:cNvPr>
        <xdr:cNvSpPr/>
      </xdr:nvSpPr>
      <xdr:spPr>
        <a:xfrm>
          <a:off x="8128086" y="18088052"/>
          <a:ext cx="1292598" cy="289671"/>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52</xdr:col>
      <xdr:colOff>151516</xdr:colOff>
      <xdr:row>105</xdr:row>
      <xdr:rowOff>71233</xdr:rowOff>
    </xdr:from>
    <xdr:to>
      <xdr:col>53</xdr:col>
      <xdr:colOff>80359</xdr:colOff>
      <xdr:row>105</xdr:row>
      <xdr:rowOff>156958</xdr:rowOff>
    </xdr:to>
    <xdr:sp macro="" textlink="">
      <xdr:nvSpPr>
        <xdr:cNvPr id="85" name="42 Elipse">
          <a:extLst>
            <a:ext uri="{FF2B5EF4-FFF2-40B4-BE49-F238E27FC236}">
              <a16:creationId xmlns:a16="http://schemas.microsoft.com/office/drawing/2014/main" id="{00000000-0008-0000-0700-000011000000}"/>
            </a:ext>
          </a:extLst>
        </xdr:cNvPr>
        <xdr:cNvSpPr/>
      </xdr:nvSpPr>
      <xdr:spPr>
        <a:xfrm>
          <a:off x="8186134" y="1978238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54</xdr:col>
      <xdr:colOff>23320</xdr:colOff>
      <xdr:row>105</xdr:row>
      <xdr:rowOff>183291</xdr:rowOff>
    </xdr:from>
    <xdr:to>
      <xdr:col>54</xdr:col>
      <xdr:colOff>109045</xdr:colOff>
      <xdr:row>106</xdr:row>
      <xdr:rowOff>78516</xdr:rowOff>
    </xdr:to>
    <xdr:sp macro="" textlink="">
      <xdr:nvSpPr>
        <xdr:cNvPr id="86" name="42 Elipse">
          <a:extLst>
            <a:ext uri="{FF2B5EF4-FFF2-40B4-BE49-F238E27FC236}">
              <a16:creationId xmlns:a16="http://schemas.microsoft.com/office/drawing/2014/main" id="{00000000-0008-0000-0700-000014000000}"/>
            </a:ext>
          </a:extLst>
        </xdr:cNvPr>
        <xdr:cNvSpPr/>
      </xdr:nvSpPr>
      <xdr:spPr>
        <a:xfrm>
          <a:off x="8371702" y="19894438"/>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2197599</xdr:colOff>
      <xdr:row>104</xdr:row>
      <xdr:rowOff>46580</xdr:rowOff>
    </xdr:from>
    <xdr:to>
      <xdr:col>75</xdr:col>
      <xdr:colOff>2563752</xdr:colOff>
      <xdr:row>106</xdr:row>
      <xdr:rowOff>25009</xdr:rowOff>
    </xdr:to>
    <xdr:sp macro="" textlink="">
      <xdr:nvSpPr>
        <xdr:cNvPr id="87" name="27 Elipse">
          <a:extLst>
            <a:ext uri="{FF2B5EF4-FFF2-40B4-BE49-F238E27FC236}">
              <a16:creationId xmlns:a16="http://schemas.microsoft.com/office/drawing/2014/main" id="{00000000-0008-0000-0700-000017000000}"/>
            </a:ext>
          </a:extLst>
        </xdr:cNvPr>
        <xdr:cNvSpPr/>
      </xdr:nvSpPr>
      <xdr:spPr>
        <a:xfrm>
          <a:off x="13978119" y="19523300"/>
          <a:ext cx="366153" cy="359429"/>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75</xdr:col>
      <xdr:colOff>2689088</xdr:colOff>
      <xdr:row>104</xdr:row>
      <xdr:rowOff>65630</xdr:rowOff>
    </xdr:from>
    <xdr:to>
      <xdr:col>75</xdr:col>
      <xdr:colOff>3055241</xdr:colOff>
      <xdr:row>106</xdr:row>
      <xdr:rowOff>44059</xdr:rowOff>
    </xdr:to>
    <xdr:sp macro="" textlink="">
      <xdr:nvSpPr>
        <xdr:cNvPr id="88" name="27 Elipse">
          <a:extLst>
            <a:ext uri="{FF2B5EF4-FFF2-40B4-BE49-F238E27FC236}">
              <a16:creationId xmlns:a16="http://schemas.microsoft.com/office/drawing/2014/main" id="{00000000-0008-0000-0700-000018000000}"/>
            </a:ext>
          </a:extLst>
        </xdr:cNvPr>
        <xdr:cNvSpPr/>
      </xdr:nvSpPr>
      <xdr:spPr>
        <a:xfrm>
          <a:off x="14469608" y="19542350"/>
          <a:ext cx="366153" cy="359429"/>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75</xdr:col>
      <xdr:colOff>2610523</xdr:colOff>
      <xdr:row>127</xdr:row>
      <xdr:rowOff>129502</xdr:rowOff>
    </xdr:from>
    <xdr:to>
      <xdr:col>75</xdr:col>
      <xdr:colOff>3401771</xdr:colOff>
      <xdr:row>134</xdr:row>
      <xdr:rowOff>7022</xdr:rowOff>
    </xdr:to>
    <xdr:sp macro="" textlink="">
      <xdr:nvSpPr>
        <xdr:cNvPr id="89" name="8 Rectángulo">
          <a:extLst>
            <a:ext uri="{FF2B5EF4-FFF2-40B4-BE49-F238E27FC236}">
              <a16:creationId xmlns:a16="http://schemas.microsoft.com/office/drawing/2014/main" id="{00000000-0008-0000-0700-000012000000}"/>
            </a:ext>
          </a:extLst>
        </xdr:cNvPr>
        <xdr:cNvSpPr/>
      </xdr:nvSpPr>
      <xdr:spPr>
        <a:xfrm>
          <a:off x="14391043" y="23987722"/>
          <a:ext cx="791248" cy="121102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1235337</xdr:colOff>
      <xdr:row>129</xdr:row>
      <xdr:rowOff>144630</xdr:rowOff>
    </xdr:from>
    <xdr:to>
      <xdr:col>75</xdr:col>
      <xdr:colOff>2031403</xdr:colOff>
      <xdr:row>130</xdr:row>
      <xdr:rowOff>148272</xdr:rowOff>
    </xdr:to>
    <xdr:cxnSp macro="">
      <xdr:nvCxnSpPr>
        <xdr:cNvPr id="90" name="Conector recto de flecha 89">
          <a:extLst>
            <a:ext uri="{FF2B5EF4-FFF2-40B4-BE49-F238E27FC236}">
              <a16:creationId xmlns:a16="http://schemas.microsoft.com/office/drawing/2014/main" id="{00000000-0008-0000-0700-000005000000}"/>
            </a:ext>
          </a:extLst>
        </xdr:cNvPr>
        <xdr:cNvCxnSpPr/>
      </xdr:nvCxnSpPr>
      <xdr:spPr>
        <a:xfrm flipH="1" flipV="1">
          <a:off x="13015857" y="24383850"/>
          <a:ext cx="796066" cy="19414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xdr:col>
      <xdr:colOff>7620</xdr:colOff>
      <xdr:row>117</xdr:row>
      <xdr:rowOff>10160</xdr:rowOff>
    </xdr:from>
    <xdr:to>
      <xdr:col>25</xdr:col>
      <xdr:colOff>51548</xdr:colOff>
      <xdr:row>131</xdr:row>
      <xdr:rowOff>63948</xdr:rowOff>
    </xdr:to>
    <xdr:pic>
      <xdr:nvPicPr>
        <xdr:cNvPr id="92" name="Imagen 91">
          <a:extLst>
            <a:ext uri="{FF2B5EF4-FFF2-40B4-BE49-F238E27FC236}">
              <a16:creationId xmlns:a16="http://schemas.microsoft.com/office/drawing/2014/main" id="{00000000-0008-0000-0300-00005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8660" y="21963380"/>
          <a:ext cx="3198608" cy="27207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52</xdr:col>
      <xdr:colOff>49305</xdr:colOff>
      <xdr:row>106</xdr:row>
      <xdr:rowOff>144631</xdr:rowOff>
    </xdr:from>
    <xdr:to>
      <xdr:col>53</xdr:col>
      <xdr:colOff>6274</xdr:colOff>
      <xdr:row>107</xdr:row>
      <xdr:rowOff>58906</xdr:rowOff>
    </xdr:to>
    <xdr:sp macro="" textlink="">
      <xdr:nvSpPr>
        <xdr:cNvPr id="93" name="38 Elipse">
          <a:extLst>
            <a:ext uri="{FF2B5EF4-FFF2-40B4-BE49-F238E27FC236}">
              <a16:creationId xmlns:a16="http://schemas.microsoft.com/office/drawing/2014/main" id="{00000000-0008-0000-0700-00000A000000}"/>
            </a:ext>
          </a:extLst>
        </xdr:cNvPr>
        <xdr:cNvSpPr/>
      </xdr:nvSpPr>
      <xdr:spPr>
        <a:xfrm>
          <a:off x="8240805" y="20002351"/>
          <a:ext cx="116989"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51</xdr:col>
      <xdr:colOff>89646</xdr:colOff>
      <xdr:row>107</xdr:row>
      <xdr:rowOff>16884</xdr:rowOff>
    </xdr:from>
    <xdr:to>
      <xdr:col>52</xdr:col>
      <xdr:colOff>51546</xdr:colOff>
      <xdr:row>107</xdr:row>
      <xdr:rowOff>121659</xdr:rowOff>
    </xdr:to>
    <xdr:sp macro="" textlink="">
      <xdr:nvSpPr>
        <xdr:cNvPr id="94" name="38 Elipse">
          <a:extLst>
            <a:ext uri="{FF2B5EF4-FFF2-40B4-BE49-F238E27FC236}">
              <a16:creationId xmlns:a16="http://schemas.microsoft.com/office/drawing/2014/main" id="{00000000-0008-0000-0700-00000A000000}"/>
            </a:ext>
          </a:extLst>
        </xdr:cNvPr>
        <xdr:cNvSpPr/>
      </xdr:nvSpPr>
      <xdr:spPr>
        <a:xfrm>
          <a:off x="8121126" y="20065104"/>
          <a:ext cx="12192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50</xdr:col>
      <xdr:colOff>152399</xdr:colOff>
      <xdr:row>106</xdr:row>
      <xdr:rowOff>135666</xdr:rowOff>
    </xdr:from>
    <xdr:to>
      <xdr:col>51</xdr:col>
      <xdr:colOff>112506</xdr:colOff>
      <xdr:row>107</xdr:row>
      <xdr:rowOff>49941</xdr:rowOff>
    </xdr:to>
    <xdr:sp macro="" textlink="">
      <xdr:nvSpPr>
        <xdr:cNvPr id="95" name="38 Elipse">
          <a:extLst>
            <a:ext uri="{FF2B5EF4-FFF2-40B4-BE49-F238E27FC236}">
              <a16:creationId xmlns:a16="http://schemas.microsoft.com/office/drawing/2014/main" id="{00000000-0008-0000-0700-00000A000000}"/>
            </a:ext>
          </a:extLst>
        </xdr:cNvPr>
        <xdr:cNvSpPr/>
      </xdr:nvSpPr>
      <xdr:spPr>
        <a:xfrm>
          <a:off x="8023859" y="19993386"/>
          <a:ext cx="120127"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11</xdr:col>
      <xdr:colOff>18827</xdr:colOff>
      <xdr:row>107</xdr:row>
      <xdr:rowOff>34598</xdr:rowOff>
    </xdr:from>
    <xdr:to>
      <xdr:col>50</xdr:col>
      <xdr:colOff>133936</xdr:colOff>
      <xdr:row>120</xdr:row>
      <xdr:rowOff>150513</xdr:rowOff>
    </xdr:to>
    <xdr:cxnSp macro="">
      <xdr:nvCxnSpPr>
        <xdr:cNvPr id="96" name="30 Conector recto de flecha">
          <a:extLst>
            <a:ext uri="{FF2B5EF4-FFF2-40B4-BE49-F238E27FC236}">
              <a16:creationId xmlns:a16="http://schemas.microsoft.com/office/drawing/2014/main" id="{00000000-0008-0000-0700-000006000000}"/>
            </a:ext>
          </a:extLst>
        </xdr:cNvPr>
        <xdr:cNvCxnSpPr/>
      </xdr:nvCxnSpPr>
      <xdr:spPr>
        <a:xfrm flipH="1">
          <a:off x="1840007" y="20082818"/>
          <a:ext cx="6165389" cy="259241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54237</xdr:colOff>
      <xdr:row>117</xdr:row>
      <xdr:rowOff>10159</xdr:rowOff>
    </xdr:from>
    <xdr:to>
      <xdr:col>48</xdr:col>
      <xdr:colOff>57374</xdr:colOff>
      <xdr:row>131</xdr:row>
      <xdr:rowOff>57028</xdr:rowOff>
    </xdr:to>
    <xdr:pic>
      <xdr:nvPicPr>
        <xdr:cNvPr id="97" name="Imagen 96">
          <a:extLst>
            <a:ext uri="{FF2B5EF4-FFF2-40B4-BE49-F238E27FC236}">
              <a16:creationId xmlns:a16="http://schemas.microsoft.com/office/drawing/2014/main" id="{00000000-0008-0000-0300-00006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374777" y="21963379"/>
          <a:ext cx="3234017" cy="27138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37</xdr:col>
      <xdr:colOff>161365</xdr:colOff>
      <xdr:row>107</xdr:row>
      <xdr:rowOff>106316</xdr:rowOff>
    </xdr:from>
    <xdr:to>
      <xdr:col>51</xdr:col>
      <xdr:colOff>90905</xdr:colOff>
      <xdr:row>123</xdr:row>
      <xdr:rowOff>188829</xdr:rowOff>
    </xdr:to>
    <xdr:cxnSp macro="">
      <xdr:nvCxnSpPr>
        <xdr:cNvPr id="98" name="30 Conector recto de flecha">
          <a:extLst>
            <a:ext uri="{FF2B5EF4-FFF2-40B4-BE49-F238E27FC236}">
              <a16:creationId xmlns:a16="http://schemas.microsoft.com/office/drawing/2014/main" id="{00000000-0008-0000-0700-000006000000}"/>
            </a:ext>
          </a:extLst>
        </xdr:cNvPr>
        <xdr:cNvCxnSpPr/>
      </xdr:nvCxnSpPr>
      <xdr:spPr>
        <a:xfrm flipH="1">
          <a:off x="6112585" y="20154536"/>
          <a:ext cx="2009800" cy="313051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34961</xdr:colOff>
      <xdr:row>117</xdr:row>
      <xdr:rowOff>10159</xdr:rowOff>
    </xdr:from>
    <xdr:to>
      <xdr:col>71</xdr:col>
      <xdr:colOff>59167</xdr:colOff>
      <xdr:row>131</xdr:row>
      <xdr:rowOff>63948</xdr:rowOff>
    </xdr:to>
    <xdr:pic>
      <xdr:nvPicPr>
        <xdr:cNvPr id="99" name="Imagen 98">
          <a:extLst>
            <a:ext uri="{FF2B5EF4-FFF2-40B4-BE49-F238E27FC236}">
              <a16:creationId xmlns:a16="http://schemas.microsoft.com/office/drawing/2014/main" id="{00000000-0008-0000-0300-00006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066441" y="21963379"/>
          <a:ext cx="3216986" cy="27207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52</xdr:col>
      <xdr:colOff>150692</xdr:colOff>
      <xdr:row>107</xdr:row>
      <xdr:rowOff>43561</xdr:rowOff>
    </xdr:from>
    <xdr:to>
      <xdr:col>63</xdr:col>
      <xdr:colOff>18827</xdr:colOff>
      <xdr:row>121</xdr:row>
      <xdr:rowOff>7506</xdr:rowOff>
    </xdr:to>
    <xdr:cxnSp macro="">
      <xdr:nvCxnSpPr>
        <xdr:cNvPr id="100" name="30 Conector recto de flecha">
          <a:extLst>
            <a:ext uri="{FF2B5EF4-FFF2-40B4-BE49-F238E27FC236}">
              <a16:creationId xmlns:a16="http://schemas.microsoft.com/office/drawing/2014/main" id="{00000000-0008-0000-0700-000006000000}"/>
            </a:ext>
          </a:extLst>
        </xdr:cNvPr>
        <xdr:cNvCxnSpPr/>
      </xdr:nvCxnSpPr>
      <xdr:spPr>
        <a:xfrm>
          <a:off x="8342192" y="20091781"/>
          <a:ext cx="1826475" cy="263094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xdr:colOff>
      <xdr:row>222</xdr:row>
      <xdr:rowOff>1</xdr:rowOff>
    </xdr:from>
    <xdr:to>
      <xdr:col>35</xdr:col>
      <xdr:colOff>158564</xdr:colOff>
      <xdr:row>241</xdr:row>
      <xdr:rowOff>42135</xdr:rowOff>
    </xdr:to>
    <xdr:pic>
      <xdr:nvPicPr>
        <xdr:cNvPr id="101" name="Imagen 100">
          <a:extLst>
            <a:ext uri="{FF2B5EF4-FFF2-40B4-BE49-F238E27FC236}">
              <a16:creationId xmlns:a16="http://schemas.microsoft.com/office/drawing/2014/main" id="{00000000-0008-0000-0300-00006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96240" y="41894761"/>
          <a:ext cx="5393504" cy="3661634"/>
        </a:xfrm>
        <a:prstGeom prst="rect">
          <a:avLst/>
        </a:prstGeom>
      </xdr:spPr>
    </xdr:pic>
    <xdr:clientData/>
  </xdr:twoCellAnchor>
  <xdr:twoCellAnchor>
    <xdr:from>
      <xdr:col>40</xdr:col>
      <xdr:colOff>19047</xdr:colOff>
      <xdr:row>222</xdr:row>
      <xdr:rowOff>77562</xdr:rowOff>
    </xdr:from>
    <xdr:to>
      <xdr:col>73</xdr:col>
      <xdr:colOff>117813</xdr:colOff>
      <xdr:row>240</xdr:row>
      <xdr:rowOff>185057</xdr:rowOff>
    </xdr:to>
    <xdr:pic>
      <xdr:nvPicPr>
        <xdr:cNvPr id="102" name="Imagen 10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419847" y="43141448"/>
          <a:ext cx="5378337" cy="3634466"/>
        </a:xfrm>
        <a:prstGeom prst="rect">
          <a:avLst/>
        </a:prstGeom>
      </xdr:spPr>
    </xdr:pic>
    <xdr:clientData/>
  </xdr:twoCellAnchor>
  <xdr:twoCellAnchor>
    <xdr:from>
      <xdr:col>8</xdr:col>
      <xdr:colOff>148590</xdr:colOff>
      <xdr:row>242</xdr:row>
      <xdr:rowOff>9526</xdr:rowOff>
    </xdr:from>
    <xdr:to>
      <xdr:col>27</xdr:col>
      <xdr:colOff>159012</xdr:colOff>
      <xdr:row>261</xdr:row>
      <xdr:rowOff>52108</xdr:rowOff>
    </xdr:to>
    <xdr:pic>
      <xdr:nvPicPr>
        <xdr:cNvPr id="103" name="Imagen 102">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489710" y="45714286"/>
          <a:ext cx="2829822" cy="3662082"/>
        </a:xfrm>
        <a:prstGeom prst="rect">
          <a:avLst/>
        </a:prstGeom>
      </xdr:spPr>
    </xdr:pic>
    <xdr:clientData/>
  </xdr:twoCellAnchor>
  <xdr:twoCellAnchor>
    <xdr:from>
      <xdr:col>38</xdr:col>
      <xdr:colOff>90350</xdr:colOff>
      <xdr:row>242</xdr:row>
      <xdr:rowOff>1</xdr:rowOff>
    </xdr:from>
    <xdr:to>
      <xdr:col>73</xdr:col>
      <xdr:colOff>144139</xdr:colOff>
      <xdr:row>261</xdr:row>
      <xdr:rowOff>42583</xdr:rowOff>
    </xdr:to>
    <xdr:pic>
      <xdr:nvPicPr>
        <xdr:cNvPr id="104" name="Imagen 103">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327864" y="46982744"/>
          <a:ext cx="5496646" cy="3765496"/>
        </a:xfrm>
        <a:prstGeom prst="rect">
          <a:avLst/>
        </a:prstGeom>
      </xdr:spPr>
    </xdr:pic>
    <xdr:clientData/>
  </xdr:twoCellAnchor>
  <xdr:twoCellAnchor>
    <xdr:from>
      <xdr:col>2</xdr:col>
      <xdr:colOff>15240</xdr:colOff>
      <xdr:row>262</xdr:row>
      <xdr:rowOff>1</xdr:rowOff>
    </xdr:from>
    <xdr:to>
      <xdr:col>36</xdr:col>
      <xdr:colOff>15689</xdr:colOff>
      <xdr:row>281</xdr:row>
      <xdr:rowOff>52108</xdr:rowOff>
    </xdr:to>
    <xdr:pic>
      <xdr:nvPicPr>
        <xdr:cNvPr id="106" name="Imagen 105">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396240" y="49514761"/>
          <a:ext cx="5410649" cy="3671607"/>
        </a:xfrm>
        <a:prstGeom prst="rect">
          <a:avLst/>
        </a:prstGeom>
      </xdr:spPr>
    </xdr:pic>
    <xdr:clientData/>
  </xdr:twoCellAnchor>
  <xdr:twoCellAnchor>
    <xdr:from>
      <xdr:col>38</xdr:col>
      <xdr:colOff>90350</xdr:colOff>
      <xdr:row>262</xdr:row>
      <xdr:rowOff>1</xdr:rowOff>
    </xdr:from>
    <xdr:to>
      <xdr:col>73</xdr:col>
      <xdr:colOff>151758</xdr:colOff>
      <xdr:row>281</xdr:row>
      <xdr:rowOff>52108</xdr:rowOff>
    </xdr:to>
    <xdr:pic>
      <xdr:nvPicPr>
        <xdr:cNvPr id="107" name="Imagen 106">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327864" y="50901601"/>
          <a:ext cx="5504265" cy="3775021"/>
        </a:xfrm>
        <a:prstGeom prst="rect">
          <a:avLst/>
        </a:prstGeom>
      </xdr:spPr>
    </xdr:pic>
    <xdr:clientData/>
  </xdr:twoCellAnchor>
  <xdr:twoCellAnchor>
    <xdr:from>
      <xdr:col>2</xdr:col>
      <xdr:colOff>15240</xdr:colOff>
      <xdr:row>281</xdr:row>
      <xdr:rowOff>190498</xdr:rowOff>
    </xdr:from>
    <xdr:to>
      <xdr:col>36</xdr:col>
      <xdr:colOff>15689</xdr:colOff>
      <xdr:row>301</xdr:row>
      <xdr:rowOff>39443</xdr:rowOff>
    </xdr:to>
    <xdr:pic>
      <xdr:nvPicPr>
        <xdr:cNvPr id="108" name="Imagen 107">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396240" y="53324758"/>
          <a:ext cx="5410649" cy="3658945"/>
        </a:xfrm>
        <a:prstGeom prst="rect">
          <a:avLst/>
        </a:prstGeom>
      </xdr:spPr>
    </xdr:pic>
    <xdr:clientData/>
  </xdr:twoCellAnchor>
  <xdr:twoCellAnchor>
    <xdr:from>
      <xdr:col>38</xdr:col>
      <xdr:colOff>101236</xdr:colOff>
      <xdr:row>281</xdr:row>
      <xdr:rowOff>190498</xdr:rowOff>
    </xdr:from>
    <xdr:to>
      <xdr:col>73</xdr:col>
      <xdr:colOff>155024</xdr:colOff>
      <xdr:row>301</xdr:row>
      <xdr:rowOff>39443</xdr:rowOff>
    </xdr:to>
    <xdr:pic>
      <xdr:nvPicPr>
        <xdr:cNvPr id="109" name="Imagen 108">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38750" y="54815012"/>
          <a:ext cx="5496645" cy="3767802"/>
        </a:xfrm>
        <a:prstGeom prst="rect">
          <a:avLst/>
        </a:prstGeom>
      </xdr:spPr>
    </xdr:pic>
    <xdr:clientData/>
  </xdr:twoCellAnchor>
  <xdr:twoCellAnchor>
    <xdr:from>
      <xdr:col>2</xdr:col>
      <xdr:colOff>15240</xdr:colOff>
      <xdr:row>305</xdr:row>
      <xdr:rowOff>190498</xdr:rowOff>
    </xdr:from>
    <xdr:to>
      <xdr:col>36</xdr:col>
      <xdr:colOff>15689</xdr:colOff>
      <xdr:row>325</xdr:row>
      <xdr:rowOff>42132</xdr:rowOff>
    </xdr:to>
    <xdr:pic>
      <xdr:nvPicPr>
        <xdr:cNvPr id="110" name="Imagen 109">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396240" y="57896758"/>
          <a:ext cx="5410649" cy="3661634"/>
        </a:xfrm>
        <a:prstGeom prst="rect">
          <a:avLst/>
        </a:prstGeom>
      </xdr:spPr>
    </xdr:pic>
    <xdr:clientData/>
  </xdr:twoCellAnchor>
  <xdr:twoCellAnchor>
    <xdr:from>
      <xdr:col>38</xdr:col>
      <xdr:colOff>90350</xdr:colOff>
      <xdr:row>305</xdr:row>
      <xdr:rowOff>190498</xdr:rowOff>
    </xdr:from>
    <xdr:to>
      <xdr:col>73</xdr:col>
      <xdr:colOff>151758</xdr:colOff>
      <xdr:row>325</xdr:row>
      <xdr:rowOff>42132</xdr:rowOff>
    </xdr:to>
    <xdr:pic>
      <xdr:nvPicPr>
        <xdr:cNvPr id="111" name="Imagen 110">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327864" y="59517641"/>
          <a:ext cx="5504265" cy="3770491"/>
        </a:xfrm>
        <a:prstGeom prst="rect">
          <a:avLst/>
        </a:prstGeom>
      </xdr:spPr>
    </xdr:pic>
    <xdr:clientData/>
  </xdr:twoCellAnchor>
  <xdr:twoCellAnchor>
    <xdr:from>
      <xdr:col>2</xdr:col>
      <xdr:colOff>15240</xdr:colOff>
      <xdr:row>325</xdr:row>
      <xdr:rowOff>190498</xdr:rowOff>
    </xdr:from>
    <xdr:to>
      <xdr:col>36</xdr:col>
      <xdr:colOff>15689</xdr:colOff>
      <xdr:row>345</xdr:row>
      <xdr:rowOff>42580</xdr:rowOff>
    </xdr:to>
    <xdr:pic>
      <xdr:nvPicPr>
        <xdr:cNvPr id="112" name="Imagen 111">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396240" y="61706758"/>
          <a:ext cx="5410649" cy="3662082"/>
        </a:xfrm>
        <a:prstGeom prst="rect">
          <a:avLst/>
        </a:prstGeom>
      </xdr:spPr>
    </xdr:pic>
    <xdr:clientData/>
  </xdr:twoCellAnchor>
  <xdr:twoCellAnchor>
    <xdr:from>
      <xdr:col>2</xdr:col>
      <xdr:colOff>15240</xdr:colOff>
      <xdr:row>345</xdr:row>
      <xdr:rowOff>194580</xdr:rowOff>
    </xdr:from>
    <xdr:to>
      <xdr:col>36</xdr:col>
      <xdr:colOff>15689</xdr:colOff>
      <xdr:row>365</xdr:row>
      <xdr:rowOff>31694</xdr:rowOff>
    </xdr:to>
    <xdr:pic>
      <xdr:nvPicPr>
        <xdr:cNvPr id="113" name="Imagen 112">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396240" y="67359437"/>
          <a:ext cx="5486849" cy="3755971"/>
        </a:xfrm>
        <a:prstGeom prst="rect">
          <a:avLst/>
        </a:prstGeom>
      </xdr:spPr>
    </xdr:pic>
    <xdr:clientData/>
  </xdr:twoCellAnchor>
  <xdr:twoCellAnchor>
    <xdr:from>
      <xdr:col>38</xdr:col>
      <xdr:colOff>101236</xdr:colOff>
      <xdr:row>325</xdr:row>
      <xdr:rowOff>190498</xdr:rowOff>
    </xdr:from>
    <xdr:to>
      <xdr:col>73</xdr:col>
      <xdr:colOff>155025</xdr:colOff>
      <xdr:row>345</xdr:row>
      <xdr:rowOff>42580</xdr:rowOff>
    </xdr:to>
    <xdr:pic>
      <xdr:nvPicPr>
        <xdr:cNvPr id="114" name="Imagen 113">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338750" y="63436498"/>
          <a:ext cx="5496646" cy="3770939"/>
        </a:xfrm>
        <a:prstGeom prst="rect">
          <a:avLst/>
        </a:prstGeom>
      </xdr:spPr>
    </xdr:pic>
    <xdr:clientData/>
  </xdr:twoCellAnchor>
  <xdr:twoCellAnchor>
    <xdr:from>
      <xdr:col>38</xdr:col>
      <xdr:colOff>101236</xdr:colOff>
      <xdr:row>365</xdr:row>
      <xdr:rowOff>190498</xdr:rowOff>
    </xdr:from>
    <xdr:to>
      <xdr:col>73</xdr:col>
      <xdr:colOff>155024</xdr:colOff>
      <xdr:row>385</xdr:row>
      <xdr:rowOff>58493</xdr:rowOff>
    </xdr:to>
    <xdr:pic>
      <xdr:nvPicPr>
        <xdr:cNvPr id="115" name="Imagen 114">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338750" y="71274212"/>
          <a:ext cx="5496645" cy="3786852"/>
        </a:xfrm>
        <a:prstGeom prst="rect">
          <a:avLst/>
        </a:prstGeom>
      </xdr:spPr>
    </xdr:pic>
    <xdr:clientData/>
  </xdr:twoCellAnchor>
  <xdr:twoCellAnchor>
    <xdr:from>
      <xdr:col>38</xdr:col>
      <xdr:colOff>97971</xdr:colOff>
      <xdr:row>345</xdr:row>
      <xdr:rowOff>180973</xdr:rowOff>
    </xdr:from>
    <xdr:to>
      <xdr:col>73</xdr:col>
      <xdr:colOff>151759</xdr:colOff>
      <xdr:row>365</xdr:row>
      <xdr:rowOff>42580</xdr:rowOff>
    </xdr:to>
    <xdr:pic>
      <xdr:nvPicPr>
        <xdr:cNvPr id="116" name="Imagen 115">
          <a:extLst>
            <a:ext uri="{FF2B5EF4-FFF2-40B4-BE49-F238E27FC236}">
              <a16:creationId xmlns:a16="http://schemas.microsoft.com/office/drawing/2014/main" id="{00000000-0008-0000-0300-000074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335485" y="67345830"/>
          <a:ext cx="5496645" cy="3780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24765</xdr:colOff>
      <xdr:row>365</xdr:row>
      <xdr:rowOff>190498</xdr:rowOff>
    </xdr:from>
    <xdr:to>
      <xdr:col>36</xdr:col>
      <xdr:colOff>15689</xdr:colOff>
      <xdr:row>385</xdr:row>
      <xdr:rowOff>39443</xdr:rowOff>
    </xdr:to>
    <xdr:pic>
      <xdr:nvPicPr>
        <xdr:cNvPr id="117" name="Imagen 116">
          <a:extLst>
            <a:ext uri="{FF2B5EF4-FFF2-40B4-BE49-F238E27FC236}">
              <a16:creationId xmlns:a16="http://schemas.microsoft.com/office/drawing/2014/main" id="{00000000-0008-0000-0300-000075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405765" y="69326758"/>
          <a:ext cx="5401124" cy="36589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80010</xdr:colOff>
      <xdr:row>418</xdr:row>
      <xdr:rowOff>171448</xdr:rowOff>
    </xdr:from>
    <xdr:to>
      <xdr:col>14</xdr:col>
      <xdr:colOff>92337</xdr:colOff>
      <xdr:row>420</xdr:row>
      <xdr:rowOff>40340</xdr:rowOff>
    </xdr:to>
    <xdr:sp macro="" textlink="">
      <xdr:nvSpPr>
        <xdr:cNvPr id="118" name="Rectángulo 117">
          <a:extLst>
            <a:ext uri="{FF2B5EF4-FFF2-40B4-BE49-F238E27FC236}">
              <a16:creationId xmlns:a16="http://schemas.microsoft.com/office/drawing/2014/main" id="{00000000-0008-0000-0A00-000006000000}"/>
            </a:ext>
          </a:extLst>
        </xdr:cNvPr>
        <xdr:cNvSpPr/>
      </xdr:nvSpPr>
      <xdr:spPr>
        <a:xfrm>
          <a:off x="1581150" y="79404208"/>
          <a:ext cx="812427" cy="24989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xdr:col>
      <xdr:colOff>78921</xdr:colOff>
      <xdr:row>421</xdr:row>
      <xdr:rowOff>144508</xdr:rowOff>
    </xdr:from>
    <xdr:to>
      <xdr:col>38</xdr:col>
      <xdr:colOff>11718</xdr:colOff>
      <xdr:row>423</xdr:row>
      <xdr:rowOff>55581</xdr:rowOff>
    </xdr:to>
    <xdr:sp macro="" textlink="">
      <xdr:nvSpPr>
        <xdr:cNvPr id="119" name="CuadroTexto 118">
          <a:extLst>
            <a:ext uri="{FF2B5EF4-FFF2-40B4-BE49-F238E27FC236}">
              <a16:creationId xmlns:a16="http://schemas.microsoft.com/office/drawing/2014/main" id="{00000000-0008-0000-0A00-000003000000}"/>
            </a:ext>
          </a:extLst>
        </xdr:cNvPr>
        <xdr:cNvSpPr txBox="1"/>
      </xdr:nvSpPr>
      <xdr:spPr>
        <a:xfrm>
          <a:off x="459921" y="82201022"/>
          <a:ext cx="5789311" cy="302959"/>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2</xdr:col>
      <xdr:colOff>51435</xdr:colOff>
      <xdr:row>393</xdr:row>
      <xdr:rowOff>19048</xdr:rowOff>
    </xdr:from>
    <xdr:to>
      <xdr:col>37</xdr:col>
      <xdr:colOff>45721</xdr:colOff>
      <xdr:row>394</xdr:row>
      <xdr:rowOff>126064</xdr:rowOff>
    </xdr:to>
    <xdr:sp macro="" textlink="">
      <xdr:nvSpPr>
        <xdr:cNvPr id="120" name="CuadroTexto 119">
          <a:extLst>
            <a:ext uri="{FF2B5EF4-FFF2-40B4-BE49-F238E27FC236}">
              <a16:creationId xmlns:a16="http://schemas.microsoft.com/office/drawing/2014/main" id="{00000000-0008-0000-0A00-000004000000}"/>
            </a:ext>
          </a:extLst>
        </xdr:cNvPr>
        <xdr:cNvSpPr txBox="1"/>
      </xdr:nvSpPr>
      <xdr:spPr>
        <a:xfrm>
          <a:off x="432435" y="74489308"/>
          <a:ext cx="5564506"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xdr:twoCellAnchor>
    <xdr:from>
      <xdr:col>75</xdr:col>
      <xdr:colOff>1514589</xdr:colOff>
      <xdr:row>397</xdr:row>
      <xdr:rowOff>33614</xdr:rowOff>
    </xdr:from>
    <xdr:to>
      <xdr:col>75</xdr:col>
      <xdr:colOff>2305184</xdr:colOff>
      <xdr:row>413</xdr:row>
      <xdr:rowOff>68921</xdr:rowOff>
    </xdr:to>
    <xdr:pic>
      <xdr:nvPicPr>
        <xdr:cNvPr id="122" name="Imagen 121">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3"/>
        <a:stretch>
          <a:fillRect/>
        </a:stretch>
      </xdr:blipFill>
      <xdr:spPr>
        <a:xfrm>
          <a:off x="13295109" y="75265874"/>
          <a:ext cx="790595" cy="3083307"/>
        </a:xfrm>
        <a:prstGeom prst="rect">
          <a:avLst/>
        </a:prstGeom>
      </xdr:spPr>
    </xdr:pic>
    <xdr:clientData/>
  </xdr:twoCellAnchor>
  <xdr:twoCellAnchor>
    <xdr:from>
      <xdr:col>75</xdr:col>
      <xdr:colOff>1682080</xdr:colOff>
      <xdr:row>413</xdr:row>
      <xdr:rowOff>50494</xdr:rowOff>
    </xdr:from>
    <xdr:to>
      <xdr:col>75</xdr:col>
      <xdr:colOff>2473199</xdr:colOff>
      <xdr:row>435</xdr:row>
      <xdr:rowOff>112337</xdr:rowOff>
    </xdr:to>
    <xdr:pic>
      <xdr:nvPicPr>
        <xdr:cNvPr id="123" name="Imagen 122">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4"/>
        <a:stretch>
          <a:fillRect/>
        </a:stretch>
      </xdr:blipFill>
      <xdr:spPr>
        <a:xfrm>
          <a:off x="13462600" y="78330754"/>
          <a:ext cx="791119" cy="4252843"/>
        </a:xfrm>
        <a:prstGeom prst="rect">
          <a:avLst/>
        </a:prstGeom>
      </xdr:spPr>
    </xdr:pic>
    <xdr:clientData/>
  </xdr:twoCellAnchor>
  <xdr:twoCellAnchor>
    <xdr:from>
      <xdr:col>2</xdr:col>
      <xdr:colOff>157569</xdr:colOff>
      <xdr:row>395</xdr:row>
      <xdr:rowOff>20409</xdr:rowOff>
    </xdr:from>
    <xdr:to>
      <xdr:col>51</xdr:col>
      <xdr:colOff>65314</xdr:colOff>
      <xdr:row>420</xdr:row>
      <xdr:rowOff>155626</xdr:rowOff>
    </xdr:to>
    <xdr:pic>
      <xdr:nvPicPr>
        <xdr:cNvPr id="124" name="Imagen 123">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38569" y="76982409"/>
          <a:ext cx="7669259" cy="5033788"/>
        </a:xfrm>
        <a:prstGeom prst="rect">
          <a:avLst/>
        </a:prstGeom>
        <a:ln w="9525">
          <a:solidFill>
            <a:schemeClr val="tx1"/>
          </a:solidFill>
        </a:ln>
      </xdr:spPr>
    </xdr:pic>
    <xdr:clientData/>
  </xdr:twoCellAnchor>
  <xdr:twoCellAnchor>
    <xdr:from>
      <xdr:col>75</xdr:col>
      <xdr:colOff>2637312</xdr:colOff>
      <xdr:row>484</xdr:row>
      <xdr:rowOff>56031</xdr:rowOff>
    </xdr:from>
    <xdr:to>
      <xdr:col>76</xdr:col>
      <xdr:colOff>0</xdr:colOff>
      <xdr:row>508</xdr:row>
      <xdr:rowOff>21853</xdr:rowOff>
    </xdr:to>
    <xdr:pic>
      <xdr:nvPicPr>
        <xdr:cNvPr id="126" name="Imagen 125">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35"/>
        <a:stretch>
          <a:fillRect/>
        </a:stretch>
      </xdr:blipFill>
      <xdr:spPr>
        <a:xfrm>
          <a:off x="14417832" y="91861791"/>
          <a:ext cx="791688" cy="4537822"/>
        </a:xfrm>
        <a:prstGeom prst="rect">
          <a:avLst/>
        </a:prstGeom>
        <a:ln>
          <a:solidFill>
            <a:schemeClr val="tx1"/>
          </a:solidFill>
        </a:ln>
      </xdr:spPr>
    </xdr:pic>
    <xdr:clientData/>
  </xdr:twoCellAnchor>
  <xdr:twoCellAnchor>
    <xdr:from>
      <xdr:col>2</xdr:col>
      <xdr:colOff>51435</xdr:colOff>
      <xdr:row>477</xdr:row>
      <xdr:rowOff>19048</xdr:rowOff>
    </xdr:from>
    <xdr:to>
      <xdr:col>37</xdr:col>
      <xdr:colOff>32385</xdr:colOff>
      <xdr:row>478</xdr:row>
      <xdr:rowOff>126064</xdr:rowOff>
    </xdr:to>
    <xdr:sp macro="" textlink="">
      <xdr:nvSpPr>
        <xdr:cNvPr id="127" name="CuadroTexto 126">
          <a:extLst>
            <a:ext uri="{FF2B5EF4-FFF2-40B4-BE49-F238E27FC236}">
              <a16:creationId xmlns:a16="http://schemas.microsoft.com/office/drawing/2014/main" id="{00000000-0008-0000-0B00-000002000000}"/>
            </a:ext>
          </a:extLst>
        </xdr:cNvPr>
        <xdr:cNvSpPr txBox="1"/>
      </xdr:nvSpPr>
      <xdr:spPr>
        <a:xfrm>
          <a:off x="432435" y="90491308"/>
          <a:ext cx="5551170"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37</xdr:col>
      <xdr:colOff>109127</xdr:colOff>
      <xdr:row>493</xdr:row>
      <xdr:rowOff>106132</xdr:rowOff>
    </xdr:from>
    <xdr:to>
      <xdr:col>73</xdr:col>
      <xdr:colOff>92895</xdr:colOff>
      <xdr:row>495</xdr:row>
      <xdr:rowOff>17205</xdr:rowOff>
    </xdr:to>
    <xdr:sp macro="" textlink="">
      <xdr:nvSpPr>
        <xdr:cNvPr id="128" name="CuadroTexto 127">
          <a:extLst>
            <a:ext uri="{FF2B5EF4-FFF2-40B4-BE49-F238E27FC236}">
              <a16:creationId xmlns:a16="http://schemas.microsoft.com/office/drawing/2014/main" id="{00000000-0008-0000-0B00-000003000000}"/>
            </a:ext>
          </a:extLst>
        </xdr:cNvPr>
        <xdr:cNvSpPr txBox="1"/>
      </xdr:nvSpPr>
      <xdr:spPr>
        <a:xfrm>
          <a:off x="6139813" y="96270532"/>
          <a:ext cx="5633453" cy="302959"/>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PERMISO</a:t>
          </a:r>
          <a:r>
            <a:rPr lang="en-US" sz="1100" baseline="0"/>
            <a:t> DE EDIFICACIÓN</a:t>
          </a:r>
          <a:endParaRPr lang="en-US" sz="1100"/>
        </a:p>
      </xdr:txBody>
    </xdr:sp>
    <xdr:clientData/>
  </xdr:twoCellAnchor>
  <xdr:twoCellAnchor>
    <xdr:from>
      <xdr:col>2</xdr:col>
      <xdr:colOff>53788</xdr:colOff>
      <xdr:row>493</xdr:row>
      <xdr:rowOff>105337</xdr:rowOff>
    </xdr:from>
    <xdr:to>
      <xdr:col>37</xdr:col>
      <xdr:colOff>34738</xdr:colOff>
      <xdr:row>495</xdr:row>
      <xdr:rowOff>21853</xdr:rowOff>
    </xdr:to>
    <xdr:sp macro="" textlink="">
      <xdr:nvSpPr>
        <xdr:cNvPr id="129" name="CuadroTexto 128">
          <a:extLst>
            <a:ext uri="{FF2B5EF4-FFF2-40B4-BE49-F238E27FC236}">
              <a16:creationId xmlns:a16="http://schemas.microsoft.com/office/drawing/2014/main" id="{00000000-0008-0000-0B00-00000A000000}"/>
            </a:ext>
          </a:extLst>
        </xdr:cNvPr>
        <xdr:cNvSpPr txBox="1"/>
      </xdr:nvSpPr>
      <xdr:spPr>
        <a:xfrm>
          <a:off x="434788" y="93625597"/>
          <a:ext cx="5551170" cy="29751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RECEPCION FINAL</a:t>
          </a:r>
        </a:p>
      </xdr:txBody>
    </xdr:sp>
    <xdr:clientData/>
  </xdr:twoCellAnchor>
  <xdr:twoCellAnchor>
    <xdr:from>
      <xdr:col>37</xdr:col>
      <xdr:colOff>119743</xdr:colOff>
      <xdr:row>477</xdr:row>
      <xdr:rowOff>27853</xdr:rowOff>
    </xdr:from>
    <xdr:to>
      <xdr:col>73</xdr:col>
      <xdr:colOff>86319</xdr:colOff>
      <xdr:row>478</xdr:row>
      <xdr:rowOff>130630</xdr:rowOff>
    </xdr:to>
    <xdr:sp macro="" textlink="">
      <xdr:nvSpPr>
        <xdr:cNvPr id="130" name="CuadroTexto 129">
          <a:extLst>
            <a:ext uri="{FF2B5EF4-FFF2-40B4-BE49-F238E27FC236}">
              <a16:creationId xmlns:a16="http://schemas.microsoft.com/office/drawing/2014/main" id="{00000000-0008-0000-0B00-000007000000}"/>
            </a:ext>
          </a:extLst>
        </xdr:cNvPr>
        <xdr:cNvSpPr txBox="1"/>
      </xdr:nvSpPr>
      <xdr:spPr>
        <a:xfrm>
          <a:off x="6150429" y="93057167"/>
          <a:ext cx="5616261" cy="29872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a:t>
          </a:r>
          <a:r>
            <a:rPr lang="en-US" sz="1100" baseline="0"/>
            <a:t> TESORERIA DE CONTRIBUCIONES</a:t>
          </a:r>
          <a:endParaRPr lang="en-US" sz="1100"/>
        </a:p>
      </xdr:txBody>
    </xdr:sp>
    <xdr:clientData/>
  </xdr:twoCellAnchor>
  <xdr:twoCellAnchor>
    <xdr:from>
      <xdr:col>75</xdr:col>
      <xdr:colOff>1778597</xdr:colOff>
      <xdr:row>496</xdr:row>
      <xdr:rowOff>112059</xdr:rowOff>
    </xdr:from>
    <xdr:to>
      <xdr:col>75</xdr:col>
      <xdr:colOff>2571526</xdr:colOff>
      <xdr:row>505</xdr:row>
      <xdr:rowOff>85165</xdr:rowOff>
    </xdr:to>
    <xdr:cxnSp macro="">
      <xdr:nvCxnSpPr>
        <xdr:cNvPr id="131" name="Conector recto de flecha 130">
          <a:extLst>
            <a:ext uri="{FF2B5EF4-FFF2-40B4-BE49-F238E27FC236}">
              <a16:creationId xmlns:a16="http://schemas.microsoft.com/office/drawing/2014/main" id="{00000000-0008-0000-0B00-00000C000000}"/>
            </a:ext>
          </a:extLst>
        </xdr:cNvPr>
        <xdr:cNvCxnSpPr/>
      </xdr:nvCxnSpPr>
      <xdr:spPr>
        <a:xfrm>
          <a:off x="13559117" y="94203819"/>
          <a:ext cx="792929" cy="16876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1309743</xdr:colOff>
      <xdr:row>494</xdr:row>
      <xdr:rowOff>112059</xdr:rowOff>
    </xdr:from>
    <xdr:to>
      <xdr:col>75</xdr:col>
      <xdr:colOff>2101775</xdr:colOff>
      <xdr:row>494</xdr:row>
      <xdr:rowOff>112059</xdr:rowOff>
    </xdr:to>
    <xdr:cxnSp macro="">
      <xdr:nvCxnSpPr>
        <xdr:cNvPr id="132" name="Conector recto de flecha 131">
          <a:extLst>
            <a:ext uri="{FF2B5EF4-FFF2-40B4-BE49-F238E27FC236}">
              <a16:creationId xmlns:a16="http://schemas.microsoft.com/office/drawing/2014/main" id="{00000000-0008-0000-0B00-00000F000000}"/>
            </a:ext>
          </a:extLst>
        </xdr:cNvPr>
        <xdr:cNvCxnSpPr/>
      </xdr:nvCxnSpPr>
      <xdr:spPr>
        <a:xfrm>
          <a:off x="13090263" y="93822819"/>
          <a:ext cx="79203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45272</xdr:colOff>
      <xdr:row>478</xdr:row>
      <xdr:rowOff>168086</xdr:rowOff>
    </xdr:from>
    <xdr:to>
      <xdr:col>36</xdr:col>
      <xdr:colOff>146125</xdr:colOff>
      <xdr:row>493</xdr:row>
      <xdr:rowOff>12611</xdr:rowOff>
    </xdr:to>
    <xdr:pic>
      <xdr:nvPicPr>
        <xdr:cNvPr id="133" name="Imagen 132">
          <a:extLst>
            <a:ext uri="{FF2B5EF4-FFF2-40B4-BE49-F238E27FC236}">
              <a16:creationId xmlns:a16="http://schemas.microsoft.com/office/drawing/2014/main" id="{00000000-0008-0000-0300-00008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426272" y="93393343"/>
          <a:ext cx="5587253" cy="2783668"/>
        </a:xfrm>
        <a:prstGeom prst="rect">
          <a:avLst/>
        </a:prstGeom>
        <a:ln w="9525">
          <a:solidFill>
            <a:sysClr val="windowText" lastClr="000000"/>
          </a:solidFill>
        </a:ln>
      </xdr:spPr>
    </xdr:pic>
    <xdr:clientData/>
  </xdr:twoCellAnchor>
  <xdr:twoCellAnchor>
    <xdr:from>
      <xdr:col>38</xdr:col>
      <xdr:colOff>8579</xdr:colOff>
      <xdr:row>495</xdr:row>
      <xdr:rowOff>130944</xdr:rowOff>
    </xdr:from>
    <xdr:to>
      <xdr:col>73</xdr:col>
      <xdr:colOff>133617</xdr:colOff>
      <xdr:row>524</xdr:row>
      <xdr:rowOff>21770</xdr:rowOff>
    </xdr:to>
    <xdr:pic>
      <xdr:nvPicPr>
        <xdr:cNvPr id="134" name="Imagen 133">
          <a:extLst>
            <a:ext uri="{FF2B5EF4-FFF2-40B4-BE49-F238E27FC236}">
              <a16:creationId xmlns:a16="http://schemas.microsoft.com/office/drawing/2014/main" id="{00000000-0008-0000-0300-00008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246093" y="96687230"/>
          <a:ext cx="5567895" cy="5573169"/>
        </a:xfrm>
        <a:prstGeom prst="rect">
          <a:avLst/>
        </a:prstGeom>
      </xdr:spPr>
    </xdr:pic>
    <xdr:clientData/>
  </xdr:twoCellAnchor>
  <xdr:twoCellAnchor>
    <xdr:from>
      <xdr:col>2</xdr:col>
      <xdr:colOff>14857</xdr:colOff>
      <xdr:row>495</xdr:row>
      <xdr:rowOff>90926</xdr:rowOff>
    </xdr:from>
    <xdr:to>
      <xdr:col>37</xdr:col>
      <xdr:colOff>72678</xdr:colOff>
      <xdr:row>536</xdr:row>
      <xdr:rowOff>9123</xdr:rowOff>
    </xdr:to>
    <xdr:pic>
      <xdr:nvPicPr>
        <xdr:cNvPr id="135" name="Imagen 134">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857" y="96647212"/>
          <a:ext cx="5707507" cy="7951854"/>
        </a:xfrm>
        <a:prstGeom prst="rect">
          <a:avLst/>
        </a:prstGeom>
      </xdr:spPr>
    </xdr:pic>
    <xdr:clientData/>
  </xdr:twoCellAnchor>
  <xdr:twoCellAnchor>
    <xdr:from>
      <xdr:col>37</xdr:col>
      <xdr:colOff>101622</xdr:colOff>
      <xdr:row>479</xdr:row>
      <xdr:rowOff>4161</xdr:rowOff>
    </xdr:from>
    <xdr:to>
      <xdr:col>73</xdr:col>
      <xdr:colOff>108858</xdr:colOff>
      <xdr:row>493</xdr:row>
      <xdr:rowOff>21771</xdr:rowOff>
    </xdr:to>
    <xdr:pic>
      <xdr:nvPicPr>
        <xdr:cNvPr id="136" name="Imagen 135">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132308" y="93425361"/>
          <a:ext cx="5656921" cy="2760810"/>
        </a:xfrm>
        <a:prstGeom prst="rect">
          <a:avLst/>
        </a:prstGeom>
      </xdr:spPr>
    </xdr:pic>
    <xdr:clientData/>
  </xdr:twoCellAnchor>
  <xdr:twoCellAnchor editAs="oneCell">
    <xdr:from>
      <xdr:col>2</xdr:col>
      <xdr:colOff>54430</xdr:colOff>
      <xdr:row>423</xdr:row>
      <xdr:rowOff>108857</xdr:rowOff>
    </xdr:from>
    <xdr:to>
      <xdr:col>47</xdr:col>
      <xdr:colOff>293452</xdr:colOff>
      <xdr:row>445</xdr:row>
      <xdr:rowOff>80925</xdr:rowOff>
    </xdr:to>
    <xdr:pic>
      <xdr:nvPicPr>
        <xdr:cNvPr id="18" name="Imagen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0"/>
        <a:stretch>
          <a:fillRect/>
        </a:stretch>
      </xdr:blipFill>
      <xdr:spPr>
        <a:xfrm>
          <a:off x="435430" y="82557257"/>
          <a:ext cx="7216765" cy="4282811"/>
        </a:xfrm>
        <a:prstGeom prst="rect">
          <a:avLst/>
        </a:prstGeom>
        <a:ln w="9525">
          <a:solidFill>
            <a:schemeClr val="tx1"/>
          </a:solidFill>
        </a:ln>
      </xdr:spPr>
    </xdr:pic>
    <xdr:clientData/>
  </xdr:twoCellAnchor>
  <xdr:twoCellAnchor editAs="oneCell">
    <xdr:from>
      <xdr:col>2</xdr:col>
      <xdr:colOff>65316</xdr:colOff>
      <xdr:row>445</xdr:row>
      <xdr:rowOff>119741</xdr:rowOff>
    </xdr:from>
    <xdr:to>
      <xdr:col>48</xdr:col>
      <xdr:colOff>0</xdr:colOff>
      <xdr:row>469</xdr:row>
      <xdr:rowOff>166743</xdr:rowOff>
    </xdr:to>
    <xdr:pic>
      <xdr:nvPicPr>
        <xdr:cNvPr id="19" name="Imagen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41"/>
        <a:stretch>
          <a:fillRect/>
        </a:stretch>
      </xdr:blipFill>
      <xdr:spPr>
        <a:xfrm>
          <a:off x="446316" y="86878884"/>
          <a:ext cx="7206341" cy="4749630"/>
        </a:xfrm>
        <a:prstGeom prst="rect">
          <a:avLst/>
        </a:prstGeom>
        <a:ln w="9525">
          <a:solidFill>
            <a:schemeClr val="tx1"/>
          </a:solidFill>
        </a:ln>
      </xdr:spPr>
    </xdr:pic>
    <xdr:clientData/>
  </xdr:twoCellAnchor>
  <xdr:twoCellAnchor>
    <xdr:from>
      <xdr:col>54</xdr:col>
      <xdr:colOff>96491</xdr:colOff>
      <xdr:row>98</xdr:row>
      <xdr:rowOff>76</xdr:rowOff>
    </xdr:from>
    <xdr:to>
      <xdr:col>57</xdr:col>
      <xdr:colOff>33797</xdr:colOff>
      <xdr:row>106</xdr:row>
      <xdr:rowOff>5345</xdr:rowOff>
    </xdr:to>
    <xdr:cxnSp macro="">
      <xdr:nvCxnSpPr>
        <xdr:cNvPr id="26" name="41 Conector recto de flecha">
          <a:extLst>
            <a:ext uri="{FF2B5EF4-FFF2-40B4-BE49-F238E27FC236}">
              <a16:creationId xmlns:a16="http://schemas.microsoft.com/office/drawing/2014/main" id="{7B3C73EB-1B2A-498F-9C4B-D61C9B268138}"/>
            </a:ext>
          </a:extLst>
        </xdr:cNvPr>
        <xdr:cNvCxnSpPr>
          <a:stCxn id="84" idx="2"/>
          <a:endCxn id="86" idx="7"/>
        </xdr:cNvCxnSpPr>
      </xdr:nvCxnSpPr>
      <xdr:spPr>
        <a:xfrm flipH="1">
          <a:off x="8444873" y="18377723"/>
          <a:ext cx="329512" cy="15292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142875</xdr:colOff>
          <xdr:row>6</xdr:row>
          <xdr:rowOff>104775</xdr:rowOff>
        </xdr:from>
        <xdr:to>
          <xdr:col>77</xdr:col>
          <xdr:colOff>485775</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0</xdr:colOff>
      <xdr:row>4</xdr:row>
      <xdr:rowOff>0</xdr:rowOff>
    </xdr:from>
    <xdr:to>
      <xdr:col>35</xdr:col>
      <xdr:colOff>142875</xdr:colOff>
      <xdr:row>23</xdr:row>
      <xdr:rowOff>0</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0525" y="762000"/>
          <a:ext cx="5172075" cy="3619500"/>
        </a:xfrm>
        <a:prstGeom prst="rect">
          <a:avLst/>
        </a:prstGeom>
      </xdr:spPr>
    </xdr:pic>
    <xdr:clientData/>
  </xdr:twoCellAnchor>
  <xdr:twoCellAnchor editAs="oneCell">
    <xdr:from>
      <xdr:col>41</xdr:col>
      <xdr:colOff>19050</xdr:colOff>
      <xdr:row>5</xdr:row>
      <xdr:rowOff>142875</xdr:rowOff>
    </xdr:from>
    <xdr:to>
      <xdr:col>69</xdr:col>
      <xdr:colOff>133350</xdr:colOff>
      <xdr:row>21</xdr:row>
      <xdr:rowOff>19050</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53175" y="1095375"/>
          <a:ext cx="4381500" cy="2924175"/>
        </a:xfrm>
        <a:prstGeom prst="rect">
          <a:avLst/>
        </a:prstGeom>
      </xdr:spPr>
    </xdr:pic>
    <xdr:clientData/>
  </xdr:twoCellAnchor>
  <xdr:twoCellAnchor editAs="oneCell">
    <xdr:from>
      <xdr:col>8</xdr:col>
      <xdr:colOff>133350</xdr:colOff>
      <xdr:row>24</xdr:row>
      <xdr:rowOff>9525</xdr:rowOff>
    </xdr:from>
    <xdr:to>
      <xdr:col>26</xdr:col>
      <xdr:colOff>104775</xdr:colOff>
      <xdr:row>43</xdr:row>
      <xdr:rowOff>9525</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8275" y="4581525"/>
          <a:ext cx="2714625" cy="3619500"/>
        </a:xfrm>
        <a:prstGeom prst="rect">
          <a:avLst/>
        </a:prstGeom>
      </xdr:spPr>
    </xdr:pic>
    <xdr:clientData/>
  </xdr:twoCellAnchor>
  <xdr:twoCellAnchor editAs="oneCell">
    <xdr:from>
      <xdr:col>39</xdr:col>
      <xdr:colOff>0</xdr:colOff>
      <xdr:row>24</xdr:row>
      <xdr:rowOff>0</xdr:rowOff>
    </xdr:from>
    <xdr:to>
      <xdr:col>73</xdr:col>
      <xdr:colOff>0</xdr:colOff>
      <xdr:row>43</xdr:row>
      <xdr:rowOff>0</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29325" y="4572000"/>
          <a:ext cx="5181600" cy="3619500"/>
        </a:xfrm>
        <a:prstGeom prst="rect">
          <a:avLst/>
        </a:prstGeom>
      </xdr:spPr>
    </xdr:pic>
    <xdr:clientData/>
  </xdr:twoCellAnchor>
  <xdr:twoCellAnchor editAs="oneCell">
    <xdr:from>
      <xdr:col>2</xdr:col>
      <xdr:colOff>0</xdr:colOff>
      <xdr:row>44</xdr:row>
      <xdr:rowOff>0</xdr:rowOff>
    </xdr:from>
    <xdr:to>
      <xdr:col>36</xdr:col>
      <xdr:colOff>0</xdr:colOff>
      <xdr:row>63</xdr:row>
      <xdr:rowOff>9525</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0525" y="8382000"/>
          <a:ext cx="5181600" cy="3629025"/>
        </a:xfrm>
        <a:prstGeom prst="rect">
          <a:avLst/>
        </a:prstGeom>
      </xdr:spPr>
    </xdr:pic>
    <xdr:clientData/>
  </xdr:twoCellAnchor>
  <xdr:twoCellAnchor editAs="oneCell">
    <xdr:from>
      <xdr:col>39</xdr:col>
      <xdr:colOff>0</xdr:colOff>
      <xdr:row>44</xdr:row>
      <xdr:rowOff>0</xdr:rowOff>
    </xdr:from>
    <xdr:to>
      <xdr:col>73</xdr:col>
      <xdr:colOff>0</xdr:colOff>
      <xdr:row>63</xdr:row>
      <xdr:rowOff>9525</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029325" y="8382000"/>
          <a:ext cx="5181600" cy="3629025"/>
        </a:xfrm>
        <a:prstGeom prst="rect">
          <a:avLst/>
        </a:prstGeom>
      </xdr:spPr>
    </xdr:pic>
    <xdr:clientData/>
  </xdr:twoCellAnchor>
  <xdr:twoCellAnchor editAs="oneCell">
    <xdr:from>
      <xdr:col>2</xdr:col>
      <xdr:colOff>0</xdr:colOff>
      <xdr:row>64</xdr:row>
      <xdr:rowOff>0</xdr:rowOff>
    </xdr:from>
    <xdr:to>
      <xdr:col>36</xdr:col>
      <xdr:colOff>0</xdr:colOff>
      <xdr:row>83</xdr:row>
      <xdr:rowOff>0</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90525" y="12192000"/>
          <a:ext cx="5181600" cy="3619500"/>
        </a:xfrm>
        <a:prstGeom prst="rect">
          <a:avLst/>
        </a:prstGeom>
      </xdr:spPr>
    </xdr:pic>
    <xdr:clientData/>
  </xdr:twoCellAnchor>
  <xdr:twoCellAnchor editAs="oneCell">
    <xdr:from>
      <xdr:col>39</xdr:col>
      <xdr:colOff>0</xdr:colOff>
      <xdr:row>64</xdr:row>
      <xdr:rowOff>0</xdr:rowOff>
    </xdr:from>
    <xdr:to>
      <xdr:col>73</xdr:col>
      <xdr:colOff>0</xdr:colOff>
      <xdr:row>83</xdr:row>
      <xdr:rowOff>0</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029325" y="12192000"/>
          <a:ext cx="5181600" cy="3619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142875</xdr:colOff>
          <xdr:row>7</xdr:row>
          <xdr:rowOff>104775</xdr:rowOff>
        </xdr:from>
        <xdr:to>
          <xdr:col>78</xdr:col>
          <xdr:colOff>485775</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0</xdr:colOff>
      <xdr:row>4</xdr:row>
      <xdr:rowOff>0</xdr:rowOff>
    </xdr:from>
    <xdr:to>
      <xdr:col>36</xdr:col>
      <xdr:colOff>0</xdr:colOff>
      <xdr:row>23</xdr:row>
      <xdr:rowOff>0</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0525" y="762000"/>
          <a:ext cx="5181600" cy="3619500"/>
        </a:xfrm>
        <a:prstGeom prst="rect">
          <a:avLst/>
        </a:prstGeom>
      </xdr:spPr>
    </xdr:pic>
    <xdr:clientData/>
  </xdr:twoCellAnchor>
  <xdr:twoCellAnchor editAs="oneCell">
    <xdr:from>
      <xdr:col>39</xdr:col>
      <xdr:colOff>0</xdr:colOff>
      <xdr:row>4</xdr:row>
      <xdr:rowOff>0</xdr:rowOff>
    </xdr:from>
    <xdr:to>
      <xdr:col>73</xdr:col>
      <xdr:colOff>0</xdr:colOff>
      <xdr:row>23</xdr:row>
      <xdr:rowOff>0</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029325" y="762000"/>
          <a:ext cx="5181600" cy="3619500"/>
        </a:xfrm>
        <a:prstGeom prst="rect">
          <a:avLst/>
        </a:prstGeom>
      </xdr:spPr>
    </xdr:pic>
    <xdr:clientData/>
  </xdr:twoCellAnchor>
  <xdr:twoCellAnchor editAs="oneCell">
    <xdr:from>
      <xdr:col>2</xdr:col>
      <xdr:colOff>0</xdr:colOff>
      <xdr:row>24</xdr:row>
      <xdr:rowOff>0</xdr:rowOff>
    </xdr:from>
    <xdr:to>
      <xdr:col>36</xdr:col>
      <xdr:colOff>0</xdr:colOff>
      <xdr:row>43</xdr:row>
      <xdr:rowOff>0</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90525" y="4572000"/>
          <a:ext cx="5181600" cy="3619500"/>
        </a:xfrm>
        <a:prstGeom prst="rect">
          <a:avLst/>
        </a:prstGeom>
      </xdr:spPr>
    </xdr:pic>
    <xdr:clientData/>
  </xdr:twoCellAnchor>
  <xdr:twoCellAnchor editAs="oneCell">
    <xdr:from>
      <xdr:col>2</xdr:col>
      <xdr:colOff>0</xdr:colOff>
      <xdr:row>44</xdr:row>
      <xdr:rowOff>9525</xdr:rowOff>
    </xdr:from>
    <xdr:to>
      <xdr:col>36</xdr:col>
      <xdr:colOff>0</xdr:colOff>
      <xdr:row>63</xdr:row>
      <xdr:rowOff>0</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90525" y="8391525"/>
          <a:ext cx="5181600" cy="3609975"/>
        </a:xfrm>
        <a:prstGeom prst="rect">
          <a:avLst/>
        </a:prstGeom>
      </xdr:spPr>
    </xdr:pic>
    <xdr:clientData/>
  </xdr:twoCellAnchor>
  <xdr:twoCellAnchor editAs="oneCell">
    <xdr:from>
      <xdr:col>39</xdr:col>
      <xdr:colOff>0</xdr:colOff>
      <xdr:row>24</xdr:row>
      <xdr:rowOff>0</xdr:rowOff>
    </xdr:from>
    <xdr:to>
      <xdr:col>73</xdr:col>
      <xdr:colOff>0</xdr:colOff>
      <xdr:row>43</xdr:row>
      <xdr:rowOff>0</xdr:rowOff>
    </xdr:to>
    <xdr:pic>
      <xdr:nvPicPr>
        <xdr:cNvPr id="6" name="Imagen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29325" y="4572000"/>
          <a:ext cx="5181600" cy="3619500"/>
        </a:xfrm>
        <a:prstGeom prst="rect">
          <a:avLst/>
        </a:prstGeom>
      </xdr:spPr>
    </xdr:pic>
    <xdr:clientData/>
  </xdr:twoCellAnchor>
  <xdr:twoCellAnchor editAs="oneCell">
    <xdr:from>
      <xdr:col>39</xdr:col>
      <xdr:colOff>0</xdr:colOff>
      <xdr:row>64</xdr:row>
      <xdr:rowOff>0</xdr:rowOff>
    </xdr:from>
    <xdr:to>
      <xdr:col>73</xdr:col>
      <xdr:colOff>0</xdr:colOff>
      <xdr:row>83</xdr:row>
      <xdr:rowOff>19050</xdr:rowOff>
    </xdr:to>
    <xdr:pic>
      <xdr:nvPicPr>
        <xdr:cNvPr id="7" name="Imagen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029325" y="12192000"/>
          <a:ext cx="5181600" cy="3638550"/>
        </a:xfrm>
        <a:prstGeom prst="rect">
          <a:avLst/>
        </a:prstGeom>
      </xdr:spPr>
    </xdr:pic>
    <xdr:clientData/>
  </xdr:twoCellAnchor>
  <xdr:twoCellAnchor editAs="oneCell">
    <xdr:from>
      <xdr:col>39</xdr:col>
      <xdr:colOff>1</xdr:colOff>
      <xdr:row>43</xdr:row>
      <xdr:rowOff>180975</xdr:rowOff>
    </xdr:from>
    <xdr:to>
      <xdr:col>73</xdr:col>
      <xdr:colOff>1</xdr:colOff>
      <xdr:row>63</xdr:row>
      <xdr:rowOff>0</xdr:rowOff>
    </xdr:to>
    <xdr:pic>
      <xdr:nvPicPr>
        <xdr:cNvPr id="9" name="Imagen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029326" y="8372475"/>
          <a:ext cx="5181600" cy="3629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xdr:colOff>
      <xdr:row>64</xdr:row>
      <xdr:rowOff>0</xdr:rowOff>
    </xdr:from>
    <xdr:to>
      <xdr:col>36</xdr:col>
      <xdr:colOff>0</xdr:colOff>
      <xdr:row>83</xdr:row>
      <xdr:rowOff>0</xdr:rowOff>
    </xdr:to>
    <xdr:pic>
      <xdr:nvPicPr>
        <xdr:cNvPr id="10" name="Imagen 9">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00050" y="12192000"/>
          <a:ext cx="5172075" cy="3619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81</xdr:col>
      <xdr:colOff>296409</xdr:colOff>
      <xdr:row>18</xdr:row>
      <xdr:rowOff>45945</xdr:rowOff>
    </xdr:from>
    <xdr:to>
      <xdr:col>82</xdr:col>
      <xdr:colOff>52962</xdr:colOff>
      <xdr:row>20</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12869409" y="35130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81</xdr:col>
      <xdr:colOff>479486</xdr:colOff>
      <xdr:row>20</xdr:row>
      <xdr:rowOff>22133</xdr:rowOff>
    </xdr:from>
    <xdr:to>
      <xdr:col>81</xdr:col>
      <xdr:colOff>481865</xdr:colOff>
      <xdr:row>22</xdr:row>
      <xdr:rowOff>93570</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4"/>
          <a:endCxn id="9" idx="0"/>
        </xdr:cNvCxnSpPr>
      </xdr:nvCxnSpPr>
      <xdr:spPr>
        <a:xfrm>
          <a:off x="13052486" y="3870233"/>
          <a:ext cx="2379"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331146</xdr:colOff>
      <xdr:row>20</xdr:row>
      <xdr:rowOff>31658</xdr:rowOff>
    </xdr:from>
    <xdr:to>
      <xdr:col>82</xdr:col>
      <xdr:colOff>336611</xdr:colOff>
      <xdr:row>22</xdr:row>
      <xdr:rowOff>131670</xdr:rowOff>
    </xdr:to>
    <xdr:cxnSp macro="">
      <xdr:nvCxnSpPr>
        <xdr:cNvPr id="6" name="30 Conector recto de flecha">
          <a:extLst>
            <a:ext uri="{FF2B5EF4-FFF2-40B4-BE49-F238E27FC236}">
              <a16:creationId xmlns:a16="http://schemas.microsoft.com/office/drawing/2014/main" id="{00000000-0008-0000-0700-000006000000}"/>
            </a:ext>
          </a:extLst>
        </xdr:cNvPr>
        <xdr:cNvCxnSpPr>
          <a:endCxn id="10" idx="0"/>
        </xdr:cNvCxnSpPr>
      </xdr:nvCxnSpPr>
      <xdr:spPr>
        <a:xfrm flipH="1">
          <a:off x="13513746" y="3879758"/>
          <a:ext cx="5465"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212786</xdr:colOff>
      <xdr:row>20</xdr:row>
      <xdr:rowOff>31658</xdr:rowOff>
    </xdr:from>
    <xdr:to>
      <xdr:col>83</xdr:col>
      <xdr:colOff>219087</xdr:colOff>
      <xdr:row>22</xdr:row>
      <xdr:rowOff>122145</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14004986" y="3879758"/>
          <a:ext cx="6301"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424715</xdr:colOff>
      <xdr:row>22</xdr:row>
      <xdr:rowOff>93570</xdr:rowOff>
    </xdr:from>
    <xdr:to>
      <xdr:col>81</xdr:col>
      <xdr:colOff>539015</xdr:colOff>
      <xdr:row>23</xdr:row>
      <xdr:rowOff>7845</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12997715" y="432267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82</xdr:col>
      <xdr:colOff>271755</xdr:colOff>
      <xdr:row>22</xdr:row>
      <xdr:rowOff>131670</xdr:rowOff>
    </xdr:from>
    <xdr:to>
      <xdr:col>82</xdr:col>
      <xdr:colOff>390537</xdr:colOff>
      <xdr:row>23</xdr:row>
      <xdr:rowOff>45945</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13454355" y="436077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83</xdr:col>
      <xdr:colOff>161937</xdr:colOff>
      <xdr:row>22</xdr:row>
      <xdr:rowOff>122145</xdr:rowOff>
    </xdr:from>
    <xdr:to>
      <xdr:col>83</xdr:col>
      <xdr:colOff>276237</xdr:colOff>
      <xdr:row>23</xdr:row>
      <xdr:rowOff>36420</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13954137" y="435124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78</xdr:col>
      <xdr:colOff>39501</xdr:colOff>
      <xdr:row>7</xdr:row>
      <xdr:rowOff>171451</xdr:rowOff>
    </xdr:from>
    <xdr:to>
      <xdr:col>78</xdr:col>
      <xdr:colOff>50987</xdr:colOff>
      <xdr:row>10</xdr:row>
      <xdr:rowOff>95250</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2"/>
        </xdr:cNvCxnSpPr>
      </xdr:nvCxnSpPr>
      <xdr:spPr>
        <a:xfrm>
          <a:off x="12155301" y="1543051"/>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74</xdr:col>
      <xdr:colOff>9525</xdr:colOff>
      <xdr:row>6</xdr:row>
      <xdr:rowOff>57151</xdr:rowOff>
    </xdr:from>
    <xdr:to>
      <xdr:col>81</xdr:col>
      <xdr:colOff>221876</xdr:colOff>
      <xdr:row>7</xdr:row>
      <xdr:rowOff>171451</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11515725" y="1238251"/>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78</xdr:col>
      <xdr:colOff>71448</xdr:colOff>
      <xdr:row>13</xdr:row>
      <xdr:rowOff>133351</xdr:rowOff>
    </xdr:from>
    <xdr:to>
      <xdr:col>78</xdr:col>
      <xdr:colOff>76211</xdr:colOff>
      <xdr:row>16</xdr:row>
      <xdr:rowOff>74520</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xdr:cNvCxnSpPr>
      </xdr:nvCxnSpPr>
      <xdr:spPr>
        <a:xfrm>
          <a:off x="12187248" y="2647951"/>
          <a:ext cx="4763"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74</xdr:col>
      <xdr:colOff>61643</xdr:colOff>
      <xdr:row>12</xdr:row>
      <xdr:rowOff>36421</xdr:rowOff>
    </xdr:from>
    <xdr:to>
      <xdr:col>81</xdr:col>
      <xdr:colOff>233653</xdr:colOff>
      <xdr:row>13</xdr:row>
      <xdr:rowOff>133351</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11567843" y="2360521"/>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75</xdr:col>
      <xdr:colOff>101425</xdr:colOff>
      <xdr:row>17</xdr:row>
      <xdr:rowOff>90769</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16743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77</xdr:col>
      <xdr:colOff>15700</xdr:colOff>
      <xdr:row>17</xdr:row>
      <xdr:rowOff>5044</xdr:rowOff>
    </xdr:from>
    <xdr:to>
      <xdr:col>77</xdr:col>
      <xdr:colOff>101425</xdr:colOff>
      <xdr:row>17</xdr:row>
      <xdr:rowOff>90769</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119791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82</xdr:col>
      <xdr:colOff>163059</xdr:colOff>
      <xdr:row>18</xdr:row>
      <xdr:rowOff>36420</xdr:rowOff>
    </xdr:from>
    <xdr:to>
      <xdr:col>82</xdr:col>
      <xdr:colOff>529212</xdr:colOff>
      <xdr:row>20</xdr:row>
      <xdr:rowOff>12608</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13345659" y="350352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83</xdr:col>
      <xdr:colOff>29709</xdr:colOff>
      <xdr:row>18</xdr:row>
      <xdr:rowOff>55470</xdr:rowOff>
    </xdr:from>
    <xdr:to>
      <xdr:col>83</xdr:col>
      <xdr:colOff>395862</xdr:colOff>
      <xdr:row>20</xdr:row>
      <xdr:rowOff>31658</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13821909" y="352257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380999</xdr:colOff>
      <xdr:row>5</xdr:row>
      <xdr:rowOff>0</xdr:rowOff>
    </xdr:from>
    <xdr:to>
      <xdr:col>71</xdr:col>
      <xdr:colOff>123263</xdr:colOff>
      <xdr:row>28</xdr:row>
      <xdr:rowOff>168088</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0999" y="986118"/>
          <a:ext cx="11105029" cy="4549588"/>
        </a:xfrm>
        <a:prstGeom prst="rect">
          <a:avLst/>
        </a:prstGeom>
      </xdr:spPr>
    </xdr:pic>
    <xdr:clientData/>
  </xdr:twoCellAnchor>
  <xdr:twoCellAnchor editAs="oneCell">
    <xdr:from>
      <xdr:col>3</xdr:col>
      <xdr:colOff>0</xdr:colOff>
      <xdr:row>31</xdr:row>
      <xdr:rowOff>0</xdr:rowOff>
    </xdr:from>
    <xdr:to>
      <xdr:col>23</xdr:col>
      <xdr:colOff>22413</xdr:colOff>
      <xdr:row>45</xdr:row>
      <xdr:rowOff>22411</xdr:rowOff>
    </xdr:to>
    <xdr:pic>
      <xdr:nvPicPr>
        <xdr:cNvPr id="21" name="Imagen 20">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4765" y="5939118"/>
          <a:ext cx="3160060" cy="2689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11205</xdr:colOff>
      <xdr:row>20</xdr:row>
      <xdr:rowOff>134471</xdr:rowOff>
    </xdr:from>
    <xdr:to>
      <xdr:col>50</xdr:col>
      <xdr:colOff>129987</xdr:colOff>
      <xdr:row>21</xdr:row>
      <xdr:rowOff>48746</xdr:rowOff>
    </xdr:to>
    <xdr:sp macro="" textlink="">
      <xdr:nvSpPr>
        <xdr:cNvPr id="22" name="38 Elipse">
          <a:extLst>
            <a:ext uri="{FF2B5EF4-FFF2-40B4-BE49-F238E27FC236}">
              <a16:creationId xmlns:a16="http://schemas.microsoft.com/office/drawing/2014/main" id="{00000000-0008-0000-0700-00000A000000}"/>
            </a:ext>
          </a:extLst>
        </xdr:cNvPr>
        <xdr:cNvSpPr/>
      </xdr:nvSpPr>
      <xdr:spPr>
        <a:xfrm>
          <a:off x="8079440" y="3978089"/>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49</xdr:col>
      <xdr:colOff>51546</xdr:colOff>
      <xdr:row>21</xdr:row>
      <xdr:rowOff>6724</xdr:rowOff>
    </xdr:from>
    <xdr:to>
      <xdr:col>50</xdr:col>
      <xdr:colOff>13446</xdr:colOff>
      <xdr:row>21</xdr:row>
      <xdr:rowOff>111499</xdr:rowOff>
    </xdr:to>
    <xdr:sp macro="" textlink="">
      <xdr:nvSpPr>
        <xdr:cNvPr id="25" name="38 Elipse">
          <a:extLst>
            <a:ext uri="{FF2B5EF4-FFF2-40B4-BE49-F238E27FC236}">
              <a16:creationId xmlns:a16="http://schemas.microsoft.com/office/drawing/2014/main" id="{00000000-0008-0000-0700-00000A000000}"/>
            </a:ext>
          </a:extLst>
        </xdr:cNvPr>
        <xdr:cNvSpPr/>
      </xdr:nvSpPr>
      <xdr:spPr>
        <a:xfrm>
          <a:off x="7962899" y="4040842"/>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48</xdr:col>
      <xdr:colOff>114299</xdr:colOff>
      <xdr:row>20</xdr:row>
      <xdr:rowOff>125506</xdr:rowOff>
    </xdr:from>
    <xdr:to>
      <xdr:col>49</xdr:col>
      <xdr:colOff>76199</xdr:colOff>
      <xdr:row>21</xdr:row>
      <xdr:rowOff>39781</xdr:rowOff>
    </xdr:to>
    <xdr:sp macro="" textlink="">
      <xdr:nvSpPr>
        <xdr:cNvPr id="26" name="38 Elipse">
          <a:extLst>
            <a:ext uri="{FF2B5EF4-FFF2-40B4-BE49-F238E27FC236}">
              <a16:creationId xmlns:a16="http://schemas.microsoft.com/office/drawing/2014/main" id="{00000000-0008-0000-0700-00000A000000}"/>
            </a:ext>
          </a:extLst>
        </xdr:cNvPr>
        <xdr:cNvSpPr/>
      </xdr:nvSpPr>
      <xdr:spPr>
        <a:xfrm>
          <a:off x="7868770" y="3969124"/>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10</xdr:col>
      <xdr:colOff>11207</xdr:colOff>
      <xdr:row>21</xdr:row>
      <xdr:rowOff>24437</xdr:rowOff>
    </xdr:from>
    <xdr:to>
      <xdr:col>48</xdr:col>
      <xdr:colOff>131694</xdr:colOff>
      <xdr:row>34</xdr:row>
      <xdr:rowOff>111217</xdr:rowOff>
    </xdr:to>
    <xdr:cxnSp macro="">
      <xdr:nvCxnSpPr>
        <xdr:cNvPr id="27" name="30 Conector recto de flecha">
          <a:extLst>
            <a:ext uri="{FF2B5EF4-FFF2-40B4-BE49-F238E27FC236}">
              <a16:creationId xmlns:a16="http://schemas.microsoft.com/office/drawing/2014/main" id="{00000000-0008-0000-0700-000006000000}"/>
            </a:ext>
          </a:extLst>
        </xdr:cNvPr>
        <xdr:cNvCxnSpPr>
          <a:stCxn id="26" idx="3"/>
        </xdr:cNvCxnSpPr>
      </xdr:nvCxnSpPr>
      <xdr:spPr>
        <a:xfrm flipH="1">
          <a:off x="1804148" y="4058555"/>
          <a:ext cx="6082017" cy="256328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145677</xdr:colOff>
      <xdr:row>30</xdr:row>
      <xdr:rowOff>190499</xdr:rowOff>
    </xdr:from>
    <xdr:to>
      <xdr:col>46</xdr:col>
      <xdr:colOff>33618</xdr:colOff>
      <xdr:row>45</xdr:row>
      <xdr:rowOff>15491</xdr:rowOff>
    </xdr:to>
    <xdr:pic>
      <xdr:nvPicPr>
        <xdr:cNvPr id="28" name="Imagen 27">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91853" y="5939117"/>
          <a:ext cx="3182471" cy="26824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36</xdr:col>
      <xdr:colOff>123265</xdr:colOff>
      <xdr:row>21</xdr:row>
      <xdr:rowOff>96155</xdr:rowOff>
    </xdr:from>
    <xdr:to>
      <xdr:col>49</xdr:col>
      <xdr:colOff>68941</xdr:colOff>
      <xdr:row>37</xdr:row>
      <xdr:rowOff>142809</xdr:rowOff>
    </xdr:to>
    <xdr:cxnSp macro="">
      <xdr:nvCxnSpPr>
        <xdr:cNvPr id="29" name="30 Conector recto de flecha">
          <a:extLst>
            <a:ext uri="{FF2B5EF4-FFF2-40B4-BE49-F238E27FC236}">
              <a16:creationId xmlns:a16="http://schemas.microsoft.com/office/drawing/2014/main" id="{00000000-0008-0000-0700-000006000000}"/>
            </a:ext>
          </a:extLst>
        </xdr:cNvPr>
        <xdr:cNvCxnSpPr>
          <a:stCxn id="25" idx="3"/>
        </xdr:cNvCxnSpPr>
      </xdr:nvCxnSpPr>
      <xdr:spPr>
        <a:xfrm flipH="1">
          <a:off x="5995147" y="4130273"/>
          <a:ext cx="1985147" cy="309465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48</xdr:col>
      <xdr:colOff>156881</xdr:colOff>
      <xdr:row>30</xdr:row>
      <xdr:rowOff>190499</xdr:rowOff>
    </xdr:from>
    <xdr:to>
      <xdr:col>69</xdr:col>
      <xdr:colOff>33617</xdr:colOff>
      <xdr:row>45</xdr:row>
      <xdr:rowOff>22411</xdr:rowOff>
    </xdr:to>
    <xdr:pic>
      <xdr:nvPicPr>
        <xdr:cNvPr id="30" name="Imagen 29">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11352" y="5939117"/>
          <a:ext cx="3171265" cy="26894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112592</xdr:colOff>
      <xdr:row>21</xdr:row>
      <xdr:rowOff>33402</xdr:rowOff>
    </xdr:from>
    <xdr:to>
      <xdr:col>62</xdr:col>
      <xdr:colOff>33618</xdr:colOff>
      <xdr:row>34</xdr:row>
      <xdr:rowOff>158712</xdr:rowOff>
    </xdr:to>
    <xdr:cxnSp macro="">
      <xdr:nvCxnSpPr>
        <xdr:cNvPr id="31" name="30 Conector recto de flecha">
          <a:extLst>
            <a:ext uri="{FF2B5EF4-FFF2-40B4-BE49-F238E27FC236}">
              <a16:creationId xmlns:a16="http://schemas.microsoft.com/office/drawing/2014/main" id="{00000000-0008-0000-0700-000006000000}"/>
            </a:ext>
          </a:extLst>
        </xdr:cNvPr>
        <xdr:cNvCxnSpPr>
          <a:stCxn id="22" idx="5"/>
        </xdr:cNvCxnSpPr>
      </xdr:nvCxnSpPr>
      <xdr:spPr>
        <a:xfrm>
          <a:off x="8180827" y="4067520"/>
          <a:ext cx="1803615" cy="260181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34290</xdr:colOff>
      <xdr:row>47</xdr:row>
      <xdr:rowOff>24765</xdr:rowOff>
    </xdr:from>
    <xdr:to>
      <xdr:col>37</xdr:col>
      <xdr:colOff>15240</xdr:colOff>
      <xdr:row>48</xdr:row>
      <xdr:rowOff>129540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424815" y="8978265"/>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1</xdr:col>
      <xdr:colOff>28575</xdr:colOff>
      <xdr:row>6</xdr:row>
      <xdr:rowOff>19050</xdr:rowOff>
    </xdr:from>
    <xdr:to>
      <xdr:col>36</xdr:col>
      <xdr:colOff>22861</xdr:colOff>
      <xdr:row>7</xdr:row>
      <xdr:rowOff>123825</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32435" y="1162050"/>
          <a:ext cx="55949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PLANO</a:t>
          </a:r>
        </a:p>
      </xdr:txBody>
    </xdr:sp>
    <xdr:clientData/>
  </xdr:twoCellAnchor>
  <xdr:twoCellAnchor>
    <xdr:from>
      <xdr:col>1</xdr:col>
      <xdr:colOff>38100</xdr:colOff>
      <xdr:row>26</xdr:row>
      <xdr:rowOff>34290</xdr:rowOff>
    </xdr:from>
    <xdr:to>
      <xdr:col>37</xdr:col>
      <xdr:colOff>19050</xdr:colOff>
      <xdr:row>27</xdr:row>
      <xdr:rowOff>139065</xdr:rowOff>
    </xdr:to>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428625" y="4987290"/>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CUADRO</a:t>
          </a:r>
          <a:r>
            <a:rPr lang="en-US" sz="1100" baseline="0"/>
            <a:t> DE SUPERFICIES</a:t>
          </a:r>
          <a:endParaRPr lang="en-US" sz="1100"/>
        </a:p>
      </xdr:txBody>
    </xdr:sp>
    <xdr:clientData/>
  </xdr:twoCellAnchor>
  <mc:AlternateContent xmlns:mc="http://schemas.openxmlformats.org/markup-compatibility/2006">
    <mc:Choice xmlns:a14="http://schemas.microsoft.com/office/drawing/2010/main" Requires="a14">
      <xdr:twoCellAnchor>
        <xdr:from>
          <xdr:col>91</xdr:col>
          <xdr:colOff>66675</xdr:colOff>
          <xdr:row>7</xdr:row>
          <xdr:rowOff>104775</xdr:rowOff>
        </xdr:from>
        <xdr:to>
          <xdr:col>101</xdr:col>
          <xdr:colOff>28575</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twoCellAnchor editAs="oneCell">
    <xdr:from>
      <xdr:col>4</xdr:col>
      <xdr:colOff>47625</xdr:colOff>
      <xdr:row>8</xdr:row>
      <xdr:rowOff>161925</xdr:rowOff>
    </xdr:from>
    <xdr:to>
      <xdr:col>33</xdr:col>
      <xdr:colOff>9525</xdr:colOff>
      <xdr:row>24</xdr:row>
      <xdr:rowOff>38100</xdr:rowOff>
    </xdr:to>
    <xdr:pic>
      <xdr:nvPicPr>
        <xdr:cNvPr id="9" name="Imagen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95350" y="1685925"/>
          <a:ext cx="4381500" cy="2924175"/>
        </a:xfrm>
        <a:prstGeom prst="rect">
          <a:avLst/>
        </a:prstGeom>
      </xdr:spPr>
    </xdr:pic>
    <xdr:clientData/>
  </xdr:twoCellAnchor>
  <xdr:twoCellAnchor editAs="oneCell">
    <xdr:from>
      <xdr:col>1</xdr:col>
      <xdr:colOff>85725</xdr:colOff>
      <xdr:row>49</xdr:row>
      <xdr:rowOff>85725</xdr:rowOff>
    </xdr:from>
    <xdr:to>
      <xdr:col>50</xdr:col>
      <xdr:colOff>57150</xdr:colOff>
      <xdr:row>63</xdr:row>
      <xdr:rowOff>0</xdr:rowOff>
    </xdr:to>
    <xdr:pic>
      <xdr:nvPicPr>
        <xdr:cNvPr id="2" name="Imagen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6250" y="9420225"/>
          <a:ext cx="7439025" cy="25812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19050</xdr:rowOff>
    </xdr:from>
    <xdr:to>
      <xdr:col>36</xdr:col>
      <xdr:colOff>9525</xdr:colOff>
      <xdr:row>7</xdr:row>
      <xdr:rowOff>123825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19100" y="1162050"/>
          <a:ext cx="53149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ROL - AVALUO</a:t>
          </a:r>
        </a:p>
      </xdr:txBody>
    </xdr:sp>
    <xdr:clientData/>
  </xdr:twoCellAnchor>
  <xdr:twoCellAnchor>
    <xdr:from>
      <xdr:col>36</xdr:col>
      <xdr:colOff>142875</xdr:colOff>
      <xdr:row>6</xdr:row>
      <xdr:rowOff>19050</xdr:rowOff>
    </xdr:from>
    <xdr:to>
      <xdr:col>71</xdr:col>
      <xdr:colOff>123825</xdr:colOff>
      <xdr:row>7</xdr:row>
      <xdr:rowOff>123825</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867400" y="1162050"/>
          <a:ext cx="53149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PERMISO</a:t>
          </a:r>
          <a:r>
            <a:rPr lang="en-US" sz="1100" baseline="0"/>
            <a:t> DE EDIFICACIÓN</a:t>
          </a:r>
          <a:endParaRPr lang="en-US" sz="1100"/>
        </a:p>
      </xdr:txBody>
    </xdr:sp>
    <xdr:clientData/>
  </xdr:twoCellAnchor>
  <xdr:twoCellAnchor>
    <xdr:from>
      <xdr:col>1</xdr:col>
      <xdr:colOff>30928</xdr:colOff>
      <xdr:row>22</xdr:row>
      <xdr:rowOff>105335</xdr:rowOff>
    </xdr:from>
    <xdr:to>
      <xdr:col>36</xdr:col>
      <xdr:colOff>11878</xdr:colOff>
      <xdr:row>24</xdr:row>
      <xdr:rowOff>19610</xdr:rowOff>
    </xdr:to>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423134" y="4296335"/>
          <a:ext cx="5471832"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RECEPCION FINAL</a:t>
          </a:r>
        </a:p>
      </xdr:txBody>
    </xdr:sp>
    <xdr:clientData/>
  </xdr:twoCellAnchor>
  <mc:AlternateContent xmlns:mc="http://schemas.openxmlformats.org/markup-compatibility/2006">
    <mc:Choice xmlns:a14="http://schemas.microsoft.com/office/drawing/2010/main" Requires="a14">
      <xdr:twoCellAnchor>
        <xdr:from>
          <xdr:col>90</xdr:col>
          <xdr:colOff>66675</xdr:colOff>
          <xdr:row>9</xdr:row>
          <xdr:rowOff>104775</xdr:rowOff>
        </xdr:from>
        <xdr:to>
          <xdr:col>100</xdr:col>
          <xdr:colOff>28575</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2</xdr:col>
      <xdr:colOff>34066</xdr:colOff>
      <xdr:row>65</xdr:row>
      <xdr:rowOff>60510</xdr:rowOff>
    </xdr:from>
    <xdr:to>
      <xdr:col>36</xdr:col>
      <xdr:colOff>87406</xdr:colOff>
      <xdr:row>66</xdr:row>
      <xdr:rowOff>165286</xdr:rowOff>
    </xdr:to>
    <xdr:sp macro="" textlink="">
      <xdr:nvSpPr>
        <xdr:cNvPr id="7" name="CuadroTexto 6">
          <a:extLst>
            <a:ext uri="{FF2B5EF4-FFF2-40B4-BE49-F238E27FC236}">
              <a16:creationId xmlns:a16="http://schemas.microsoft.com/office/drawing/2014/main" id="{00000000-0008-0000-0B00-000007000000}"/>
            </a:ext>
          </a:extLst>
        </xdr:cNvPr>
        <xdr:cNvSpPr txBox="1"/>
      </xdr:nvSpPr>
      <xdr:spPr>
        <a:xfrm>
          <a:off x="583154" y="12443010"/>
          <a:ext cx="5387340"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a:t>
          </a:r>
          <a:r>
            <a:rPr lang="en-US" sz="1100" baseline="0"/>
            <a:t> TESORERIA DE CONTRIBUCIONES</a:t>
          </a:r>
          <a:endParaRPr lang="en-US" sz="1100"/>
        </a:p>
      </xdr:txBody>
    </xdr:sp>
    <xdr:clientData/>
  </xdr:twoCellAnchor>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22412</xdr:colOff>
      <xdr:row>7</xdr:row>
      <xdr:rowOff>168088</xdr:rowOff>
    </xdr:from>
    <xdr:to>
      <xdr:col>35</xdr:col>
      <xdr:colOff>123265</xdr:colOff>
      <xdr:row>21</xdr:row>
      <xdr:rowOff>171736</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4618" y="1501588"/>
          <a:ext cx="5434853" cy="2670648"/>
        </a:xfrm>
        <a:prstGeom prst="rect">
          <a:avLst/>
        </a:prstGeom>
      </xdr:spPr>
    </xdr:pic>
    <xdr:clientData/>
  </xdr:twoCellAnchor>
  <xdr:twoCellAnchor editAs="oneCell">
    <xdr:from>
      <xdr:col>38</xdr:col>
      <xdr:colOff>33618</xdr:colOff>
      <xdr:row>8</xdr:row>
      <xdr:rowOff>11205</xdr:rowOff>
    </xdr:from>
    <xdr:to>
      <xdr:col>70</xdr:col>
      <xdr:colOff>2243</xdr:colOff>
      <xdr:row>34</xdr:row>
      <xdr:rowOff>0</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230471" y="1535205"/>
          <a:ext cx="4988860" cy="4941795"/>
        </a:xfrm>
        <a:prstGeom prst="rect">
          <a:avLst/>
        </a:prstGeom>
      </xdr:spPr>
    </xdr:pic>
    <xdr:clientData/>
  </xdr:twoCellAnchor>
  <xdr:twoCellAnchor editAs="oneCell">
    <xdr:from>
      <xdr:col>1</xdr:col>
      <xdr:colOff>100854</xdr:colOff>
      <xdr:row>24</xdr:row>
      <xdr:rowOff>134471</xdr:rowOff>
    </xdr:from>
    <xdr:to>
      <xdr:col>37</xdr:col>
      <xdr:colOff>0</xdr:colOff>
      <xdr:row>64</xdr:row>
      <xdr:rowOff>153521</xdr:rowOff>
    </xdr:to>
    <xdr:pic>
      <xdr:nvPicPr>
        <xdr:cNvPr id="8" name="Imagen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3060" y="4706471"/>
          <a:ext cx="5546911" cy="7639050"/>
        </a:xfrm>
        <a:prstGeom prst="rect">
          <a:avLst/>
        </a:prstGeom>
      </xdr:spPr>
    </xdr:pic>
    <xdr:clientData/>
  </xdr:twoCellAnchor>
  <xdr:twoCellAnchor editAs="oneCell">
    <xdr:from>
      <xdr:col>1</xdr:col>
      <xdr:colOff>134471</xdr:colOff>
      <xdr:row>67</xdr:row>
      <xdr:rowOff>145678</xdr:rowOff>
    </xdr:from>
    <xdr:to>
      <xdr:col>38</xdr:col>
      <xdr:colOff>145676</xdr:colOff>
      <xdr:row>81</xdr:row>
      <xdr:rowOff>18106</xdr:rowOff>
    </xdr:to>
    <xdr:pic>
      <xdr:nvPicPr>
        <xdr:cNvPr id="11" name="Imagen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26677" y="12909178"/>
          <a:ext cx="5815852" cy="2539428"/>
        </a:xfrm>
        <a:prstGeom prst="rect">
          <a:avLst/>
        </a:prstGeom>
      </xdr:spPr>
    </xdr:pic>
    <xdr:clientData/>
  </xdr:twoCellAnchor>
  <xdr:twoCellAnchor editAs="oneCell">
    <xdr:from>
      <xdr:col>70</xdr:col>
      <xdr:colOff>100853</xdr:colOff>
      <xdr:row>31</xdr:row>
      <xdr:rowOff>145677</xdr:rowOff>
    </xdr:from>
    <xdr:to>
      <xdr:col>106</xdr:col>
      <xdr:colOff>101413</xdr:colOff>
      <xdr:row>73</xdr:row>
      <xdr:rowOff>174252</xdr:rowOff>
    </xdr:to>
    <xdr:pic>
      <xdr:nvPicPr>
        <xdr:cNvPr id="13" name="Imagen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317941" y="6051177"/>
          <a:ext cx="5648325" cy="8029575"/>
        </a:xfrm>
        <a:prstGeom prst="rect">
          <a:avLst/>
        </a:prstGeom>
      </xdr:spPr>
    </xdr:pic>
    <xdr:clientData/>
  </xdr:twoCellAnchor>
  <xdr:twoCellAnchor editAs="oneCell">
    <xdr:from>
      <xdr:col>51</xdr:col>
      <xdr:colOff>105176</xdr:colOff>
      <xdr:row>32</xdr:row>
      <xdr:rowOff>49148</xdr:rowOff>
    </xdr:from>
    <xdr:to>
      <xdr:col>88</xdr:col>
      <xdr:colOff>15529</xdr:colOff>
      <xdr:row>72</xdr:row>
      <xdr:rowOff>144398</xdr:rowOff>
    </xdr:to>
    <xdr:pic>
      <xdr:nvPicPr>
        <xdr:cNvPr id="14" name="Imagen 13">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341500" y="6145148"/>
          <a:ext cx="5715000" cy="77152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portalinmobiliario.com/MLC-1890330519-departamento-coronel-souper-id-31427-_JM" TargetMode="External"/><Relationship Id="rId7" Type="http://schemas.openxmlformats.org/officeDocument/2006/relationships/ctrlProp" Target="../ctrlProps/ctrlProp1.xml"/><Relationship Id="rId2" Type="http://schemas.openxmlformats.org/officeDocument/2006/relationships/hyperlink" Target="https://www.portalinmobiliario.com/MLC-1925645209-2d-1b-estacionamiento-_JM" TargetMode="External"/><Relationship Id="rId1" Type="http://schemas.openxmlformats.org/officeDocument/2006/relationships/hyperlink" Target="https://www.portalinmobiliario.com/MLC-1936892091-se-vende-departamento-coronel-souper-4060-_JM"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3" Type="http://schemas.openxmlformats.org/officeDocument/2006/relationships/vmlDrawing" Target="../drawings/vmlDrawing3.v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41" Type="http://schemas.openxmlformats.org/officeDocument/2006/relationships/ctrlProp" Target="../ctrlProps/ctrlProp40.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39997558519241921"/>
    <pageSetUpPr fitToPage="1"/>
  </sheetPr>
  <dimension ref="A1:AML376"/>
  <sheetViews>
    <sheetView showGridLines="0" zoomScale="115" zoomScaleNormal="115" workbookViewId="0">
      <selection activeCell="M33" sqref="M33"/>
    </sheetView>
  </sheetViews>
  <sheetFormatPr baseColWidth="10" defaultColWidth="9.140625" defaultRowHeight="12.75" zeroHeight="1" x14ac:dyDescent="0.2"/>
  <cols>
    <col min="1" max="1" width="3" style="1" customWidth="1"/>
    <col min="2" max="2" width="4" style="1" customWidth="1"/>
    <col min="3" max="3" width="9.140625" style="1" customWidth="1"/>
    <col min="4" max="4" width="16" style="2" bestFit="1" customWidth="1"/>
    <col min="5" max="9" width="9.140625" style="2" customWidth="1"/>
    <col min="10" max="10" width="16.28515625" style="1" customWidth="1"/>
    <col min="11" max="11" width="11.7109375" style="1" customWidth="1"/>
    <col min="12" max="15" width="9.140625" style="1" customWidth="1"/>
    <col min="16" max="21" width="9.140625" style="1" hidden="1" customWidth="1"/>
    <col min="22" max="22" width="23.28515625" style="3" hidden="1" customWidth="1"/>
    <col min="23" max="23" width="18.5703125" style="31" hidden="1" customWidth="1"/>
    <col min="24" max="24" width="9.140625" style="1" hidden="1" customWidth="1"/>
    <col min="25" max="25" width="15.140625" style="1" hidden="1" customWidth="1"/>
    <col min="26" max="26" width="24.7109375" style="1" hidden="1" customWidth="1"/>
    <col min="27" max="27" width="16.140625" style="1" hidden="1" customWidth="1"/>
    <col min="28" max="28" width="20" style="1" hidden="1" customWidth="1"/>
    <col min="29" max="29" width="34.85546875" style="1" hidden="1" customWidth="1"/>
    <col min="30" max="30" width="14.85546875" style="1" hidden="1" customWidth="1"/>
    <col min="31" max="32" width="9.140625" style="1" hidden="1" customWidth="1"/>
    <col min="33" max="33" width="6.7109375" style="1" hidden="1" customWidth="1"/>
    <col min="34" max="34" width="11" style="1" hidden="1" customWidth="1"/>
    <col min="35" max="75" width="9.140625" style="1" customWidth="1"/>
    <col min="76" max="200" width="9.140625" style="4" customWidth="1"/>
    <col min="201" max="1026" width="9.140625" style="1" customWidth="1"/>
  </cols>
  <sheetData>
    <row r="1" spans="1:1025" ht="5.25" customHeight="1" x14ac:dyDescent="0.2">
      <c r="A1"/>
      <c r="B1"/>
      <c r="C1"/>
      <c r="D1"/>
      <c r="E1"/>
      <c r="F1"/>
      <c r="G1"/>
      <c r="H1"/>
      <c r="I1"/>
      <c r="J1"/>
      <c r="K1"/>
      <c r="L1"/>
      <c r="M1"/>
      <c r="N1"/>
      <c r="O1"/>
      <c r="P1"/>
      <c r="Q1"/>
      <c r="R1"/>
      <c r="S1"/>
      <c r="T1"/>
      <c r="U1"/>
      <c r="V1"/>
      <c r="W1" s="288"/>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25">
      <c r="A2"/>
      <c r="B2"/>
      <c r="C2"/>
      <c r="D2"/>
      <c r="E2"/>
      <c r="F2"/>
      <c r="G2"/>
      <c r="H2"/>
      <c r="I2"/>
      <c r="J2"/>
      <c r="K2"/>
      <c r="L2"/>
      <c r="M2"/>
      <c r="N2"/>
      <c r="O2"/>
      <c r="P2"/>
      <c r="Q2"/>
      <c r="R2"/>
      <c r="S2"/>
      <c r="T2"/>
      <c r="U2"/>
      <c r="V2"/>
      <c r="W2" s="288"/>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
      <c r="A3"/>
      <c r="B3" s="5"/>
      <c r="C3" s="6"/>
      <c r="D3" s="7"/>
      <c r="E3" s="7"/>
      <c r="F3" s="7"/>
      <c r="G3" s="7"/>
      <c r="H3" s="7"/>
      <c r="I3" s="7"/>
      <c r="J3" s="6"/>
      <c r="K3" s="6"/>
      <c r="L3" s="6"/>
      <c r="M3" s="6"/>
      <c r="N3" s="6"/>
      <c r="O3" s="6"/>
      <c r="P3" s="8"/>
      <c r="Q3"/>
      <c r="R3"/>
      <c r="S3"/>
      <c r="T3"/>
      <c r="U3"/>
      <c r="V3"/>
      <c r="W3" s="288"/>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25">
      <c r="A4"/>
      <c r="B4" s="9"/>
      <c r="P4" s="10"/>
      <c r="Q4"/>
      <c r="R4"/>
      <c r="S4"/>
      <c r="T4"/>
      <c r="U4"/>
      <c r="V4"/>
      <c r="W4" s="288"/>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25">
      <c r="A5"/>
      <c r="B5" s="9"/>
      <c r="C5" s="1101" t="s">
        <v>0</v>
      </c>
      <c r="D5" s="1101"/>
      <c r="E5" s="1101"/>
      <c r="F5" s="1101"/>
      <c r="G5" s="1101"/>
      <c r="H5" s="1101"/>
      <c r="I5" s="885" t="s">
        <v>1865</v>
      </c>
      <c r="J5" s="885"/>
      <c r="K5" s="1101"/>
      <c r="L5" s="1101"/>
      <c r="M5" s="1101"/>
      <c r="N5" s="1101"/>
      <c r="O5" s="1101"/>
      <c r="P5" s="11"/>
      <c r="Q5"/>
      <c r="R5" s="12">
        <v>11434</v>
      </c>
      <c r="S5" s="13" t="s">
        <v>1</v>
      </c>
      <c r="T5"/>
      <c r="U5"/>
      <c r="V5"/>
      <c r="W5" s="288"/>
      <c r="X5"/>
      <c r="Y5"/>
      <c r="Z5"/>
      <c r="AA5"/>
      <c r="AB5"/>
      <c r="AC5"/>
      <c r="AD5"/>
      <c r="AE5"/>
      <c r="AF5"/>
      <c r="AG5"/>
      <c r="AH5"/>
      <c r="AI5"/>
      <c r="AJ5"/>
      <c r="AK5" s="1027" t="s">
        <v>2712</v>
      </c>
      <c r="AL5" s="1028"/>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25">
      <c r="A6"/>
      <c r="B6" s="9"/>
      <c r="D6" s="1"/>
      <c r="E6" s="1"/>
      <c r="F6" s="1"/>
      <c r="G6" s="1"/>
      <c r="H6" s="1"/>
      <c r="I6" s="594"/>
      <c r="J6" s="594"/>
      <c r="P6" s="10"/>
      <c r="Q6"/>
      <c r="R6"/>
      <c r="S6" s="13" t="s">
        <v>2</v>
      </c>
      <c r="T6"/>
      <c r="U6"/>
      <c r="V6"/>
      <c r="W6" s="288"/>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9.9499999999999993" customHeight="1" thickTop="1" thickBot="1" x14ac:dyDescent="0.25">
      <c r="A7"/>
      <c r="B7" s="9"/>
      <c r="C7" s="14"/>
      <c r="D7" s="15"/>
      <c r="E7" s="15"/>
      <c r="F7" s="15"/>
      <c r="G7" s="15"/>
      <c r="H7" s="15"/>
      <c r="I7" s="15"/>
      <c r="J7" s="15"/>
      <c r="K7" s="15"/>
      <c r="L7" s="15"/>
      <c r="M7" s="15"/>
      <c r="N7" s="15"/>
      <c r="O7" s="16"/>
      <c r="P7" s="10"/>
      <c r="Q7"/>
      <c r="R7"/>
      <c r="S7" s="13" t="s">
        <v>3</v>
      </c>
      <c r="T7"/>
      <c r="U7"/>
      <c r="V7" s="1" t="s">
        <v>1386</v>
      </c>
      <c r="W7" s="31" t="s">
        <v>1829</v>
      </c>
      <c r="X7" s="2" t="s">
        <v>1394</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25">
      <c r="A8"/>
      <c r="B8" s="9"/>
      <c r="C8" s="17"/>
      <c r="D8" s="1102" t="s">
        <v>4</v>
      </c>
      <c r="E8"/>
      <c r="F8" s="1104" t="str">
        <f>CONCATENATE(VLOOKUP(K9,W25:X63,2)," -")</f>
        <v>AGH -</v>
      </c>
      <c r="G8" s="1104"/>
      <c r="H8" s="1105">
        <v>1548</v>
      </c>
      <c r="I8" s="1"/>
      <c r="J8" s="18" t="s">
        <v>5</v>
      </c>
      <c r="K8" s="1103" t="s">
        <v>2578</v>
      </c>
      <c r="L8" s="1103"/>
      <c r="M8" s="1103"/>
      <c r="N8" s="1103"/>
      <c r="O8" s="19"/>
      <c r="P8" s="20"/>
      <c r="Q8"/>
      <c r="R8"/>
      <c r="S8" s="13" t="s">
        <v>7</v>
      </c>
      <c r="T8"/>
      <c r="U8"/>
      <c r="V8" s="3" t="s">
        <v>1390</v>
      </c>
      <c r="W8" s="31">
        <v>2</v>
      </c>
      <c r="X8" s="2" t="s">
        <v>1395</v>
      </c>
      <c r="Y8" t="str">
        <f>+V26</f>
        <v>MetLife</v>
      </c>
      <c r="Z8">
        <f>VLOOKUP(Y8,V25:W49,2)</f>
        <v>24</v>
      </c>
      <c r="AA8"/>
      <c r="AB8"/>
      <c r="AC8"/>
      <c r="AD8"/>
      <c r="AE8"/>
      <c r="AF8"/>
      <c r="AG8"/>
      <c r="AH8"/>
      <c r="AI8" s="1054" t="str">
        <f>IF(OR(K8="Unidad Leasing Habitacional",K8="Concreces",K8="ICGE Gestión Empresa",K8="Agencia Habitacional",K8="Credihome",K8="Másleasing",K8="TESSI"),"Imprimir con hoja portada ULH?","")</f>
        <v>Imprimir con hoja portada ULH?</v>
      </c>
      <c r="AJ8" s="1054"/>
      <c r="AK8" s="1054"/>
      <c r="AL8" s="981" t="s">
        <v>1190</v>
      </c>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25" x14ac:dyDescent="0.2">
      <c r="A9"/>
      <c r="B9" s="9"/>
      <c r="C9" s="17"/>
      <c r="D9" s="1102"/>
      <c r="E9" s="21"/>
      <c r="F9" s="1104"/>
      <c r="G9" s="1104"/>
      <c r="H9" s="1105"/>
      <c r="I9" s="22"/>
      <c r="J9" s="23" t="s">
        <v>8</v>
      </c>
      <c r="K9" s="1055">
        <f>VLOOKUP(K8,V25:W63,2,0)</f>
        <v>7</v>
      </c>
      <c r="L9" s="1055"/>
      <c r="M9" s="1055"/>
      <c r="N9" s="1055"/>
      <c r="O9" s="24"/>
      <c r="P9" s="10"/>
      <c r="Q9"/>
      <c r="R9"/>
      <c r="S9" s="13" t="s">
        <v>9</v>
      </c>
      <c r="T9"/>
      <c r="U9"/>
      <c r="V9" s="3" t="s">
        <v>1391</v>
      </c>
      <c r="W9" s="31">
        <v>3</v>
      </c>
      <c r="X9" s="2" t="s">
        <v>1401</v>
      </c>
      <c r="Y9"/>
      <c r="Z9"/>
      <c r="AA9"/>
      <c r="AB9"/>
      <c r="AC9"/>
      <c r="AD9" s="1031">
        <f ca="1">+YEAR(TODAY())</f>
        <v>2026</v>
      </c>
      <c r="AE9">
        <f>+YEAR(K10)</f>
        <v>2026</v>
      </c>
      <c r="AF9"/>
      <c r="AG9"/>
      <c r="AH9"/>
      <c r="AI9" s="1020" t="s">
        <v>2653</v>
      </c>
      <c r="AJ9" s="1032" t="str">
        <f ca="1">+IF(AD9=AE9,"OK","ERROR")</f>
        <v>OK</v>
      </c>
      <c r="AK9" s="1031"/>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
      <c r="A10"/>
      <c r="B10" s="9"/>
      <c r="C10" s="17"/>
      <c r="D10" s="25" t="s">
        <v>10</v>
      </c>
      <c r="E10" s="25"/>
      <c r="F10" s="1055" t="s">
        <v>1830</v>
      </c>
      <c r="G10" s="1055"/>
      <c r="H10" s="1055"/>
      <c r="I10" s="22"/>
      <c r="J10" s="26" t="s">
        <v>1519</v>
      </c>
      <c r="K10" s="995">
        <v>46154</v>
      </c>
      <c r="L10" s="27"/>
      <c r="M10" s="28" t="s">
        <v>11</v>
      </c>
      <c r="N10" s="29">
        <v>0.375</v>
      </c>
      <c r="O10" s="24"/>
      <c r="P10" s="10"/>
      <c r="Q10"/>
      <c r="R10" s="30"/>
      <c r="S10" s="13" t="s">
        <v>12</v>
      </c>
      <c r="T10"/>
      <c r="U10"/>
      <c r="V10" s="3" t="s">
        <v>1389</v>
      </c>
      <c r="W10" s="31">
        <v>4</v>
      </c>
      <c r="X10" s="2" t="s">
        <v>1396</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3.5" thickBot="1" x14ac:dyDescent="0.25">
      <c r="A11"/>
      <c r="B11" s="9"/>
      <c r="C11" s="17"/>
      <c r="D11" s="2" t="s">
        <v>13</v>
      </c>
      <c r="F11" s="1106"/>
      <c r="G11" s="1106"/>
      <c r="H11" s="1106"/>
      <c r="I11" s="22"/>
      <c r="J11" s="26" t="s">
        <v>14</v>
      </c>
      <c r="K11" s="996">
        <f>WORKDAY(K10,2)</f>
        <v>46156</v>
      </c>
      <c r="L11" s="27"/>
      <c r="M11" s="32" t="s">
        <v>11</v>
      </c>
      <c r="N11" s="33">
        <v>0.375</v>
      </c>
      <c r="O11" s="24"/>
      <c r="P11" s="10"/>
      <c r="Q11"/>
      <c r="R11"/>
      <c r="S11" s="13" t="s">
        <v>15</v>
      </c>
      <c r="T11" s="34">
        <v>4</v>
      </c>
      <c r="U11"/>
      <c r="V11" s="3" t="s">
        <v>1383</v>
      </c>
      <c r="W11" s="31">
        <v>5</v>
      </c>
      <c r="X11" s="2" t="s">
        <v>1397</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4.25" thickTop="1" thickBot="1" x14ac:dyDescent="0.25">
      <c r="A12"/>
      <c r="B12" s="9"/>
      <c r="C12" s="35"/>
      <c r="D12" s="36" t="s">
        <v>1866</v>
      </c>
      <c r="E12" s="36"/>
      <c r="F12" s="1055" t="s">
        <v>1515</v>
      </c>
      <c r="G12" s="1055"/>
      <c r="H12" s="1055"/>
      <c r="I12" s="37"/>
      <c r="J12" s="36" t="s">
        <v>1803</v>
      </c>
      <c r="K12" s="995">
        <v>46150</v>
      </c>
      <c r="L12" s="38"/>
      <c r="M12" s="38"/>
      <c r="N12" s="38"/>
      <c r="O12" s="39"/>
      <c r="P12" s="10"/>
      <c r="Q12"/>
      <c r="R12"/>
      <c r="S12" s="13" t="s">
        <v>16</v>
      </c>
      <c r="T12"/>
      <c r="U12"/>
      <c r="V12" s="3" t="s">
        <v>1385</v>
      </c>
      <c r="W12" s="31">
        <v>6</v>
      </c>
      <c r="X12" s="2" t="s">
        <v>1404</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4.25" thickTop="1" thickBot="1" x14ac:dyDescent="0.25">
      <c r="A13"/>
      <c r="B13" s="9"/>
      <c r="D13" s="40"/>
      <c r="E13" s="40"/>
      <c r="F13" s="40"/>
      <c r="G13" s="40"/>
      <c r="H13" s="40"/>
      <c r="I13" s="22"/>
      <c r="J13" s="954" t="s">
        <v>1813</v>
      </c>
      <c r="K13" s="997"/>
      <c r="P13" s="10"/>
      <c r="Q13"/>
      <c r="R13"/>
      <c r="S13" s="13" t="s">
        <v>17</v>
      </c>
      <c r="T13"/>
      <c r="U13"/>
      <c r="V13" s="3" t="s">
        <v>1392</v>
      </c>
      <c r="W13" s="31">
        <v>7</v>
      </c>
      <c r="X13" s="2" t="s">
        <v>1405</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3.5" thickTop="1" x14ac:dyDescent="0.2">
      <c r="A14"/>
      <c r="B14" s="9"/>
      <c r="C14" s="14"/>
      <c r="D14" s="953"/>
      <c r="E14" s="953"/>
      <c r="F14" s="953"/>
      <c r="G14" s="953"/>
      <c r="H14" s="953"/>
      <c r="I14" s="953"/>
      <c r="J14" s="955" t="str">
        <f>IF(ClienteN=14,"Nº TASACION"," ")</f>
        <v xml:space="preserve"> </v>
      </c>
      <c r="K14" s="997"/>
      <c r="L14" s="15"/>
      <c r="M14" s="15"/>
      <c r="N14" s="15"/>
      <c r="O14" s="16"/>
      <c r="P14" s="10"/>
      <c r="Q14"/>
      <c r="R14"/>
      <c r="S14" s="13" t="s">
        <v>18</v>
      </c>
      <c r="T14"/>
      <c r="U14"/>
      <c r="V14" s="3" t="s">
        <v>1388</v>
      </c>
      <c r="W14" s="31">
        <v>8</v>
      </c>
      <c r="X14" s="2" t="s">
        <v>1402</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
      <c r="A15"/>
      <c r="B15" s="9"/>
      <c r="C15" s="17"/>
      <c r="D15" s="1082" t="s">
        <v>19</v>
      </c>
      <c r="E15" s="1082"/>
      <c r="F15" s="1082"/>
      <c r="G15" s="1082"/>
      <c r="H15" s="1082"/>
      <c r="I15" s="1082"/>
      <c r="J15" s="1082"/>
      <c r="O15" s="24"/>
      <c r="P15" s="10"/>
      <c r="Q15"/>
      <c r="R15"/>
      <c r="S15" s="13" t="s">
        <v>20</v>
      </c>
      <c r="T15"/>
      <c r="U15"/>
      <c r="V15" s="3" t="s">
        <v>1384</v>
      </c>
      <c r="W15" s="31">
        <v>9</v>
      </c>
      <c r="X15" s="2" t="s">
        <v>1398</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
      <c r="A16"/>
      <c r="B16" s="9"/>
      <c r="C16" s="17"/>
      <c r="D16" s="25"/>
      <c r="E16" s="25"/>
      <c r="F16" s="1067" t="s">
        <v>2715</v>
      </c>
      <c r="G16" s="1067"/>
      <c r="H16" s="1067"/>
      <c r="I16" s="25"/>
      <c r="J16" s="25"/>
      <c r="O16" s="24"/>
      <c r="P16" s="10"/>
      <c r="Q16"/>
      <c r="R16"/>
      <c r="S16" s="1" t="s">
        <v>21</v>
      </c>
      <c r="T16"/>
      <c r="U16"/>
      <c r="V16" s="544" t="s">
        <v>1408</v>
      </c>
      <c r="W16" s="31">
        <v>10</v>
      </c>
      <c r="X16" s="2" t="s">
        <v>1399</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
      <c r="A17"/>
      <c r="B17" s="9"/>
      <c r="C17" s="17"/>
      <c r="D17" s="41" t="s">
        <v>2710</v>
      </c>
      <c r="E17" s="42"/>
      <c r="F17" s="1067"/>
      <c r="G17" s="1067"/>
      <c r="H17" s="1067"/>
      <c r="J17" s="26" t="s">
        <v>22</v>
      </c>
      <c r="K17" s="1070" t="s">
        <v>2714</v>
      </c>
      <c r="L17" s="1070"/>
      <c r="M17" s="1070"/>
      <c r="N17" s="1070"/>
      <c r="O17" s="24"/>
      <c r="P17" s="10"/>
      <c r="Q17"/>
      <c r="R17"/>
      <c r="S17" s="1" t="s">
        <v>23</v>
      </c>
      <c r="T17"/>
      <c r="U17"/>
      <c r="V17"/>
      <c r="W17" s="288"/>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2">
      <c r="A18"/>
      <c r="B18" s="9"/>
      <c r="C18" s="17"/>
      <c r="D18" s="41" t="s">
        <v>1516</v>
      </c>
      <c r="E18" s="44"/>
      <c r="F18" s="1055"/>
      <c r="G18" s="1055"/>
      <c r="H18" s="1055"/>
      <c r="I18" s="25"/>
      <c r="J18" s="43" t="s">
        <v>24</v>
      </c>
      <c r="K18" s="1083" t="s">
        <v>2713</v>
      </c>
      <c r="L18" s="1083"/>
      <c r="M18" s="1083"/>
      <c r="N18" s="1083"/>
      <c r="O18" s="24" t="str">
        <f>IF(K18&lt;&gt;0,IF(EXACT(moduloOnce(K18),UPPER(RIGHT(K18,1))),"APROBADO","ERROR"),"")</f>
        <v>APROBADO</v>
      </c>
      <c r="P18" s="10"/>
      <c r="Q18"/>
      <c r="R18"/>
      <c r="S18" s="1" t="s">
        <v>25</v>
      </c>
      <c r="T18"/>
      <c r="U18"/>
      <c r="V18"/>
      <c r="W18" s="288"/>
      <c r="X18"/>
      <c r="Y18"/>
      <c r="Z18"/>
      <c r="AA18"/>
      <c r="AB18"/>
      <c r="AC18"/>
      <c r="AD18"/>
      <c r="AE18"/>
      <c r="AF18"/>
      <c r="AG18"/>
      <c r="AH18"/>
      <c r="AI18"/>
      <c r="AJ18" s="952" t="s">
        <v>1910</v>
      </c>
      <c r="AK18" s="918"/>
      <c r="AL18" s="9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9.9499999999999993" customHeight="1" x14ac:dyDescent="0.2">
      <c r="A19"/>
      <c r="B19" s="9"/>
      <c r="C19" s="17"/>
      <c r="D19" s="25"/>
      <c r="E19" s="25"/>
      <c r="F19" s="40"/>
      <c r="G19" s="40"/>
      <c r="H19" s="40"/>
      <c r="I19" s="25"/>
      <c r="K19" s="22"/>
      <c r="L19" s="22"/>
      <c r="M19" s="22"/>
      <c r="N19" s="22"/>
      <c r="O19" s="24"/>
      <c r="P19" s="10"/>
      <c r="Q19"/>
      <c r="R19" s="45"/>
      <c r="S19" s="1" t="s">
        <v>26</v>
      </c>
      <c r="T19"/>
      <c r="U19"/>
      <c r="V19"/>
      <c r="W19" s="288"/>
      <c r="X19"/>
      <c r="Y19"/>
      <c r="Z19"/>
      <c r="AA19"/>
      <c r="AB19"/>
      <c r="AC19"/>
      <c r="AD19"/>
      <c r="AE19"/>
      <c r="AF19"/>
      <c r="AG19"/>
      <c r="AH19"/>
      <c r="AI19"/>
      <c r="AJ19" s="952" t="s">
        <v>1911</v>
      </c>
      <c r="AK19" s="918"/>
      <c r="AL19" s="918"/>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
      <c r="A20"/>
      <c r="B20" s="9"/>
      <c r="C20" s="17"/>
      <c r="D20" s="25" t="s">
        <v>27</v>
      </c>
      <c r="E20" s="1095" t="s">
        <v>2716</v>
      </c>
      <c r="F20" s="1095"/>
      <c r="G20" s="1095"/>
      <c r="H20" s="1095"/>
      <c r="I20" s="1"/>
      <c r="J20" s="25" t="s">
        <v>28</v>
      </c>
      <c r="K20" s="1070" t="s">
        <v>2751</v>
      </c>
      <c r="L20" s="1070"/>
      <c r="M20" s="1070"/>
      <c r="N20" s="1070"/>
      <c r="O20" s="24"/>
      <c r="P20" s="10"/>
      <c r="Q20"/>
      <c r="R20"/>
      <c r="S20" s="1" t="s">
        <v>29</v>
      </c>
      <c r="T20"/>
      <c r="U20"/>
      <c r="V20"/>
      <c r="W20" s="288"/>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
      <c r="A21"/>
      <c r="B21" s="9"/>
      <c r="C21" s="17"/>
      <c r="D21" s="23" t="s">
        <v>30</v>
      </c>
      <c r="E21" s="1096">
        <f>+K10</f>
        <v>46154</v>
      </c>
      <c r="F21" s="1097"/>
      <c r="G21" s="1097"/>
      <c r="H21" s="1097"/>
      <c r="I21" s="40"/>
      <c r="J21" s="23" t="s">
        <v>31</v>
      </c>
      <c r="K21" s="1070" t="s">
        <v>2756</v>
      </c>
      <c r="L21" s="1070"/>
      <c r="M21" s="1070"/>
      <c r="N21" s="1070"/>
      <c r="O21" s="24"/>
      <c r="P21" s="10"/>
      <c r="Q21"/>
      <c r="R21"/>
      <c r="S21"/>
      <c r="T21"/>
      <c r="U21"/>
      <c r="W21" s="288"/>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
      <c r="A22"/>
      <c r="B22" s="9"/>
      <c r="C22" s="17"/>
      <c r="J22" s="42" t="s">
        <v>32</v>
      </c>
      <c r="K22" s="1083" t="s">
        <v>2752</v>
      </c>
      <c r="L22" s="1083"/>
      <c r="M22" s="1083"/>
      <c r="N22" s="1083"/>
      <c r="O22" s="24" t="str">
        <f>IF(K22&lt;&gt;0,IF(EXACT(moduloOnce(K22),UPPER(RIGHT(K22,1))),"APROBADO","ERROR"),"")</f>
        <v>APROBADO</v>
      </c>
      <c r="P22" s="10"/>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
      <c r="A23"/>
      <c r="B23" s="9"/>
      <c r="C23" s="17"/>
      <c r="D23" s="1098" t="s">
        <v>33</v>
      </c>
      <c r="E23" s="1098"/>
      <c r="F23" s="1098"/>
      <c r="G23" s="1098"/>
      <c r="H23" s="1098"/>
      <c r="I23" s="1098"/>
      <c r="J23" s="1098"/>
      <c r="K23" s="1098"/>
      <c r="L23" s="1098"/>
      <c r="M23" s="1098"/>
      <c r="N23" s="1098"/>
      <c r="O23" s="47"/>
      <c r="P23" s="10"/>
      <c r="Q23"/>
      <c r="R23"/>
      <c r="S23"/>
      <c r="T23"/>
      <c r="U23"/>
      <c r="V23"/>
      <c r="W23" s="288"/>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2">
      <c r="A24"/>
      <c r="B24" s="9"/>
      <c r="C24" s="17"/>
      <c r="D24" s="1086" t="s">
        <v>2725</v>
      </c>
      <c r="E24" s="1087"/>
      <c r="F24" s="1087"/>
      <c r="G24" s="1087"/>
      <c r="H24" s="1087"/>
      <c r="I24" s="1087"/>
      <c r="J24" s="1087"/>
      <c r="K24" s="1087"/>
      <c r="L24" s="1087"/>
      <c r="M24" s="1087"/>
      <c r="N24" s="1088"/>
      <c r="O24" s="47"/>
      <c r="P24" s="10"/>
      <c r="Q24"/>
      <c r="R24"/>
      <c r="S24"/>
      <c r="T24"/>
      <c r="U24" s="13" t="s">
        <v>89</v>
      </c>
      <c r="V24" s="3" t="s">
        <v>34</v>
      </c>
      <c r="W24" s="31" t="s">
        <v>35</v>
      </c>
      <c r="X24" s="1" t="s">
        <v>1218</v>
      </c>
      <c r="Y24" s="1" t="s">
        <v>36</v>
      </c>
      <c r="Z24"/>
      <c r="AA24" s="1" t="s">
        <v>37</v>
      </c>
      <c r="AB24" s="1" t="s">
        <v>38</v>
      </c>
      <c r="AC24" s="1" t="s">
        <v>39</v>
      </c>
      <c r="AD24" s="1" t="s">
        <v>40</v>
      </c>
      <c r="AE24" s="1" t="s">
        <v>41</v>
      </c>
      <c r="AF24"/>
      <c r="AG24"/>
      <c r="AH24"/>
      <c r="AI24"/>
      <c r="AJ24" s="952" t="s">
        <v>1927</v>
      </c>
      <c r="AK24" s="918"/>
      <c r="AL24" s="918"/>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2">
      <c r="A25"/>
      <c r="B25" s="9"/>
      <c r="C25" s="17"/>
      <c r="D25" s="1089"/>
      <c r="E25" s="1090"/>
      <c r="F25" s="1090"/>
      <c r="G25" s="1090"/>
      <c r="H25" s="1090"/>
      <c r="I25" s="1090"/>
      <c r="J25" s="1090"/>
      <c r="K25" s="1090"/>
      <c r="L25" s="1090"/>
      <c r="M25" s="1090"/>
      <c r="N25" s="1091"/>
      <c r="O25" s="24"/>
      <c r="P25" s="10"/>
      <c r="Q25"/>
      <c r="R25"/>
      <c r="S25"/>
      <c r="T25" s="1" t="s">
        <v>42</v>
      </c>
      <c r="U25" s="48" t="s">
        <v>6</v>
      </c>
      <c r="V25" s="544" t="s">
        <v>2632</v>
      </c>
      <c r="W25" s="31">
        <v>1</v>
      </c>
      <c r="X25" s="2" t="s">
        <v>2603</v>
      </c>
      <c r="Y25" s="1" t="s">
        <v>1514</v>
      </c>
      <c r="Z25" t="s">
        <v>1373</v>
      </c>
      <c r="AA25" s="1" t="s">
        <v>43</v>
      </c>
      <c r="AB25" s="49" t="s">
        <v>383</v>
      </c>
      <c r="AC25" s="49" t="s">
        <v>381</v>
      </c>
      <c r="AD25" s="50" t="s">
        <v>46</v>
      </c>
      <c r="AE25" s="1" t="s">
        <v>1375</v>
      </c>
      <c r="AF25"/>
      <c r="AG25"/>
      <c r="AH25"/>
      <c r="AI25"/>
      <c r="AJ25" s="952" t="s">
        <v>1928</v>
      </c>
      <c r="AK25" s="918"/>
      <c r="AL25" s="918"/>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2">
      <c r="A26"/>
      <c r="B26" s="9"/>
      <c r="C26" s="17"/>
      <c r="D26" s="1092"/>
      <c r="E26" s="1093"/>
      <c r="F26" s="1093"/>
      <c r="G26" s="1093"/>
      <c r="H26" s="1093"/>
      <c r="I26" s="1093"/>
      <c r="J26" s="1093"/>
      <c r="K26" s="1093"/>
      <c r="L26" s="1093"/>
      <c r="M26" s="1093"/>
      <c r="N26" s="1094"/>
      <c r="O26" s="24"/>
      <c r="P26" s="10"/>
      <c r="Q26"/>
      <c r="R26"/>
      <c r="S26"/>
      <c r="T26"/>
      <c r="U26" s="13" t="s">
        <v>57</v>
      </c>
      <c r="V26" s="544" t="s">
        <v>83</v>
      </c>
      <c r="W26" s="31">
        <f>+W25+1</f>
        <v>2</v>
      </c>
      <c r="X26" s="2" t="s">
        <v>1513</v>
      </c>
      <c r="Y26" s="538" t="s">
        <v>1515</v>
      </c>
      <c r="Z26" t="s">
        <v>1374</v>
      </c>
      <c r="AA26" s="1" t="s">
        <v>986</v>
      </c>
      <c r="AB26" s="49" t="s">
        <v>172</v>
      </c>
      <c r="AC26" s="49" t="s">
        <v>145</v>
      </c>
      <c r="AD26" s="1" t="s">
        <v>59</v>
      </c>
      <c r="AE26" s="1" t="s">
        <v>514</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2">
      <c r="A27"/>
      <c r="B27" s="9"/>
      <c r="C27" s="17"/>
      <c r="D27" s="51" t="s">
        <v>48</v>
      </c>
      <c r="E27" s="1055" t="str">
        <f>+IF(K17=K21,"Refinanciamiento","Crédito Hipotecario")</f>
        <v>Crédito Hipotecario</v>
      </c>
      <c r="F27" s="1055"/>
      <c r="G27" s="1055"/>
      <c r="H27" s="1055"/>
      <c r="I27" s="52"/>
      <c r="J27" s="52"/>
      <c r="K27" s="52"/>
      <c r="L27" s="52"/>
      <c r="M27" s="52"/>
      <c r="N27" s="52"/>
      <c r="O27" s="47"/>
      <c r="P27" s="10"/>
      <c r="Q27"/>
      <c r="R27"/>
      <c r="S27"/>
      <c r="T27"/>
      <c r="U27" s="1" t="s">
        <v>66</v>
      </c>
      <c r="V27" s="544" t="s">
        <v>1820</v>
      </c>
      <c r="W27" s="31">
        <f t="shared" ref="W27:W64" si="0">+W26+1</f>
        <v>3</v>
      </c>
      <c r="X27" s="2" t="s">
        <v>1819</v>
      </c>
      <c r="Y27" s="963" t="s">
        <v>1791</v>
      </c>
      <c r="Z27" t="s">
        <v>1814</v>
      </c>
      <c r="AA27" s="1" t="s">
        <v>50</v>
      </c>
      <c r="AB27" s="49" t="s">
        <v>446</v>
      </c>
      <c r="AC27" s="49" t="s">
        <v>403</v>
      </c>
      <c r="AD27" s="1" t="s">
        <v>52</v>
      </c>
      <c r="AE27" s="1" t="s">
        <v>47</v>
      </c>
      <c r="AF27"/>
      <c r="AG27"/>
      <c r="AH27"/>
      <c r="AI27"/>
      <c r="AJ27" s="952" t="s">
        <v>1897</v>
      </c>
      <c r="AK27" s="918"/>
      <c r="AL27" s="918"/>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2">
      <c r="A28"/>
      <c r="B28" s="9"/>
      <c r="C28" s="17"/>
      <c r="D28" s="46"/>
      <c r="E28" s="46"/>
      <c r="F28" s="53"/>
      <c r="G28" s="53"/>
      <c r="H28" s="53"/>
      <c r="I28" s="53"/>
      <c r="J28" s="53"/>
      <c r="K28" s="53"/>
      <c r="L28" s="53"/>
      <c r="M28" s="53"/>
      <c r="N28" s="53"/>
      <c r="O28" s="47"/>
      <c r="P28" s="10"/>
      <c r="Q28"/>
      <c r="R28"/>
      <c r="S28"/>
      <c r="T28"/>
      <c r="U28"/>
      <c r="V28" s="3" t="s">
        <v>1831</v>
      </c>
      <c r="W28" s="31">
        <f t="shared" si="0"/>
        <v>4</v>
      </c>
      <c r="X28" s="2" t="s">
        <v>1834</v>
      </c>
      <c r="Y28" s="31" t="s">
        <v>1992</v>
      </c>
      <c r="Z28" t="s">
        <v>1792</v>
      </c>
      <c r="AA28"/>
      <c r="AB28" s="49" t="s">
        <v>281</v>
      </c>
      <c r="AC28" s="49" t="s">
        <v>249</v>
      </c>
      <c r="AD28" s="1" t="s">
        <v>63</v>
      </c>
      <c r="AE28" s="1" t="s">
        <v>1376</v>
      </c>
      <c r="AF28"/>
      <c r="AG28"/>
      <c r="AH28"/>
      <c r="AI28"/>
      <c r="AJ28" s="952" t="s">
        <v>1898</v>
      </c>
      <c r="AK28" s="918"/>
      <c r="AL28" s="91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
      <c r="A29"/>
      <c r="B29" s="9"/>
      <c r="C29" s="17"/>
      <c r="D29" s="1082" t="s">
        <v>56</v>
      </c>
      <c r="E29" s="1082"/>
      <c r="F29" s="1082"/>
      <c r="G29" s="1082"/>
      <c r="H29" s="1082"/>
      <c r="I29" s="1082"/>
      <c r="J29" s="1082"/>
      <c r="O29" s="24"/>
      <c r="P29" s="10"/>
      <c r="Q29"/>
      <c r="R29"/>
      <c r="S29"/>
      <c r="T29"/>
      <c r="U29" s="1" t="s">
        <v>86</v>
      </c>
      <c r="V29" s="544" t="s">
        <v>1816</v>
      </c>
      <c r="W29" s="31">
        <f t="shared" si="0"/>
        <v>5</v>
      </c>
      <c r="X29" s="2" t="s">
        <v>1816</v>
      </c>
      <c r="Y29" s="1" t="s">
        <v>1984</v>
      </c>
      <c r="Z29" t="s">
        <v>1790</v>
      </c>
      <c r="AA29"/>
      <c r="AB29" s="49" t="s">
        <v>122</v>
      </c>
      <c r="AC29" s="49" t="s">
        <v>113</v>
      </c>
      <c r="AD29" s="1" t="s">
        <v>68</v>
      </c>
      <c r="AE29" s="1" t="s">
        <v>1377</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
      <c r="A30"/>
      <c r="B30" s="9"/>
      <c r="C30" s="17"/>
      <c r="D30" s="25"/>
      <c r="E30" s="25"/>
      <c r="F30" s="25"/>
      <c r="G30" s="25"/>
      <c r="H30" s="25"/>
      <c r="I30" s="25"/>
      <c r="J30" s="40"/>
      <c r="K30" s="890" t="s">
        <v>1794</v>
      </c>
      <c r="L30" s="890"/>
      <c r="M30" s="890"/>
      <c r="N30" s="890"/>
      <c r="O30" s="891"/>
      <c r="P30" s="886"/>
      <c r="Q30" s="887"/>
      <c r="R30" s="887"/>
      <c r="S30" s="887"/>
      <c r="T30" s="887"/>
      <c r="U30" s="892" t="s">
        <v>60</v>
      </c>
      <c r="V30" s="3" t="s">
        <v>2579</v>
      </c>
      <c r="W30" s="31">
        <f t="shared" si="0"/>
        <v>6</v>
      </c>
      <c r="X30" s="1" t="s">
        <v>2580</v>
      </c>
      <c r="Y30" s="963" t="s">
        <v>1830</v>
      </c>
      <c r="Z30" s="887"/>
      <c r="AA30" s="892"/>
      <c r="AB30" s="895" t="s">
        <v>87</v>
      </c>
      <c r="AC30" s="895" t="s">
        <v>62</v>
      </c>
      <c r="AD30" s="892" t="s">
        <v>72</v>
      </c>
      <c r="AE30" s="892" t="s">
        <v>1379</v>
      </c>
      <c r="AF30" s="887"/>
      <c r="AG30" s="887"/>
      <c r="AH30" s="887"/>
      <c r="AI30" s="887"/>
      <c r="AJ30" s="887"/>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
      <c r="A31"/>
      <c r="B31" s="9"/>
      <c r="C31" s="17"/>
      <c r="D31" s="1085" t="s">
        <v>64</v>
      </c>
      <c r="E31" s="1079" t="s">
        <v>2717</v>
      </c>
      <c r="F31" s="1079"/>
      <c r="G31" s="1079"/>
      <c r="H31" s="1079"/>
      <c r="I31" s="40"/>
      <c r="J31" s="1081" t="s">
        <v>65</v>
      </c>
      <c r="K31" s="18" t="s">
        <v>759</v>
      </c>
      <c r="L31" s="989"/>
      <c r="M31" s="18" t="s">
        <v>1231</v>
      </c>
      <c r="N31" s="989"/>
      <c r="O31" s="24" t="str">
        <f>IF(LEN(ooccBD)-LEN(SUBSTITUTE(ooccBD,",",""))&lt;&gt;LEN(ooccBDR)-LEN(SUBSTITUTE(ooccBDR,",","")),"ERROR","")</f>
        <v/>
      </c>
      <c r="P31" s="10"/>
      <c r="Q31"/>
      <c r="R31"/>
      <c r="S31"/>
      <c r="T31"/>
      <c r="U31" s="13" t="s">
        <v>93</v>
      </c>
      <c r="V31" s="3" t="s">
        <v>2578</v>
      </c>
      <c r="W31" s="31">
        <f t="shared" si="0"/>
        <v>7</v>
      </c>
      <c r="X31" s="1" t="s">
        <v>2585</v>
      </c>
      <c r="Y31" s="1" t="s">
        <v>1986</v>
      </c>
      <c r="Z31"/>
      <c r="AA31"/>
      <c r="AB31" s="49" t="s">
        <v>360</v>
      </c>
      <c r="AC31" s="49" t="s">
        <v>350</v>
      </c>
      <c r="AD31" s="1" t="s">
        <v>118</v>
      </c>
      <c r="AE31" s="1" t="s">
        <v>1378</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45" customHeight="1" x14ac:dyDescent="0.2">
      <c r="A32"/>
      <c r="B32" s="9"/>
      <c r="C32" s="17"/>
      <c r="D32" s="1085"/>
      <c r="E32" s="1079"/>
      <c r="F32" s="1079"/>
      <c r="G32" s="1079"/>
      <c r="H32" s="1079"/>
      <c r="I32" s="40"/>
      <c r="J32" s="1081"/>
      <c r="K32" s="26" t="s">
        <v>1743</v>
      </c>
      <c r="L32" s="989"/>
      <c r="M32" s="26" t="s">
        <v>1231</v>
      </c>
      <c r="N32" s="989"/>
      <c r="O32" s="24" t="str">
        <f>IF(LEN(ooccAdBXC)-LEN(SUBSTITUTE(ooccAdBXC,",",""))&lt;&gt;LEN(ooccAdBXCR)-LEN(SUBSTITUTE(ooccAdBXCR,",","")),"ERROR","")</f>
        <v/>
      </c>
      <c r="P32" s="10"/>
      <c r="Q32"/>
      <c r="R32"/>
      <c r="S32"/>
      <c r="T32"/>
      <c r="U32" s="13" t="s">
        <v>83</v>
      </c>
      <c r="V32" s="3" t="s">
        <v>2631</v>
      </c>
      <c r="W32" s="31">
        <f t="shared" si="0"/>
        <v>8</v>
      </c>
      <c r="X32" s="2" t="s">
        <v>2604</v>
      </c>
      <c r="Y32" s="31" t="s">
        <v>2591</v>
      </c>
      <c r="Z32"/>
      <c r="AA32"/>
      <c r="AB32" s="49" t="s">
        <v>131</v>
      </c>
      <c r="AC32" s="49" t="s">
        <v>129</v>
      </c>
      <c r="AD32" s="1" t="s">
        <v>55</v>
      </c>
      <c r="AE32" s="1" t="s">
        <v>505</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45" customHeight="1" x14ac:dyDescent="0.2">
      <c r="A33"/>
      <c r="B33" s="9"/>
      <c r="C33" s="17"/>
      <c r="D33" s="1085"/>
      <c r="E33" s="1079"/>
      <c r="F33" s="1079"/>
      <c r="G33" s="1079"/>
      <c r="H33" s="1079"/>
      <c r="I33" s="40"/>
      <c r="J33" s="1081"/>
      <c r="K33" s="26" t="s">
        <v>1744</v>
      </c>
      <c r="L33" s="989"/>
      <c r="M33" s="26" t="s">
        <v>1231</v>
      </c>
      <c r="N33" s="990"/>
      <c r="O33" s="24"/>
      <c r="P33" s="10"/>
      <c r="Q33"/>
      <c r="R33"/>
      <c r="S33" s="13"/>
      <c r="T33" s="3"/>
      <c r="U33" s="13" t="s">
        <v>99</v>
      </c>
      <c r="V33" s="544" t="s">
        <v>1815</v>
      </c>
      <c r="W33" s="31">
        <f t="shared" si="0"/>
        <v>9</v>
      </c>
      <c r="X33" s="2" t="s">
        <v>1833</v>
      </c>
      <c r="Y33" s="963" t="s">
        <v>1933</v>
      </c>
      <c r="Z33"/>
      <c r="AA33"/>
      <c r="AB33" s="49" t="s">
        <v>325</v>
      </c>
      <c r="AC33" s="49" t="s">
        <v>304</v>
      </c>
      <c r="AD33" s="49"/>
      <c r="AE33" s="1" t="s">
        <v>535</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
      <c r="A34"/>
      <c r="B34" s="9"/>
      <c r="C34" s="17"/>
      <c r="D34" s="1073"/>
      <c r="E34" s="1080"/>
      <c r="F34" s="1080"/>
      <c r="G34" s="1080"/>
      <c r="H34" s="1080"/>
      <c r="I34" s="40"/>
      <c r="J34" s="18" t="s">
        <v>1970</v>
      </c>
      <c r="K34" s="997" t="s">
        <v>1190</v>
      </c>
      <c r="M34" s="26"/>
      <c r="O34" s="24"/>
      <c r="P34" s="10"/>
      <c r="Q34"/>
      <c r="R34"/>
      <c r="S34"/>
      <c r="T34"/>
      <c r="U34" s="13" t="s">
        <v>49</v>
      </c>
      <c r="V34" s="544" t="s">
        <v>89</v>
      </c>
      <c r="W34" s="31">
        <f t="shared" si="0"/>
        <v>10</v>
      </c>
      <c r="X34" s="2" t="s">
        <v>1407</v>
      </c>
      <c r="Y34" s="1" t="s">
        <v>1985</v>
      </c>
      <c r="AA34"/>
      <c r="AB34" s="49" t="s">
        <v>396</v>
      </c>
      <c r="AC34" s="49" t="s">
        <v>392</v>
      </c>
      <c r="AE34" s="1" t="s">
        <v>585</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45" customHeight="1" x14ac:dyDescent="0.2">
      <c r="A35"/>
      <c r="B35" s="9"/>
      <c r="C35" s="17"/>
      <c r="D35" s="54" t="str">
        <f>CONCATENATE(tipoPropiedad,":")</f>
        <v>Departamento:</v>
      </c>
      <c r="E35" s="1084" t="s">
        <v>2753</v>
      </c>
      <c r="F35" s="1084"/>
      <c r="G35" s="1084"/>
      <c r="H35" s="1084"/>
      <c r="I35" s="25"/>
      <c r="J35" s="851" t="s">
        <v>69</v>
      </c>
      <c r="K35" s="1070" t="s">
        <v>52</v>
      </c>
      <c r="L35" s="1070"/>
      <c r="M35" s="1070"/>
      <c r="N35" s="1070"/>
      <c r="O35" s="24"/>
      <c r="P35" s="10"/>
      <c r="Q35"/>
      <c r="R35"/>
      <c r="S35"/>
      <c r="T35"/>
      <c r="U35" s="13" t="s">
        <v>70</v>
      </c>
      <c r="V35" s="3" t="s">
        <v>2635</v>
      </c>
      <c r="W35" s="31">
        <f t="shared" si="0"/>
        <v>11</v>
      </c>
      <c r="X35" s="2" t="s">
        <v>2634</v>
      </c>
      <c r="Y35" s="964" t="s">
        <v>1518</v>
      </c>
      <c r="Z35"/>
      <c r="AA35"/>
      <c r="AB35" s="49" t="s">
        <v>90</v>
      </c>
      <c r="AC35" s="49" t="s">
        <v>91</v>
      </c>
      <c r="AE35" s="1" t="s">
        <v>499</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45" customHeight="1" x14ac:dyDescent="0.2">
      <c r="A36"/>
      <c r="B36" s="9"/>
      <c r="C36" s="17"/>
      <c r="D36" s="889" t="s">
        <v>73</v>
      </c>
      <c r="E36" s="1078" t="s">
        <v>408</v>
      </c>
      <c r="F36" s="1078"/>
      <c r="G36" s="1078"/>
      <c r="H36" s="1078"/>
      <c r="I36" s="25"/>
      <c r="J36" s="851" t="s">
        <v>75</v>
      </c>
      <c r="K36" s="1070" t="s">
        <v>2720</v>
      </c>
      <c r="L36" s="1070"/>
      <c r="M36" s="1070"/>
      <c r="N36" s="1070"/>
      <c r="O36" s="24"/>
      <c r="P36" s="10"/>
      <c r="Q36"/>
      <c r="R36"/>
      <c r="S36"/>
      <c r="T36"/>
      <c r="U36" s="13" t="s">
        <v>53</v>
      </c>
      <c r="V36" s="3" t="s">
        <v>1862</v>
      </c>
      <c r="W36" s="31">
        <f t="shared" si="0"/>
        <v>12</v>
      </c>
      <c r="X36" s="1" t="s">
        <v>1863</v>
      </c>
      <c r="Y36" s="1" t="s">
        <v>1821</v>
      </c>
      <c r="Z36"/>
      <c r="AA36"/>
      <c r="AB36" s="49" t="s">
        <v>269</v>
      </c>
      <c r="AC36" s="49" t="s">
        <v>249</v>
      </c>
      <c r="AE36" s="1" t="s">
        <v>562</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25">
      <c r="A37"/>
      <c r="B37" s="9"/>
      <c r="C37" s="17"/>
      <c r="D37" s="1072" t="s">
        <v>78</v>
      </c>
      <c r="E37" s="1099" t="str">
        <f>VLOOKUP(E36,AB26:AC376,2,0)</f>
        <v>Metropolitana de Santiago</v>
      </c>
      <c r="F37" s="1099"/>
      <c r="G37" s="1099"/>
      <c r="H37" s="1099"/>
      <c r="I37" s="1"/>
      <c r="J37" s="1072" t="s">
        <v>79</v>
      </c>
      <c r="K37" s="592" t="str">
        <f>IF(tipoPropiedad="Casa","Subterraneo","Interior")</f>
        <v>Interior</v>
      </c>
      <c r="L37" s="592" t="str">
        <f>IF(tipoPropiedad="Casa","1er piso","")</f>
        <v/>
      </c>
      <c r="M37" s="592" t="str">
        <f>IF(tipoPropiedad="Casa","2do piso","Terraza")</f>
        <v>Terraza</v>
      </c>
      <c r="N37" s="592" t="str">
        <f>IF(tipoPropiedad="Casa","3er piso","")</f>
        <v/>
      </c>
      <c r="O37" s="24" t="str">
        <f>IF(tipoPropiedad="Casa","Mansarda","")</f>
        <v/>
      </c>
      <c r="P37" s="10" t="s">
        <v>469</v>
      </c>
      <c r="Q37"/>
      <c r="R37"/>
      <c r="S37"/>
      <c r="T37"/>
      <c r="U37" s="13" t="s">
        <v>76</v>
      </c>
      <c r="V37" s="3" t="s">
        <v>2577</v>
      </c>
      <c r="W37" s="31">
        <f t="shared" si="0"/>
        <v>13</v>
      </c>
      <c r="X37" s="1" t="s">
        <v>2576</v>
      </c>
      <c r="Y37" s="31" t="s">
        <v>2588</v>
      </c>
      <c r="Z37"/>
      <c r="AA37"/>
      <c r="AB37" s="49" t="s">
        <v>262</v>
      </c>
      <c r="AC37" s="49" t="s">
        <v>249</v>
      </c>
      <c r="AD37" s="49"/>
      <c r="AE37" s="1" t="s">
        <v>486</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25">
      <c r="A38"/>
      <c r="B38" s="9"/>
      <c r="C38" s="17"/>
      <c r="D38" s="1073"/>
      <c r="E38" s="1100"/>
      <c r="F38" s="1100"/>
      <c r="G38" s="1100"/>
      <c r="H38" s="1100"/>
      <c r="I38" s="1"/>
      <c r="J38" s="1073"/>
      <c r="K38" s="991">
        <v>41</v>
      </c>
      <c r="L38" s="992"/>
      <c r="M38" s="992"/>
      <c r="N38" s="993"/>
      <c r="O38" s="593"/>
      <c r="P38" s="10"/>
      <c r="Q38"/>
      <c r="R38">
        <f>SUM(K38:O38)</f>
        <v>41</v>
      </c>
      <c r="S38" s="13"/>
      <c r="T38" s="3"/>
      <c r="U38" s="1" t="s">
        <v>42</v>
      </c>
      <c r="V38" s="544" t="s">
        <v>2707</v>
      </c>
      <c r="W38" s="31">
        <f t="shared" si="0"/>
        <v>14</v>
      </c>
      <c r="X38" s="2" t="s">
        <v>1845</v>
      </c>
      <c r="Y38" s="963" t="s">
        <v>1832</v>
      </c>
      <c r="Z38"/>
      <c r="AA38"/>
      <c r="AB38" s="49" t="s">
        <v>44</v>
      </c>
      <c r="AC38" s="49" t="s">
        <v>45</v>
      </c>
      <c r="AD38" s="49"/>
      <c r="AE38" s="1" t="s">
        <v>1380</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
      <c r="A39"/>
      <c r="B39" s="9"/>
      <c r="C39" s="17"/>
      <c r="D39" s="44" t="s">
        <v>2608</v>
      </c>
      <c r="E39" s="1071" t="s">
        <v>2738</v>
      </c>
      <c r="F39" s="1071"/>
      <c r="G39" s="1071"/>
      <c r="H39" s="1071"/>
      <c r="I39" s="1071"/>
      <c r="J39" s="44" t="s">
        <v>82</v>
      </c>
      <c r="K39" s="1067"/>
      <c r="L39" s="1067"/>
      <c r="M39" s="1067"/>
      <c r="N39" s="1067"/>
      <c r="O39" s="24"/>
      <c r="P39" s="10"/>
      <c r="R39"/>
      <c r="S39"/>
      <c r="T39"/>
      <c r="U39" s="13" t="s">
        <v>80</v>
      </c>
      <c r="V39" s="544" t="s">
        <v>1854</v>
      </c>
      <c r="W39" s="31">
        <f t="shared" si="0"/>
        <v>15</v>
      </c>
      <c r="X39" s="2" t="s">
        <v>1855</v>
      </c>
      <c r="Y39" s="31" t="s">
        <v>2590</v>
      </c>
      <c r="Z39"/>
      <c r="AA39"/>
      <c r="AB39" s="49" t="s">
        <v>442</v>
      </c>
      <c r="AC39" s="49" t="s">
        <v>403</v>
      </c>
      <c r="AD39" s="49"/>
      <c r="AE39" s="1" t="s">
        <v>1381</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4"/>
      <c r="BW39" s="4"/>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
      <c r="A40"/>
      <c r="B40" s="9"/>
      <c r="C40" s="17"/>
      <c r="D40" s="23" t="s">
        <v>2609</v>
      </c>
      <c r="E40" s="1071" t="s">
        <v>111</v>
      </c>
      <c r="F40" s="1071"/>
      <c r="G40" s="1071"/>
      <c r="H40" s="1071"/>
      <c r="I40" s="25"/>
      <c r="J40" s="1" t="s">
        <v>85</v>
      </c>
      <c r="K40" s="1070" t="s">
        <v>535</v>
      </c>
      <c r="L40" s="1070"/>
      <c r="M40" s="1070"/>
      <c r="N40" s="1070"/>
      <c r="O40" s="24"/>
      <c r="P40" s="10"/>
      <c r="R40"/>
      <c r="T40"/>
      <c r="U40" s="13" t="s">
        <v>96</v>
      </c>
      <c r="V40" s="544" t="s">
        <v>1383</v>
      </c>
      <c r="W40" s="31">
        <f t="shared" si="0"/>
        <v>16</v>
      </c>
      <c r="X40" s="2" t="s">
        <v>1845</v>
      </c>
      <c r="Y40" s="31"/>
      <c r="Z40"/>
      <c r="AA40"/>
      <c r="AB40" s="49" t="s">
        <v>283</v>
      </c>
      <c r="AC40" s="49" t="s">
        <v>2573</v>
      </c>
      <c r="AD40" s="49"/>
      <c r="AE40" s="1" t="s">
        <v>1382</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4"/>
      <c r="BW40" s="4"/>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2">
      <c r="A41"/>
      <c r="B41" s="9"/>
      <c r="C41" s="17"/>
      <c r="D41" s="44" t="s">
        <v>88</v>
      </c>
      <c r="E41" s="1074" t="s">
        <v>2718</v>
      </c>
      <c r="F41" s="1074"/>
      <c r="G41" s="1074"/>
      <c r="H41" s="1074"/>
      <c r="I41" s="25"/>
      <c r="J41" s="44" t="s">
        <v>985</v>
      </c>
      <c r="K41" s="1075">
        <v>50615903</v>
      </c>
      <c r="L41" s="1075"/>
      <c r="M41" s="1075"/>
      <c r="N41" s="1075"/>
      <c r="O41" s="24"/>
      <c r="P41" s="10"/>
      <c r="R41"/>
      <c r="S41"/>
      <c r="T41"/>
      <c r="U41"/>
      <c r="V41" s="544" t="s">
        <v>1931</v>
      </c>
      <c r="W41" s="31">
        <f t="shared" si="0"/>
        <v>17</v>
      </c>
      <c r="X41" s="2" t="s">
        <v>1932</v>
      </c>
      <c r="Y41" s="31"/>
      <c r="Z41"/>
      <c r="AA41"/>
      <c r="AB41" s="49" t="s">
        <v>160</v>
      </c>
      <c r="AC41" s="49" t="s">
        <v>145</v>
      </c>
      <c r="AD41"/>
      <c r="AE41"/>
      <c r="AF41"/>
      <c r="AG41"/>
      <c r="AH41"/>
      <c r="AJ41" s="952" t="s">
        <v>1893</v>
      </c>
      <c r="AK41" s="918"/>
      <c r="AL41" s="918"/>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4"/>
      <c r="BW41" s="4"/>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26.25" thickBot="1" x14ac:dyDescent="0.25">
      <c r="A42"/>
      <c r="B42" s="9"/>
      <c r="C42" s="17"/>
      <c r="D42" s="25" t="s">
        <v>916</v>
      </c>
      <c r="E42" s="1069" t="s">
        <v>2719</v>
      </c>
      <c r="F42" s="1069"/>
      <c r="G42" s="1069"/>
      <c r="H42" s="1069"/>
      <c r="I42" s="25"/>
      <c r="J42" s="25" t="s">
        <v>92</v>
      </c>
      <c r="K42" s="1067" t="s">
        <v>2721</v>
      </c>
      <c r="L42" s="1067"/>
      <c r="M42" s="1067"/>
      <c r="N42" s="1067"/>
      <c r="O42" s="24"/>
      <c r="P42" s="10"/>
      <c r="R42"/>
      <c r="T42" s="3"/>
      <c r="U42" s="1" t="s">
        <v>101</v>
      </c>
      <c r="V42" s="544" t="s">
        <v>2636</v>
      </c>
      <c r="W42" s="31">
        <f t="shared" si="0"/>
        <v>18</v>
      </c>
      <c r="X42" s="2" t="s">
        <v>2637</v>
      </c>
      <c r="Y42" s="31"/>
      <c r="Z42"/>
      <c r="AA42"/>
      <c r="AB42" s="49" t="s">
        <v>74</v>
      </c>
      <c r="AC42" s="49" t="s">
        <v>392</v>
      </c>
      <c r="AD42" s="49"/>
      <c r="AE42"/>
      <c r="AF42"/>
      <c r="AG42"/>
      <c r="AH42"/>
      <c r="AJ42" s="952" t="s">
        <v>1894</v>
      </c>
      <c r="AK42" s="918"/>
      <c r="AL42" s="918"/>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4"/>
      <c r="BW42" s="4"/>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5" thickBot="1" x14ac:dyDescent="0.25">
      <c r="A43"/>
      <c r="B43" s="9"/>
      <c r="C43" s="17"/>
      <c r="D43" s="1068" t="s">
        <v>95</v>
      </c>
      <c r="E43" s="1068"/>
      <c r="F43" s="1068"/>
      <c r="G43" s="1068"/>
      <c r="H43" s="55"/>
      <c r="I43" s="1076"/>
      <c r="J43" s="1076"/>
      <c r="K43" s="1076"/>
      <c r="L43" s="1076"/>
      <c r="M43" s="1076"/>
      <c r="N43" s="1077"/>
      <c r="O43" s="24"/>
      <c r="P43" s="10"/>
      <c r="R43"/>
      <c r="T43" s="3"/>
      <c r="U43" s="13" t="s">
        <v>103</v>
      </c>
      <c r="V43" s="1" t="s">
        <v>1507</v>
      </c>
      <c r="W43" s="31">
        <f t="shared" si="0"/>
        <v>19</v>
      </c>
      <c r="X43" s="1" t="s">
        <v>1508</v>
      </c>
      <c r="Y43" s="31"/>
      <c r="Z43"/>
      <c r="AA43"/>
      <c r="AB43" s="49" t="s">
        <v>270</v>
      </c>
      <c r="AC43" s="49" t="s">
        <v>249</v>
      </c>
      <c r="AD43" s="49"/>
      <c r="AE43"/>
      <c r="AF43"/>
      <c r="AG43"/>
      <c r="AH43"/>
      <c r="AJ43" s="952" t="s">
        <v>1895</v>
      </c>
      <c r="AK43" s="918"/>
      <c r="AL43" s="918"/>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4"/>
      <c r="BW43" s="4"/>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
      <c r="A44"/>
      <c r="B44" s="9"/>
      <c r="C44" s="17"/>
      <c r="D44" s="1060"/>
      <c r="E44" s="1061"/>
      <c r="F44" s="1061"/>
      <c r="G44" s="1061"/>
      <c r="H44" s="1061"/>
      <c r="I44" s="1061"/>
      <c r="J44" s="1061"/>
      <c r="K44" s="1061"/>
      <c r="L44" s="1061"/>
      <c r="M44" s="1061"/>
      <c r="N44" s="1062"/>
      <c r="O44" s="24"/>
      <c r="P44" s="10"/>
      <c r="R44"/>
      <c r="S44" s="59" t="s">
        <v>46</v>
      </c>
      <c r="T44" s="3"/>
      <c r="U44"/>
      <c r="V44" s="545" t="s">
        <v>2656</v>
      </c>
      <c r="W44" s="31">
        <f t="shared" si="0"/>
        <v>20</v>
      </c>
      <c r="X44" s="2" t="s">
        <v>2657</v>
      </c>
      <c r="Y44" s="963"/>
      <c r="Z44"/>
      <c r="AA44"/>
      <c r="AB44" s="49" t="s">
        <v>100</v>
      </c>
      <c r="AC44" s="49" t="s">
        <v>91</v>
      </c>
      <c r="AD44" s="49"/>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4"/>
      <c r="BW44" s="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25">
      <c r="A45"/>
      <c r="B45" s="9"/>
      <c r="C45" s="17"/>
      <c r="D45" s="1063"/>
      <c r="E45" s="1064"/>
      <c r="F45" s="1064"/>
      <c r="G45" s="1064"/>
      <c r="H45" s="1064"/>
      <c r="I45" s="1064"/>
      <c r="J45" s="1064"/>
      <c r="K45" s="1064"/>
      <c r="L45" s="1064"/>
      <c r="M45" s="1064"/>
      <c r="N45" s="1065"/>
      <c r="O45" s="24"/>
      <c r="P45" s="10"/>
      <c r="R45"/>
      <c r="S45" s="59" t="s">
        <v>52</v>
      </c>
      <c r="T45" s="3"/>
      <c r="U45"/>
      <c r="V45" s="544" t="s">
        <v>2648</v>
      </c>
      <c r="W45" s="31">
        <f t="shared" si="0"/>
        <v>21</v>
      </c>
      <c r="X45" s="2" t="s">
        <v>2649</v>
      </c>
      <c r="Y45" s="31"/>
      <c r="Z45"/>
      <c r="AA45"/>
      <c r="AB45" s="49" t="s">
        <v>351</v>
      </c>
      <c r="AC45" s="49" t="s">
        <v>350</v>
      </c>
      <c r="AD45" s="49"/>
      <c r="AE45" s="31"/>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4"/>
      <c r="BW45" s="4"/>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31" customFormat="1" ht="20.100000000000001" customHeight="1" thickBot="1" x14ac:dyDescent="0.25">
      <c r="A46"/>
      <c r="B46" s="9"/>
      <c r="C46" s="35"/>
      <c r="D46" s="1066"/>
      <c r="E46" s="1066"/>
      <c r="F46" s="1066"/>
      <c r="G46" s="1066"/>
      <c r="H46" s="1066"/>
      <c r="I46" s="1066"/>
      <c r="J46" s="1066"/>
      <c r="K46" s="56"/>
      <c r="L46" s="56"/>
      <c r="M46" s="56"/>
      <c r="N46" s="57"/>
      <c r="O46" s="39"/>
      <c r="P46" s="10"/>
      <c r="S46" s="59" t="s">
        <v>111</v>
      </c>
      <c r="T46" s="64"/>
      <c r="U46" s="1"/>
      <c r="V46" s="544" t="s">
        <v>2650</v>
      </c>
      <c r="W46" s="31">
        <f t="shared" si="0"/>
        <v>22</v>
      </c>
      <c r="X46" s="2" t="s">
        <v>2650</v>
      </c>
      <c r="AB46" s="49" t="s">
        <v>115</v>
      </c>
      <c r="AC46" s="49" t="s">
        <v>113</v>
      </c>
      <c r="AD46" s="49"/>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row>
    <row r="47" spans="1:1025" s="31" customFormat="1" ht="24" customHeight="1" thickTop="1" thickBot="1" x14ac:dyDescent="0.25">
      <c r="A47"/>
      <c r="B47" s="9"/>
      <c r="C47" s="1"/>
      <c r="D47" s="40"/>
      <c r="E47" s="40"/>
      <c r="F47" s="40"/>
      <c r="G47" s="40"/>
      <c r="H47" s="40"/>
      <c r="I47" s="40"/>
      <c r="J47" s="40"/>
      <c r="K47" s="1"/>
      <c r="L47" s="1"/>
      <c r="M47" s="1"/>
      <c r="N47" s="1"/>
      <c r="O47" s="1"/>
      <c r="P47" s="10"/>
      <c r="S47" s="59" t="s">
        <v>114</v>
      </c>
      <c r="T47" s="64"/>
      <c r="U47" s="1"/>
      <c r="V47" s="1" t="s">
        <v>2583</v>
      </c>
      <c r="W47" s="31">
        <f t="shared" si="0"/>
        <v>23</v>
      </c>
      <c r="X47" s="2" t="s">
        <v>2584</v>
      </c>
      <c r="AB47" s="49" t="s">
        <v>165</v>
      </c>
      <c r="AC47" s="49" t="s">
        <v>145</v>
      </c>
      <c r="AD47" s="49"/>
      <c r="AE47" s="49"/>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row>
    <row r="48" spans="1:1025" ht="24" customHeight="1" thickTop="1" x14ac:dyDescent="0.2">
      <c r="A48"/>
      <c r="B48" s="9"/>
      <c r="C48" s="14"/>
      <c r="D48" s="58"/>
      <c r="E48" s="58"/>
      <c r="F48" s="58"/>
      <c r="G48" s="58"/>
      <c r="H48" s="58"/>
      <c r="I48" s="58"/>
      <c r="J48" s="15"/>
      <c r="K48" s="15"/>
      <c r="L48" s="15"/>
      <c r="M48" s="15"/>
      <c r="N48" s="15"/>
      <c r="O48" s="16"/>
      <c r="P48" s="10"/>
      <c r="Q48" s="31"/>
      <c r="R48" s="31"/>
      <c r="S48" s="59" t="s">
        <v>72</v>
      </c>
      <c r="T48" s="64"/>
      <c r="U48"/>
      <c r="V48" s="3" t="s">
        <v>2581</v>
      </c>
      <c r="W48" s="31">
        <f t="shared" si="0"/>
        <v>24</v>
      </c>
      <c r="X48" s="2" t="s">
        <v>2582</v>
      </c>
      <c r="Y48" s="31"/>
      <c r="Z48" s="31"/>
      <c r="AA48" s="31"/>
      <c r="AB48" s="49" t="s">
        <v>443</v>
      </c>
      <c r="AC48" s="49" t="s">
        <v>403</v>
      </c>
      <c r="AD48"/>
      <c r="AE48"/>
      <c r="AF48" s="49"/>
      <c r="AG48" s="49"/>
      <c r="AH48" s="49"/>
      <c r="AI48" s="49"/>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c r="GR48"/>
    </row>
    <row r="49" spans="1:200" ht="24" customHeight="1" x14ac:dyDescent="0.2">
      <c r="A49"/>
      <c r="B49" s="9"/>
      <c r="C49" s="17"/>
      <c r="D49" s="2" t="s">
        <v>106</v>
      </c>
      <c r="O49" s="24"/>
      <c r="P49" s="10"/>
      <c r="Q49" s="31"/>
      <c r="R49" s="31"/>
      <c r="S49" s="59" t="s">
        <v>68</v>
      </c>
      <c r="T49" s="64"/>
      <c r="U49"/>
      <c r="V49" s="545" t="s">
        <v>86</v>
      </c>
      <c r="W49" s="31">
        <f t="shared" si="0"/>
        <v>25</v>
      </c>
      <c r="X49" s="2" t="s">
        <v>1406</v>
      </c>
      <c r="Y49" s="31"/>
      <c r="Z49" s="31"/>
      <c r="AA49" s="31"/>
      <c r="AB49" s="49" t="s">
        <v>156</v>
      </c>
      <c r="AC49" s="49" t="s">
        <v>145</v>
      </c>
      <c r="AD49"/>
      <c r="AE49"/>
      <c r="AF49"/>
      <c r="AG49"/>
      <c r="AH49"/>
      <c r="AI49"/>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c r="GR49"/>
    </row>
    <row r="50" spans="1:200" ht="24" customHeight="1" x14ac:dyDescent="0.2">
      <c r="A50" s="31"/>
      <c r="B50" s="60"/>
      <c r="C50" s="61"/>
      <c r="D50" s="62" t="s">
        <v>108</v>
      </c>
      <c r="E50" s="1059" t="s">
        <v>109</v>
      </c>
      <c r="F50" s="1059"/>
      <c r="G50" s="62" t="s">
        <v>110</v>
      </c>
      <c r="H50" s="1056" t="s">
        <v>33</v>
      </c>
      <c r="I50" s="1057"/>
      <c r="J50" s="1057"/>
      <c r="K50" s="1057"/>
      <c r="L50" s="1057"/>
      <c r="M50" s="1057"/>
      <c r="N50" s="1058"/>
      <c r="O50" s="24"/>
      <c r="P50" s="63"/>
      <c r="Q50" s="31"/>
      <c r="R50" s="31"/>
      <c r="S50" s="59" t="s">
        <v>118</v>
      </c>
      <c r="T50" s="64"/>
      <c r="U50"/>
      <c r="V50" s="544" t="s">
        <v>1400</v>
      </c>
      <c r="W50" s="31">
        <f t="shared" si="0"/>
        <v>26</v>
      </c>
      <c r="X50" s="2" t="s">
        <v>1409</v>
      </c>
      <c r="Y50" s="31"/>
      <c r="Z50" s="31"/>
      <c r="AA50" s="31"/>
      <c r="AB50" s="49" t="s">
        <v>51</v>
      </c>
      <c r="AC50" s="49" t="s">
        <v>45</v>
      </c>
      <c r="AD50"/>
      <c r="AE50"/>
      <c r="AF50"/>
      <c r="AG50"/>
      <c r="AH50"/>
      <c r="AI50"/>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c r="GR50"/>
    </row>
    <row r="51" spans="1:200" ht="24" customHeight="1" x14ac:dyDescent="0.2">
      <c r="A51" s="31"/>
      <c r="B51" s="60"/>
      <c r="C51" s="61"/>
      <c r="D51" s="62"/>
      <c r="E51" s="1059"/>
      <c r="F51" s="1059"/>
      <c r="G51" s="62"/>
      <c r="H51" s="1056"/>
      <c r="I51" s="1057"/>
      <c r="J51" s="1057"/>
      <c r="K51" s="1057"/>
      <c r="L51" s="1057"/>
      <c r="M51" s="1057"/>
      <c r="N51" s="1058"/>
      <c r="O51" s="24"/>
      <c r="P51" s="63"/>
      <c r="Q51" s="31"/>
      <c r="R51" s="31"/>
      <c r="S51" s="59" t="s">
        <v>55</v>
      </c>
      <c r="T51" s="64"/>
      <c r="U51"/>
      <c r="V51" s="3" t="s">
        <v>2586</v>
      </c>
      <c r="W51" s="31">
        <f t="shared" si="0"/>
        <v>27</v>
      </c>
      <c r="X51" s="2" t="s">
        <v>2587</v>
      </c>
      <c r="Y51" s="31"/>
      <c r="Z51" s="31" t="str">
        <f>+Portada!CQ6</f>
        <v>Condominio</v>
      </c>
      <c r="AA51" s="31"/>
      <c r="AB51" s="49" t="s">
        <v>67</v>
      </c>
      <c r="AC51" s="49" t="s">
        <v>62</v>
      </c>
      <c r="AD51"/>
      <c r="AE51"/>
      <c r="AF51"/>
      <c r="AG51"/>
      <c r="AH51"/>
      <c r="AI51"/>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c r="GR51"/>
    </row>
    <row r="52" spans="1:200" ht="24" customHeight="1" x14ac:dyDescent="0.2">
      <c r="A52" s="31"/>
      <c r="B52" s="60"/>
      <c r="C52" s="61"/>
      <c r="D52" s="62"/>
      <c r="E52" s="1059"/>
      <c r="F52" s="1059"/>
      <c r="G52" s="62"/>
      <c r="H52" s="1056"/>
      <c r="I52" s="1057"/>
      <c r="J52" s="1057"/>
      <c r="K52" s="1057"/>
      <c r="L52" s="1057"/>
      <c r="M52" s="1057"/>
      <c r="N52" s="1058"/>
      <c r="O52" s="24"/>
      <c r="P52" s="63"/>
      <c r="S52" s="59" t="s">
        <v>121</v>
      </c>
      <c r="T52" s="3"/>
      <c r="U52" s="31"/>
      <c r="V52" s="544" t="s">
        <v>99</v>
      </c>
      <c r="W52" s="31">
        <f t="shared" si="0"/>
        <v>28</v>
      </c>
      <c r="X52" s="2" t="s">
        <v>1411</v>
      </c>
      <c r="Z52" s="31" t="str">
        <f>+Portada!CQ7</f>
        <v>Conjunto</v>
      </c>
      <c r="AB52" s="49" t="s">
        <v>136</v>
      </c>
      <c r="AC52" s="49" t="s">
        <v>129</v>
      </c>
      <c r="AD52"/>
      <c r="AE52" s="31"/>
      <c r="AF52" s="31"/>
      <c r="AG52" s="31"/>
      <c r="AH52" s="31"/>
      <c r="AI52" s="31"/>
      <c r="BV52" s="4"/>
      <c r="BW52" s="4"/>
      <c r="GQ52" s="1"/>
      <c r="GR52" s="1"/>
    </row>
    <row r="53" spans="1:200" ht="24" customHeight="1" x14ac:dyDescent="0.2">
      <c r="A53" s="31"/>
      <c r="B53" s="60"/>
      <c r="C53" s="61"/>
      <c r="D53" s="62"/>
      <c r="E53" s="1059"/>
      <c r="F53" s="1059"/>
      <c r="G53" s="62"/>
      <c r="H53" s="1056"/>
      <c r="I53" s="1057"/>
      <c r="J53" s="1057"/>
      <c r="K53" s="1057"/>
      <c r="L53" s="1057"/>
      <c r="M53" s="1057"/>
      <c r="N53" s="1058"/>
      <c r="O53" s="24"/>
      <c r="P53" s="63"/>
      <c r="S53" s="59" t="s">
        <v>123</v>
      </c>
      <c r="T53" s="3"/>
      <c r="U53" s="31"/>
      <c r="V53" s="545" t="s">
        <v>2638</v>
      </c>
      <c r="W53" s="31">
        <f t="shared" si="0"/>
        <v>29</v>
      </c>
      <c r="X53" s="2" t="s">
        <v>2639</v>
      </c>
      <c r="Z53" s="31" t="str">
        <f>+Portada!CQ8</f>
        <v>Loteo</v>
      </c>
      <c r="AB53" s="49" t="s">
        <v>263</v>
      </c>
      <c r="AC53" s="49" t="s">
        <v>249</v>
      </c>
      <c r="AD53"/>
      <c r="AE53" s="31"/>
      <c r="AF53" s="31"/>
      <c r="AG53" s="31"/>
      <c r="AH53" s="31"/>
      <c r="AI53" s="31"/>
      <c r="BV53" s="4"/>
      <c r="BW53" s="4"/>
      <c r="GQ53" s="1"/>
      <c r="GR53" s="1"/>
    </row>
    <row r="54" spans="1:200" ht="24" customHeight="1" x14ac:dyDescent="0.2">
      <c r="A54" s="31"/>
      <c r="B54" s="60"/>
      <c r="C54" s="61"/>
      <c r="D54" s="62"/>
      <c r="E54" s="1059"/>
      <c r="F54" s="1059"/>
      <c r="G54" s="62"/>
      <c r="H54" s="1056"/>
      <c r="I54" s="1057"/>
      <c r="J54" s="1057"/>
      <c r="K54" s="1057"/>
      <c r="L54" s="1057"/>
      <c r="M54" s="1057"/>
      <c r="N54" s="1058"/>
      <c r="O54" s="24"/>
      <c r="P54" s="63"/>
      <c r="S54" s="59" t="s">
        <v>125</v>
      </c>
      <c r="T54" s="3"/>
      <c r="V54" s="544" t="s">
        <v>96</v>
      </c>
      <c r="W54" s="31">
        <f t="shared" si="0"/>
        <v>30</v>
      </c>
      <c r="X54" s="2" t="s">
        <v>1410</v>
      </c>
      <c r="Z54" s="31" t="str">
        <f>+Portada!CQ9</f>
        <v>Edificio</v>
      </c>
      <c r="AB54" s="49" t="s">
        <v>305</v>
      </c>
      <c r="AC54" s="49" t="s">
        <v>304</v>
      </c>
      <c r="AD54"/>
      <c r="AF54" s="31"/>
      <c r="AG54" s="31"/>
      <c r="AH54" s="31"/>
      <c r="AI54" s="31"/>
      <c r="BV54" s="4"/>
      <c r="BW54" s="4"/>
      <c r="GQ54" s="1"/>
      <c r="GR54" s="1"/>
    </row>
    <row r="55" spans="1:200" ht="24" customHeight="1" x14ac:dyDescent="0.2">
      <c r="A55" s="31"/>
      <c r="B55" s="60"/>
      <c r="C55" s="61"/>
      <c r="D55" s="62"/>
      <c r="E55" s="1059"/>
      <c r="F55" s="1059"/>
      <c r="G55" s="62"/>
      <c r="H55" s="1056"/>
      <c r="I55" s="1057"/>
      <c r="J55" s="1057"/>
      <c r="K55" s="1057"/>
      <c r="L55" s="1057"/>
      <c r="M55" s="1057"/>
      <c r="N55" s="1058"/>
      <c r="O55" s="24"/>
      <c r="P55" s="63"/>
      <c r="S55" s="59" t="s">
        <v>127</v>
      </c>
      <c r="T55" s="3"/>
      <c r="V55" s="544" t="s">
        <v>1818</v>
      </c>
      <c r="W55" s="31">
        <f t="shared" si="0"/>
        <v>31</v>
      </c>
      <c r="X55" s="2" t="s">
        <v>2605</v>
      </c>
      <c r="Z55" s="31" t="str">
        <f>+Portada!CQ10</f>
        <v>Poblacion</v>
      </c>
      <c r="AB55" s="49" t="s">
        <v>173</v>
      </c>
      <c r="AC55" s="49" t="s">
        <v>145</v>
      </c>
      <c r="AD55" s="49"/>
      <c r="BV55" s="4"/>
      <c r="BW55" s="4"/>
      <c r="GQ55" s="1"/>
      <c r="GR55" s="1"/>
    </row>
    <row r="56" spans="1:200" ht="24" customHeight="1" x14ac:dyDescent="0.2">
      <c r="B56" s="9"/>
      <c r="C56" s="17"/>
      <c r="D56" s="62"/>
      <c r="E56" s="1059"/>
      <c r="F56" s="1059"/>
      <c r="G56" s="62"/>
      <c r="H56" s="1056"/>
      <c r="I56" s="1057"/>
      <c r="J56" s="1057"/>
      <c r="K56" s="1057"/>
      <c r="L56" s="1057"/>
      <c r="M56" s="1057"/>
      <c r="N56" s="1058"/>
      <c r="O56" s="24"/>
      <c r="P56" s="10"/>
      <c r="T56" s="3"/>
      <c r="V56" s="1" t="s">
        <v>2651</v>
      </c>
      <c r="W56" s="31">
        <f t="shared" si="0"/>
        <v>32</v>
      </c>
      <c r="X56" s="2" t="s">
        <v>2652</v>
      </c>
      <c r="Z56" s="31" t="str">
        <f>+Portada!CQ11</f>
        <v>Proyecto</v>
      </c>
      <c r="AB56" s="49" t="s">
        <v>146</v>
      </c>
      <c r="AC56" s="49" t="s">
        <v>145</v>
      </c>
      <c r="AD56" s="49"/>
      <c r="BV56" s="4"/>
      <c r="BW56" s="4"/>
      <c r="GQ56" s="1"/>
      <c r="GR56" s="1"/>
    </row>
    <row r="57" spans="1:200" ht="9.9499999999999993" customHeight="1" x14ac:dyDescent="0.2">
      <c r="B57" s="9"/>
      <c r="C57" s="17"/>
      <c r="D57" s="62"/>
      <c r="E57" s="1059"/>
      <c r="F57" s="1059"/>
      <c r="G57" s="62"/>
      <c r="H57" s="1056"/>
      <c r="I57" s="1057"/>
      <c r="J57" s="1057"/>
      <c r="K57" s="1057"/>
      <c r="L57" s="1057"/>
      <c r="M57" s="1057"/>
      <c r="N57" s="1058"/>
      <c r="O57" s="24"/>
      <c r="P57" s="10"/>
      <c r="T57" s="3"/>
      <c r="V57" s="3" t="s">
        <v>1861</v>
      </c>
      <c r="W57" s="31">
        <f t="shared" si="0"/>
        <v>33</v>
      </c>
      <c r="X57" s="1" t="s">
        <v>1929</v>
      </c>
      <c r="Z57" s="31" t="str">
        <f>+Portada!CQ12</f>
        <v>Villa</v>
      </c>
      <c r="AB57" s="49" t="s">
        <v>359</v>
      </c>
      <c r="AC57" s="49" t="s">
        <v>350</v>
      </c>
      <c r="AD57" s="49"/>
      <c r="BV57" s="4"/>
      <c r="BW57" s="4"/>
      <c r="GQ57" s="1"/>
      <c r="GR57" s="1"/>
    </row>
    <row r="58" spans="1:200" ht="9.9499999999999993" customHeight="1" x14ac:dyDescent="0.2">
      <c r="B58" s="9"/>
      <c r="C58" s="17"/>
      <c r="D58" s="62"/>
      <c r="E58" s="62"/>
      <c r="F58" s="62"/>
      <c r="G58" s="62"/>
      <c r="H58" s="605"/>
      <c r="I58" s="606"/>
      <c r="J58" s="606"/>
      <c r="K58" s="606"/>
      <c r="L58" s="606"/>
      <c r="M58" s="606"/>
      <c r="N58" s="607"/>
      <c r="O58" s="24"/>
      <c r="P58" s="10"/>
      <c r="T58" s="3"/>
      <c r="V58" s="544" t="s">
        <v>2654</v>
      </c>
      <c r="W58" s="31">
        <f t="shared" si="0"/>
        <v>34</v>
      </c>
      <c r="X58" s="1" t="s">
        <v>2655</v>
      </c>
      <c r="Z58" s="31">
        <f>+Portada!CQ13</f>
        <v>0</v>
      </c>
      <c r="AB58" s="49"/>
      <c r="AC58" s="49"/>
      <c r="AD58" s="49"/>
      <c r="BV58" s="4"/>
      <c r="BW58" s="4"/>
      <c r="GQ58" s="1"/>
      <c r="GR58" s="1"/>
    </row>
    <row r="59" spans="1:200" ht="9.9499999999999993" customHeight="1" x14ac:dyDescent="0.2">
      <c r="B59" s="9"/>
      <c r="C59" s="17"/>
      <c r="D59" s="62"/>
      <c r="E59" s="62"/>
      <c r="F59" s="62"/>
      <c r="G59" s="62"/>
      <c r="H59" s="605"/>
      <c r="I59" s="606"/>
      <c r="J59" s="606"/>
      <c r="K59" s="606"/>
      <c r="L59" s="606"/>
      <c r="M59" s="606"/>
      <c r="N59" s="607"/>
      <c r="O59" s="24"/>
      <c r="P59" s="10"/>
      <c r="T59" s="3"/>
      <c r="V59" s="3" t="s">
        <v>1987</v>
      </c>
      <c r="W59" s="31">
        <f t="shared" si="0"/>
        <v>35</v>
      </c>
      <c r="X59" s="1" t="s">
        <v>1988</v>
      </c>
      <c r="Z59" s="31">
        <f>+Portada!CQ14</f>
        <v>0</v>
      </c>
      <c r="AB59" s="49"/>
      <c r="AC59" s="49"/>
      <c r="AD59" s="49"/>
      <c r="BV59" s="4"/>
      <c r="BW59" s="4"/>
      <c r="GQ59" s="1"/>
      <c r="GR59" s="1"/>
    </row>
    <row r="60" spans="1:200" ht="9.9499999999999993" customHeight="1" x14ac:dyDescent="0.2">
      <c r="B60" s="9"/>
      <c r="C60" s="17"/>
      <c r="D60" s="62"/>
      <c r="E60" s="62"/>
      <c r="F60" s="62"/>
      <c r="G60" s="62"/>
      <c r="H60" s="605"/>
      <c r="I60" s="606"/>
      <c r="J60" s="606"/>
      <c r="K60" s="606"/>
      <c r="L60" s="606"/>
      <c r="M60" s="606"/>
      <c r="N60" s="607"/>
      <c r="O60" s="24"/>
      <c r="P60" s="10"/>
      <c r="T60" s="3"/>
      <c r="V60" s="893" t="s">
        <v>1817</v>
      </c>
      <c r="W60" s="31">
        <f t="shared" si="0"/>
        <v>36</v>
      </c>
      <c r="X60" s="894" t="s">
        <v>1817</v>
      </c>
      <c r="Z60" s="31">
        <f>+Portada!CQ15</f>
        <v>0</v>
      </c>
      <c r="AB60" s="49"/>
      <c r="AC60" s="49"/>
      <c r="AD60" s="49"/>
      <c r="BV60" s="4"/>
      <c r="BW60" s="4"/>
      <c r="GQ60" s="1"/>
      <c r="GR60" s="1"/>
    </row>
    <row r="61" spans="1:200" ht="9.9499999999999993" customHeight="1" x14ac:dyDescent="0.2">
      <c r="B61" s="9"/>
      <c r="C61" s="17"/>
      <c r="D61" s="62"/>
      <c r="E61" s="62"/>
      <c r="F61" s="62"/>
      <c r="G61" s="62"/>
      <c r="H61" s="605"/>
      <c r="I61" s="606"/>
      <c r="J61" s="606"/>
      <c r="K61" s="606"/>
      <c r="L61" s="606"/>
      <c r="M61" s="606"/>
      <c r="N61" s="607"/>
      <c r="O61" s="24"/>
      <c r="P61" s="10"/>
      <c r="T61" s="3"/>
      <c r="V61" s="3" t="s">
        <v>1387</v>
      </c>
      <c r="W61" s="31">
        <f t="shared" si="0"/>
        <v>37</v>
      </c>
      <c r="X61" s="1" t="s">
        <v>1403</v>
      </c>
      <c r="Z61" s="31">
        <f>+Portada!CQ16</f>
        <v>0</v>
      </c>
      <c r="AB61" s="49"/>
      <c r="AC61" s="49"/>
      <c r="AD61" s="49"/>
      <c r="BV61" s="4"/>
      <c r="BW61" s="4"/>
      <c r="GQ61" s="1"/>
      <c r="GR61" s="1"/>
    </row>
    <row r="62" spans="1:200" ht="15" customHeight="1" x14ac:dyDescent="0.2">
      <c r="B62" s="9"/>
      <c r="C62" s="17"/>
      <c r="D62" s="62"/>
      <c r="E62" s="1059"/>
      <c r="F62" s="1059"/>
      <c r="G62" s="62"/>
      <c r="H62" s="1056"/>
      <c r="I62" s="1057"/>
      <c r="J62" s="1057"/>
      <c r="K62" s="1057"/>
      <c r="L62" s="1057"/>
      <c r="M62" s="1057"/>
      <c r="N62" s="1058"/>
      <c r="O62" s="24"/>
      <c r="P62" s="10"/>
      <c r="T62" s="3"/>
      <c r="V62" s="544" t="s">
        <v>2699</v>
      </c>
      <c r="W62" s="31">
        <f t="shared" si="0"/>
        <v>38</v>
      </c>
      <c r="X62" s="2" t="s">
        <v>2699</v>
      </c>
      <c r="Z62" s="31">
        <f>+Portada!CQ17</f>
        <v>0</v>
      </c>
      <c r="AD62" s="49"/>
      <c r="BV62" s="4"/>
      <c r="BW62" s="4"/>
      <c r="GQ62" s="1"/>
      <c r="GR62" s="1"/>
    </row>
    <row r="63" spans="1:200" ht="15" customHeight="1" x14ac:dyDescent="0.2">
      <c r="B63" s="9"/>
      <c r="C63" s="17"/>
      <c r="D63" s="62"/>
      <c r="E63" s="62"/>
      <c r="F63" s="62"/>
      <c r="G63" s="62"/>
      <c r="H63" s="605"/>
      <c r="I63" s="606"/>
      <c r="J63" s="606"/>
      <c r="K63" s="606"/>
      <c r="L63" s="606"/>
      <c r="M63" s="606"/>
      <c r="N63" s="607"/>
      <c r="O63" s="24"/>
      <c r="P63" s="10"/>
      <c r="T63" s="3"/>
      <c r="V63" s="893" t="s">
        <v>2700</v>
      </c>
      <c r="W63" s="31">
        <f t="shared" si="0"/>
        <v>39</v>
      </c>
      <c r="X63" s="894" t="s">
        <v>2700</v>
      </c>
      <c r="AD63" s="49"/>
      <c r="BV63" s="4"/>
      <c r="BW63" s="4"/>
      <c r="GQ63" s="1"/>
      <c r="GR63" s="1"/>
    </row>
    <row r="64" spans="1:200" x14ac:dyDescent="0.2">
      <c r="B64" s="9"/>
      <c r="C64" s="17"/>
      <c r="D64" s="62"/>
      <c r="E64" s="1059"/>
      <c r="F64" s="1059"/>
      <c r="G64" s="62"/>
      <c r="H64" s="1056"/>
      <c r="I64" s="1057"/>
      <c r="J64" s="1057"/>
      <c r="K64" s="1057"/>
      <c r="L64" s="1057"/>
      <c r="M64" s="1057"/>
      <c r="N64" s="1058"/>
      <c r="O64" s="24"/>
      <c r="P64" s="10"/>
      <c r="V64" s="544" t="s">
        <v>2701</v>
      </c>
      <c r="W64" s="31">
        <f t="shared" si="0"/>
        <v>40</v>
      </c>
      <c r="X64" s="2" t="s">
        <v>2702</v>
      </c>
      <c r="Y64" s="31"/>
      <c r="AB64" s="49" t="s">
        <v>178</v>
      </c>
      <c r="AC64" s="49" t="s">
        <v>145</v>
      </c>
      <c r="AD64" s="49"/>
    </row>
    <row r="65" spans="2:30" hidden="1" x14ac:dyDescent="0.2">
      <c r="B65" s="9"/>
      <c r="C65" s="17"/>
      <c r="D65" s="62"/>
      <c r="E65" s="1059"/>
      <c r="F65" s="1059"/>
      <c r="G65" s="62"/>
      <c r="H65" s="1056"/>
      <c r="I65" s="1057"/>
      <c r="J65" s="1057"/>
      <c r="K65" s="1057"/>
      <c r="L65" s="1057"/>
      <c r="M65" s="1057"/>
      <c r="N65" s="1058"/>
      <c r="O65" s="24"/>
      <c r="P65" s="10"/>
      <c r="V65" s="1"/>
      <c r="AB65" s="49" t="s">
        <v>228</v>
      </c>
      <c r="AC65" s="49" t="s">
        <v>218</v>
      </c>
      <c r="AD65" s="49"/>
    </row>
    <row r="66" spans="2:30" ht="12.75" hidden="1" customHeight="1" thickBot="1" x14ac:dyDescent="0.25">
      <c r="B66" s="9"/>
      <c r="C66" s="35"/>
      <c r="D66" s="66"/>
      <c r="E66" s="66"/>
      <c r="F66" s="66"/>
      <c r="G66" s="66"/>
      <c r="H66" s="66"/>
      <c r="I66" s="66"/>
      <c r="J66" s="38"/>
      <c r="K66" s="38"/>
      <c r="L66" s="38"/>
      <c r="M66" s="38"/>
      <c r="N66" s="38"/>
      <c r="O66" s="39"/>
      <c r="P66" s="10"/>
      <c r="AB66" s="49" t="s">
        <v>404</v>
      </c>
      <c r="AC66" s="49" t="s">
        <v>403</v>
      </c>
      <c r="AD66" s="49"/>
    </row>
    <row r="67" spans="2:30" ht="12.75" hidden="1" customHeight="1" thickTop="1" thickBot="1" x14ac:dyDescent="0.25">
      <c r="B67" s="67"/>
      <c r="C67" s="68"/>
      <c r="D67" s="69"/>
      <c r="E67" s="69"/>
      <c r="F67" s="69"/>
      <c r="G67" s="69"/>
      <c r="H67" s="69"/>
      <c r="I67" s="69"/>
      <c r="J67" s="68"/>
      <c r="K67" s="68"/>
      <c r="L67" s="68"/>
      <c r="M67" s="68"/>
      <c r="N67" s="68"/>
      <c r="O67" s="68"/>
      <c r="P67" s="70"/>
      <c r="AB67" s="49" t="s">
        <v>405</v>
      </c>
      <c r="AC67" s="49" t="s">
        <v>403</v>
      </c>
      <c r="AD67" s="49"/>
    </row>
    <row r="68" spans="2:30" ht="12.75" hidden="1" customHeight="1" x14ac:dyDescent="0.2">
      <c r="AB68" s="49" t="s">
        <v>376</v>
      </c>
      <c r="AC68" s="49" t="s">
        <v>350</v>
      </c>
      <c r="AD68" s="49"/>
    </row>
    <row r="69" spans="2:30" ht="12.75" hidden="1" customHeight="1" x14ac:dyDescent="0.2">
      <c r="AB69" s="49" t="s">
        <v>117</v>
      </c>
      <c r="AC69" s="49" t="s">
        <v>113</v>
      </c>
      <c r="AD69" s="49"/>
    </row>
    <row r="70" spans="2:30" ht="12.75" hidden="1" customHeight="1" x14ac:dyDescent="0.2">
      <c r="AB70" s="49" t="s">
        <v>229</v>
      </c>
      <c r="AC70" s="49" t="s">
        <v>218</v>
      </c>
      <c r="AD70" s="49"/>
    </row>
    <row r="71" spans="2:30" ht="12.75" hidden="1" customHeight="1" x14ac:dyDescent="0.2">
      <c r="AB71" s="49" t="s">
        <v>208</v>
      </c>
      <c r="AC71" s="49" t="s">
        <v>184</v>
      </c>
      <c r="AD71" s="49"/>
    </row>
    <row r="72" spans="2:30" ht="12.75" hidden="1" customHeight="1" x14ac:dyDescent="0.2">
      <c r="AB72" s="49" t="s">
        <v>251</v>
      </c>
      <c r="AC72" s="49" t="s">
        <v>249</v>
      </c>
      <c r="AD72" s="49"/>
    </row>
    <row r="73" spans="2:30" ht="12.75" hidden="1" customHeight="1" x14ac:dyDescent="0.2">
      <c r="AB73" s="49" t="s">
        <v>389</v>
      </c>
      <c r="AC73" s="49" t="s">
        <v>381</v>
      </c>
      <c r="AD73" s="49"/>
    </row>
    <row r="74" spans="2:30" ht="12.75" hidden="1" customHeight="1" x14ac:dyDescent="0.2">
      <c r="AB74" s="49" t="s">
        <v>282</v>
      </c>
      <c r="AC74" s="49" t="s">
        <v>2573</v>
      </c>
      <c r="AD74" s="49"/>
    </row>
    <row r="75" spans="2:30" ht="12.75" hidden="1" customHeight="1" x14ac:dyDescent="0.2">
      <c r="AB75" s="49" t="s">
        <v>287</v>
      </c>
      <c r="AC75" s="49" t="s">
        <v>2573</v>
      </c>
      <c r="AD75" s="49"/>
    </row>
    <row r="76" spans="2:30" ht="12.75" hidden="1" customHeight="1" x14ac:dyDescent="0.2">
      <c r="AB76" s="49" t="s">
        <v>209</v>
      </c>
      <c r="AC76" s="49" t="s">
        <v>184</v>
      </c>
      <c r="AD76" s="49"/>
    </row>
    <row r="77" spans="2:30" ht="12.75" hidden="1" customHeight="1" x14ac:dyDescent="0.2">
      <c r="AB77" s="49" t="s">
        <v>324</v>
      </c>
      <c r="AC77" s="49" t="s">
        <v>304</v>
      </c>
      <c r="AD77" s="49"/>
    </row>
    <row r="78" spans="2:30" ht="12.75" hidden="1" customHeight="1" x14ac:dyDescent="0.2">
      <c r="AB78" s="49" t="s">
        <v>361</v>
      </c>
      <c r="AC78" s="49" t="s">
        <v>350</v>
      </c>
      <c r="AD78" s="49"/>
    </row>
    <row r="79" spans="2:30" ht="12.75" hidden="1" customHeight="1" x14ac:dyDescent="0.2">
      <c r="AB79" s="49" t="s">
        <v>384</v>
      </c>
      <c r="AC79" s="49" t="s">
        <v>381</v>
      </c>
      <c r="AD79" s="49"/>
    </row>
    <row r="80" spans="2:30" ht="12.75" hidden="1" customHeight="1" x14ac:dyDescent="0.2">
      <c r="AB80" s="49" t="s">
        <v>284</v>
      </c>
      <c r="AC80" s="49" t="s">
        <v>2573</v>
      </c>
      <c r="AD80" s="49"/>
    </row>
    <row r="81" spans="28:30" ht="12.75" hidden="1" customHeight="1" x14ac:dyDescent="0.2">
      <c r="AB81" s="49" t="s">
        <v>352</v>
      </c>
      <c r="AC81" s="49" t="s">
        <v>350</v>
      </c>
      <c r="AD81" s="49"/>
    </row>
    <row r="82" spans="28:30" ht="12.75" hidden="1" customHeight="1" x14ac:dyDescent="0.2">
      <c r="AB82" s="49" t="s">
        <v>386</v>
      </c>
      <c r="AC82" s="49" t="s">
        <v>381</v>
      </c>
      <c r="AD82" s="49"/>
    </row>
    <row r="83" spans="28:30" ht="12.75" hidden="1" customHeight="1" x14ac:dyDescent="0.2">
      <c r="AB83" s="49" t="s">
        <v>185</v>
      </c>
      <c r="AC83" s="49" t="s">
        <v>184</v>
      </c>
      <c r="AD83" s="49"/>
    </row>
    <row r="84" spans="28:30" ht="12.75" hidden="1" customHeight="1" x14ac:dyDescent="0.2">
      <c r="AB84" s="49" t="s">
        <v>285</v>
      </c>
      <c r="AC84" s="49" t="s">
        <v>2573</v>
      </c>
      <c r="AD84" s="49"/>
    </row>
    <row r="85" spans="28:30" ht="12.75" hidden="1" customHeight="1" x14ac:dyDescent="0.2">
      <c r="AB85" s="49" t="s">
        <v>380</v>
      </c>
      <c r="AC85" s="49" t="s">
        <v>381</v>
      </c>
      <c r="AD85" s="49"/>
    </row>
    <row r="86" spans="28:30" ht="12.75" hidden="1" customHeight="1" x14ac:dyDescent="0.2">
      <c r="AB86" s="49" t="s">
        <v>286</v>
      </c>
      <c r="AC86" s="49" t="s">
        <v>2573</v>
      </c>
      <c r="AD86" s="49"/>
    </row>
    <row r="87" spans="28:30" ht="12.75" hidden="1" customHeight="1" x14ac:dyDescent="0.2">
      <c r="AB87" s="49" t="s">
        <v>186</v>
      </c>
      <c r="AC87" s="49" t="s">
        <v>184</v>
      </c>
      <c r="AD87" s="49"/>
    </row>
    <row r="88" spans="28:30" ht="12.75" hidden="1" customHeight="1" x14ac:dyDescent="0.2">
      <c r="AB88" s="49" t="s">
        <v>241</v>
      </c>
      <c r="AC88" s="49" t="s">
        <v>218</v>
      </c>
      <c r="AD88" s="49"/>
    </row>
    <row r="89" spans="28:30" ht="12.75" hidden="1" customHeight="1" x14ac:dyDescent="0.2">
      <c r="AB89" s="49" t="s">
        <v>71</v>
      </c>
      <c r="AC89" s="49" t="s">
        <v>62</v>
      </c>
      <c r="AD89" s="49"/>
    </row>
    <row r="90" spans="28:30" ht="12.75" hidden="1" customHeight="1" x14ac:dyDescent="0.2">
      <c r="AB90" s="49" t="s">
        <v>438</v>
      </c>
      <c r="AC90" s="49" t="s">
        <v>403</v>
      </c>
      <c r="AD90" s="49"/>
    </row>
    <row r="91" spans="28:30" ht="12.75" hidden="1" customHeight="1" x14ac:dyDescent="0.2">
      <c r="AB91" s="49" t="s">
        <v>326</v>
      </c>
      <c r="AC91" s="49" t="s">
        <v>304</v>
      </c>
      <c r="AD91" s="49"/>
    </row>
    <row r="92" spans="28:30" ht="12.75" hidden="1" customHeight="1" x14ac:dyDescent="0.2">
      <c r="AB92" s="49" t="s">
        <v>187</v>
      </c>
      <c r="AC92" s="49" t="s">
        <v>184</v>
      </c>
      <c r="AD92" s="49"/>
    </row>
    <row r="93" spans="28:30" ht="12.75" hidden="1" customHeight="1" x14ac:dyDescent="0.2">
      <c r="AB93" s="49" t="s">
        <v>140</v>
      </c>
      <c r="AC93" s="49" t="s">
        <v>129</v>
      </c>
      <c r="AD93" s="49"/>
    </row>
    <row r="94" spans="28:30" ht="12.75" hidden="1" customHeight="1" x14ac:dyDescent="0.2">
      <c r="AB94" s="49" t="s">
        <v>248</v>
      </c>
      <c r="AC94" s="49" t="s">
        <v>249</v>
      </c>
      <c r="AD94" s="49"/>
    </row>
    <row r="95" spans="28:30" ht="12.75" hidden="1" customHeight="1" x14ac:dyDescent="0.2">
      <c r="AB95" s="49" t="s">
        <v>406</v>
      </c>
      <c r="AC95" s="49" t="s">
        <v>403</v>
      </c>
      <c r="AD95" s="49"/>
    </row>
    <row r="96" spans="28:30" ht="12.75" hidden="1" customHeight="1" x14ac:dyDescent="0.2">
      <c r="AB96" s="49" t="s">
        <v>147</v>
      </c>
      <c r="AC96" s="49" t="s">
        <v>145</v>
      </c>
      <c r="AD96" s="49"/>
    </row>
    <row r="97" spans="28:30" ht="12.75" hidden="1" customHeight="1" x14ac:dyDescent="0.2">
      <c r="AB97" s="49" t="s">
        <v>219</v>
      </c>
      <c r="AC97" s="49" t="s">
        <v>218</v>
      </c>
      <c r="AD97" s="49"/>
    </row>
    <row r="98" spans="28:30" ht="12.75" hidden="1" customHeight="1" x14ac:dyDescent="0.2">
      <c r="AB98" s="49" t="s">
        <v>264</v>
      </c>
      <c r="AC98" s="49" t="s">
        <v>249</v>
      </c>
      <c r="AD98" s="49"/>
    </row>
    <row r="99" spans="28:30" ht="12.75" hidden="1" customHeight="1" x14ac:dyDescent="0.2">
      <c r="AB99" s="49" t="s">
        <v>112</v>
      </c>
      <c r="AC99" s="49" t="s">
        <v>113</v>
      </c>
      <c r="AD99" s="49"/>
    </row>
    <row r="100" spans="28:30" ht="12.75" hidden="1" customHeight="1" x14ac:dyDescent="0.2">
      <c r="AB100" s="49" t="s">
        <v>130</v>
      </c>
      <c r="AC100" s="49" t="s">
        <v>129</v>
      </c>
      <c r="AD100" s="49"/>
    </row>
    <row r="101" spans="28:30" ht="12.75" hidden="1" customHeight="1" x14ac:dyDescent="0.2">
      <c r="AB101" s="49" t="s">
        <v>250</v>
      </c>
      <c r="AC101" s="49" t="s">
        <v>249</v>
      </c>
      <c r="AD101" s="49"/>
    </row>
    <row r="102" spans="28:30" ht="12.75" hidden="1" customHeight="1" x14ac:dyDescent="0.2">
      <c r="AB102" s="49" t="s">
        <v>338</v>
      </c>
      <c r="AC102" s="49" t="s">
        <v>337</v>
      </c>
      <c r="AD102" s="49"/>
    </row>
    <row r="103" spans="28:30" ht="12.75" hidden="1" customHeight="1" x14ac:dyDescent="0.2">
      <c r="AB103" s="49" t="s">
        <v>306</v>
      </c>
      <c r="AC103" s="49" t="s">
        <v>304</v>
      </c>
      <c r="AD103" s="49"/>
    </row>
    <row r="104" spans="28:30" ht="12.75" hidden="1" customHeight="1" x14ac:dyDescent="0.2">
      <c r="AB104" s="49" t="s">
        <v>327</v>
      </c>
      <c r="AC104" s="49" t="s">
        <v>304</v>
      </c>
      <c r="AD104" s="49"/>
    </row>
    <row r="105" spans="28:30" ht="12.75" hidden="1" customHeight="1" x14ac:dyDescent="0.2">
      <c r="AB105" s="49" t="s">
        <v>447</v>
      </c>
      <c r="AC105" s="49" t="s">
        <v>403</v>
      </c>
      <c r="AD105" s="49"/>
    </row>
    <row r="106" spans="28:30" ht="12.75" hidden="1" customHeight="1" x14ac:dyDescent="0.2">
      <c r="AB106" s="49" t="s">
        <v>362</v>
      </c>
      <c r="AC106" s="49" t="s">
        <v>350</v>
      </c>
      <c r="AD106" s="49"/>
    </row>
    <row r="107" spans="28:30" ht="12.75" hidden="1" customHeight="1" x14ac:dyDescent="0.2">
      <c r="AB107" s="49" t="s">
        <v>265</v>
      </c>
      <c r="AC107" s="49" t="s">
        <v>249</v>
      </c>
      <c r="AD107" s="49"/>
    </row>
    <row r="108" spans="28:30" ht="12.75" hidden="1" customHeight="1" x14ac:dyDescent="0.2">
      <c r="AB108" s="49" t="s">
        <v>307</v>
      </c>
      <c r="AC108" s="49" t="s">
        <v>304</v>
      </c>
      <c r="AD108" s="49"/>
    </row>
    <row r="109" spans="28:30" ht="12.75" hidden="1" customHeight="1" x14ac:dyDescent="0.2">
      <c r="AB109" s="49" t="s">
        <v>220</v>
      </c>
      <c r="AC109" s="49" t="s">
        <v>218</v>
      </c>
      <c r="AD109" s="49"/>
    </row>
    <row r="110" spans="28:30" ht="12.75" hidden="1" customHeight="1" x14ac:dyDescent="0.2">
      <c r="AB110" s="49" t="s">
        <v>231</v>
      </c>
      <c r="AC110" s="49" t="s">
        <v>218</v>
      </c>
      <c r="AD110" s="49"/>
    </row>
    <row r="111" spans="28:30" ht="12.75" hidden="1" customHeight="1" x14ac:dyDescent="0.2">
      <c r="AB111" s="49" t="s">
        <v>363</v>
      </c>
      <c r="AC111" s="49" t="s">
        <v>350</v>
      </c>
      <c r="AD111" s="49"/>
    </row>
    <row r="112" spans="28:30" ht="12.75" hidden="1" customHeight="1" x14ac:dyDescent="0.2">
      <c r="AB112" s="49" t="s">
        <v>119</v>
      </c>
      <c r="AC112" s="49" t="s">
        <v>113</v>
      </c>
      <c r="AD112" s="49"/>
    </row>
    <row r="113" spans="28:30" ht="12.75" hidden="1" customHeight="1" x14ac:dyDescent="0.2">
      <c r="AB113" s="49" t="s">
        <v>188</v>
      </c>
      <c r="AC113" s="49" t="s">
        <v>184</v>
      </c>
      <c r="AD113" s="49"/>
    </row>
    <row r="114" spans="28:30" ht="12.75" hidden="1" customHeight="1" x14ac:dyDescent="0.2">
      <c r="AB114" s="49" t="s">
        <v>407</v>
      </c>
      <c r="AC114" s="49" t="s">
        <v>403</v>
      </c>
      <c r="AD114" s="49"/>
    </row>
    <row r="115" spans="28:30" ht="12.75" hidden="1" customHeight="1" x14ac:dyDescent="0.2">
      <c r="AB115" s="49" t="s">
        <v>288</v>
      </c>
      <c r="AC115" s="49" t="s">
        <v>2573</v>
      </c>
      <c r="AD115" s="49"/>
    </row>
    <row r="116" spans="28:30" ht="12.75" hidden="1" customHeight="1" x14ac:dyDescent="0.2">
      <c r="AB116" s="49" t="s">
        <v>451</v>
      </c>
      <c r="AC116" s="49" t="s">
        <v>403</v>
      </c>
      <c r="AD116" s="49"/>
    </row>
    <row r="117" spans="28:30" ht="12.75" hidden="1" customHeight="1" x14ac:dyDescent="0.2">
      <c r="AB117" s="49" t="s">
        <v>174</v>
      </c>
      <c r="AC117" s="49" t="s">
        <v>145</v>
      </c>
      <c r="AD117" s="49"/>
    </row>
    <row r="118" spans="28:30" ht="12.75" hidden="1" customHeight="1" x14ac:dyDescent="0.2">
      <c r="AB118" s="49" t="s">
        <v>175</v>
      </c>
      <c r="AC118" s="49" t="s">
        <v>145</v>
      </c>
      <c r="AD118" s="49"/>
    </row>
    <row r="119" spans="28:30" ht="12.75" hidden="1" customHeight="1" x14ac:dyDescent="0.2">
      <c r="AB119" s="49" t="s">
        <v>221</v>
      </c>
      <c r="AC119" s="49" t="s">
        <v>218</v>
      </c>
      <c r="AD119" s="49"/>
    </row>
    <row r="120" spans="28:30" ht="12.75" hidden="1" customHeight="1" x14ac:dyDescent="0.2">
      <c r="AB120" s="49" t="s">
        <v>328</v>
      </c>
      <c r="AC120" s="49" t="s">
        <v>304</v>
      </c>
      <c r="AD120" s="49"/>
    </row>
    <row r="121" spans="28:30" ht="12.75" hidden="1" customHeight="1" x14ac:dyDescent="0.2">
      <c r="AB121" s="49" t="s">
        <v>408</v>
      </c>
      <c r="AC121" s="49" t="s">
        <v>403</v>
      </c>
      <c r="AD121" s="49"/>
    </row>
    <row r="122" spans="28:30" ht="12.75" hidden="1" customHeight="1" x14ac:dyDescent="0.2">
      <c r="AB122" s="49" t="s">
        <v>252</v>
      </c>
      <c r="AC122" s="49" t="s">
        <v>249</v>
      </c>
      <c r="AD122" s="49"/>
    </row>
    <row r="123" spans="28:30" ht="12.75" hidden="1" customHeight="1" x14ac:dyDescent="0.2">
      <c r="AB123" s="49" t="s">
        <v>308</v>
      </c>
      <c r="AC123" s="49" t="s">
        <v>304</v>
      </c>
      <c r="AD123" s="49"/>
    </row>
    <row r="124" spans="28:30" ht="12.75" hidden="1" customHeight="1" x14ac:dyDescent="0.2">
      <c r="AB124" s="49" t="s">
        <v>124</v>
      </c>
      <c r="AC124" s="49" t="s">
        <v>113</v>
      </c>
      <c r="AD124" s="49"/>
    </row>
    <row r="125" spans="28:30" ht="12.75" hidden="1" customHeight="1" x14ac:dyDescent="0.2">
      <c r="AB125" s="49" t="s">
        <v>353</v>
      </c>
      <c r="AC125" s="49" t="s">
        <v>350</v>
      </c>
      <c r="AD125" s="49"/>
    </row>
    <row r="126" spans="28:30" ht="12.75" hidden="1" customHeight="1" x14ac:dyDescent="0.2">
      <c r="AB126" s="49" t="s">
        <v>354</v>
      </c>
      <c r="AC126" s="49" t="s">
        <v>350</v>
      </c>
      <c r="AD126" s="49"/>
    </row>
    <row r="127" spans="28:30" ht="12.75" hidden="1" customHeight="1" x14ac:dyDescent="0.2">
      <c r="AB127" s="49" t="s">
        <v>377</v>
      </c>
      <c r="AC127" s="49" t="s">
        <v>350</v>
      </c>
      <c r="AD127" s="49"/>
    </row>
    <row r="128" spans="28:30" ht="12.75" hidden="1" customHeight="1" x14ac:dyDescent="0.2">
      <c r="AB128" s="49" t="s">
        <v>339</v>
      </c>
      <c r="AC128" s="49" t="s">
        <v>337</v>
      </c>
      <c r="AD128" s="49"/>
    </row>
    <row r="129" spans="28:30" ht="12.75" hidden="1" customHeight="1" x14ac:dyDescent="0.2">
      <c r="AB129" s="49" t="s">
        <v>309</v>
      </c>
      <c r="AC129" s="49" t="s">
        <v>304</v>
      </c>
      <c r="AD129" s="49"/>
    </row>
    <row r="130" spans="28:30" ht="12.75" hidden="1" customHeight="1" x14ac:dyDescent="0.2">
      <c r="AB130" s="49" t="s">
        <v>58</v>
      </c>
      <c r="AC130" s="49" t="s">
        <v>45</v>
      </c>
      <c r="AD130" s="49"/>
    </row>
    <row r="131" spans="28:30" ht="12.75" hidden="1" customHeight="1" x14ac:dyDescent="0.2">
      <c r="AB131" s="49" t="s">
        <v>310</v>
      </c>
      <c r="AC131" s="49" t="s">
        <v>304</v>
      </c>
      <c r="AD131" s="49"/>
    </row>
    <row r="132" spans="28:30" ht="12.75" hidden="1" customHeight="1" x14ac:dyDescent="0.2">
      <c r="AB132" s="49" t="s">
        <v>189</v>
      </c>
      <c r="AC132" s="49" t="s">
        <v>184</v>
      </c>
      <c r="AD132" s="49"/>
    </row>
    <row r="133" spans="28:30" ht="12.75" hidden="1" customHeight="1" x14ac:dyDescent="0.2">
      <c r="AB133" s="49" t="s">
        <v>385</v>
      </c>
      <c r="AC133" s="49" t="s">
        <v>381</v>
      </c>
      <c r="AD133" s="49"/>
    </row>
    <row r="134" spans="28:30" ht="12.75" hidden="1" customHeight="1" x14ac:dyDescent="0.2">
      <c r="AB134" s="49" t="s">
        <v>166</v>
      </c>
      <c r="AC134" s="49" t="s">
        <v>145</v>
      </c>
      <c r="AD134" s="49"/>
    </row>
    <row r="135" spans="28:30" ht="12.75" hidden="1" customHeight="1" x14ac:dyDescent="0.2">
      <c r="AB135" s="49" t="s">
        <v>378</v>
      </c>
      <c r="AC135" s="49" t="s">
        <v>350</v>
      </c>
      <c r="AD135" s="49"/>
    </row>
    <row r="136" spans="28:30" ht="12.75" hidden="1" customHeight="1" x14ac:dyDescent="0.2">
      <c r="AB136" s="49" t="s">
        <v>232</v>
      </c>
      <c r="AC136" s="49" t="s">
        <v>218</v>
      </c>
      <c r="AD136" s="49"/>
    </row>
    <row r="137" spans="28:30" ht="12.75" hidden="1" customHeight="1" x14ac:dyDescent="0.2">
      <c r="AB137" s="49" t="s">
        <v>260</v>
      </c>
      <c r="AC137" s="49" t="s">
        <v>249</v>
      </c>
      <c r="AD137" s="49"/>
    </row>
    <row r="138" spans="28:30" ht="12.75" hidden="1" customHeight="1" x14ac:dyDescent="0.2">
      <c r="AB138" s="49" t="s">
        <v>253</v>
      </c>
      <c r="AC138" s="49" t="s">
        <v>249</v>
      </c>
      <c r="AD138" s="49"/>
    </row>
    <row r="139" spans="28:30" ht="12.75" hidden="1" customHeight="1" x14ac:dyDescent="0.2">
      <c r="AB139" s="49" t="s">
        <v>77</v>
      </c>
      <c r="AC139" s="49" t="s">
        <v>62</v>
      </c>
      <c r="AD139" s="49"/>
    </row>
    <row r="140" spans="28:30" ht="12.75" hidden="1" customHeight="1" x14ac:dyDescent="0.2">
      <c r="AB140" s="49" t="s">
        <v>126</v>
      </c>
      <c r="AC140" s="49" t="s">
        <v>113</v>
      </c>
      <c r="AD140" s="49"/>
    </row>
    <row r="141" spans="28:30" ht="12.75" hidden="1" customHeight="1" x14ac:dyDescent="0.2">
      <c r="AB141" s="49" t="s">
        <v>409</v>
      </c>
      <c r="AC141" s="49" t="s">
        <v>403</v>
      </c>
      <c r="AD141" s="49"/>
    </row>
    <row r="142" spans="28:30" ht="12.75" hidden="1" customHeight="1" x14ac:dyDescent="0.2">
      <c r="AB142" s="49" t="s">
        <v>135</v>
      </c>
      <c r="AC142" s="49" t="s">
        <v>129</v>
      </c>
      <c r="AD142" s="49"/>
    </row>
    <row r="143" spans="28:30" ht="12.75" hidden="1" customHeight="1" x14ac:dyDescent="0.2">
      <c r="AB143" s="49" t="s">
        <v>410</v>
      </c>
      <c r="AC143" s="49" t="s">
        <v>403</v>
      </c>
      <c r="AD143" s="49"/>
    </row>
    <row r="144" spans="28:30" ht="12.75" hidden="1" customHeight="1" x14ac:dyDescent="0.2">
      <c r="AB144" s="49" t="s">
        <v>61</v>
      </c>
      <c r="AC144" s="49" t="s">
        <v>62</v>
      </c>
      <c r="AD144" s="49"/>
    </row>
    <row r="145" spans="28:30" ht="12.75" hidden="1" customHeight="1" x14ac:dyDescent="0.2">
      <c r="AB145" s="49" t="s">
        <v>452</v>
      </c>
      <c r="AC145" s="49" t="s">
        <v>403</v>
      </c>
      <c r="AD145" s="49"/>
    </row>
    <row r="146" spans="28:30" ht="12.75" hidden="1" customHeight="1" x14ac:dyDescent="0.2">
      <c r="AB146" s="49" t="s">
        <v>154</v>
      </c>
      <c r="AC146" s="49" t="s">
        <v>145</v>
      </c>
      <c r="AD146" s="49"/>
    </row>
    <row r="147" spans="28:30" ht="12.75" hidden="1" customHeight="1" x14ac:dyDescent="0.2">
      <c r="AB147" s="49" t="s">
        <v>148</v>
      </c>
      <c r="AC147" s="49" t="s">
        <v>145</v>
      </c>
      <c r="AD147" s="49"/>
    </row>
    <row r="148" spans="28:30" ht="12.75" hidden="1" customHeight="1" x14ac:dyDescent="0.2">
      <c r="AB148" s="49" t="s">
        <v>411</v>
      </c>
      <c r="AC148" s="49" t="s">
        <v>403</v>
      </c>
      <c r="AD148" s="49"/>
    </row>
    <row r="149" spans="28:30" ht="12.75" hidden="1" customHeight="1" x14ac:dyDescent="0.2">
      <c r="AB149" s="49" t="s">
        <v>167</v>
      </c>
      <c r="AC149" s="49" t="s">
        <v>145</v>
      </c>
      <c r="AD149" s="49"/>
    </row>
    <row r="150" spans="28:30" ht="12.75" hidden="1" customHeight="1" x14ac:dyDescent="0.2">
      <c r="AB150" s="49" t="s">
        <v>202</v>
      </c>
      <c r="AC150" s="49" t="s">
        <v>184</v>
      </c>
      <c r="AD150" s="49"/>
    </row>
    <row r="151" spans="28:30" ht="12.75" hidden="1" customHeight="1" x14ac:dyDescent="0.2">
      <c r="AB151" s="49" t="s">
        <v>412</v>
      </c>
      <c r="AC151" s="49" t="s">
        <v>403</v>
      </c>
      <c r="AD151" s="49"/>
    </row>
    <row r="152" spans="28:30" ht="12.75" hidden="1" customHeight="1" x14ac:dyDescent="0.2">
      <c r="AB152" s="49" t="s">
        <v>413</v>
      </c>
      <c r="AC152" s="49" t="s">
        <v>403</v>
      </c>
      <c r="AD152" s="49"/>
    </row>
    <row r="153" spans="28:30" ht="12.75" hidden="1" customHeight="1" x14ac:dyDescent="0.2">
      <c r="AB153" s="49" t="s">
        <v>132</v>
      </c>
      <c r="AC153" s="49" t="s">
        <v>129</v>
      </c>
      <c r="AD153" s="49"/>
    </row>
    <row r="154" spans="28:30" ht="12.75" hidden="1" customHeight="1" x14ac:dyDescent="0.2">
      <c r="AB154" s="49" t="s">
        <v>159</v>
      </c>
      <c r="AC154" s="49" t="s">
        <v>145</v>
      </c>
      <c r="AD154" s="49"/>
    </row>
    <row r="155" spans="28:30" ht="12.75" hidden="1" customHeight="1" x14ac:dyDescent="0.2">
      <c r="AB155" s="49" t="s">
        <v>414</v>
      </c>
      <c r="AC155" s="49" t="s">
        <v>403</v>
      </c>
      <c r="AD155" s="49"/>
    </row>
    <row r="156" spans="28:30" ht="12.75" hidden="1" customHeight="1" x14ac:dyDescent="0.2">
      <c r="AB156" s="49" t="s">
        <v>415</v>
      </c>
      <c r="AC156" s="49" t="s">
        <v>403</v>
      </c>
      <c r="AD156" s="49"/>
    </row>
    <row r="157" spans="28:30" ht="12.75" hidden="1" customHeight="1" x14ac:dyDescent="0.2">
      <c r="AB157" s="49" t="s">
        <v>128</v>
      </c>
      <c r="AC157" s="49" t="s">
        <v>129</v>
      </c>
      <c r="AD157" s="49"/>
    </row>
    <row r="158" spans="28:30" ht="12.75" hidden="1" customHeight="1" x14ac:dyDescent="0.2">
      <c r="AB158" s="49" t="s">
        <v>340</v>
      </c>
      <c r="AC158" s="49" t="s">
        <v>337</v>
      </c>
      <c r="AD158" s="49"/>
    </row>
    <row r="159" spans="28:30" ht="12.75" hidden="1" customHeight="1" x14ac:dyDescent="0.2">
      <c r="AB159" s="49" t="s">
        <v>341</v>
      </c>
      <c r="AC159" s="49" t="s">
        <v>337</v>
      </c>
      <c r="AD159" s="49"/>
    </row>
    <row r="160" spans="28:30" ht="12.75" hidden="1" customHeight="1" x14ac:dyDescent="0.2">
      <c r="AB160" s="49" t="s">
        <v>382</v>
      </c>
      <c r="AC160" s="49" t="s">
        <v>381</v>
      </c>
      <c r="AD160" s="49"/>
    </row>
    <row r="161" spans="28:30" ht="12.75" hidden="1" customHeight="1" x14ac:dyDescent="0.2">
      <c r="AB161" s="49" t="s">
        <v>393</v>
      </c>
      <c r="AC161" s="49" t="s">
        <v>392</v>
      </c>
      <c r="AD161" s="49"/>
    </row>
    <row r="162" spans="28:30" ht="12.75" hidden="1" customHeight="1" x14ac:dyDescent="0.2">
      <c r="AB162" s="49" t="s">
        <v>271</v>
      </c>
      <c r="AC162" s="49" t="s">
        <v>249</v>
      </c>
      <c r="AD162" s="49"/>
    </row>
    <row r="163" spans="28:30" ht="12.75" hidden="1" customHeight="1" x14ac:dyDescent="0.2">
      <c r="AB163" s="49" t="s">
        <v>439</v>
      </c>
      <c r="AC163" s="49" t="s">
        <v>403</v>
      </c>
      <c r="AD163" s="49"/>
    </row>
    <row r="164" spans="28:30" ht="12.75" hidden="1" customHeight="1" x14ac:dyDescent="0.2">
      <c r="AB164" s="49" t="s">
        <v>342</v>
      </c>
      <c r="AC164" s="49" t="s">
        <v>337</v>
      </c>
      <c r="AD164" s="49"/>
    </row>
    <row r="165" spans="28:30" ht="12.75" hidden="1" customHeight="1" x14ac:dyDescent="0.2">
      <c r="AB165" s="49" t="s">
        <v>190</v>
      </c>
      <c r="AC165" s="49" t="s">
        <v>184</v>
      </c>
      <c r="AD165" s="49"/>
    </row>
    <row r="166" spans="28:30" ht="12.75" hidden="1" customHeight="1" x14ac:dyDescent="0.2">
      <c r="AB166" s="49" t="s">
        <v>416</v>
      </c>
      <c r="AC166" s="49" t="s">
        <v>403</v>
      </c>
      <c r="AD166" s="49"/>
    </row>
    <row r="167" spans="28:30" ht="12.75" hidden="1" customHeight="1" x14ac:dyDescent="0.2">
      <c r="AB167" s="49" t="s">
        <v>311</v>
      </c>
      <c r="AC167" s="49" t="s">
        <v>304</v>
      </c>
      <c r="AD167" s="49"/>
    </row>
    <row r="168" spans="28:30" ht="12.75" hidden="1" customHeight="1" x14ac:dyDescent="0.2">
      <c r="AB168" s="49" t="s">
        <v>261</v>
      </c>
      <c r="AC168" s="49" t="s">
        <v>249</v>
      </c>
      <c r="AD168" s="49"/>
    </row>
    <row r="169" spans="28:30" ht="12.75" hidden="1" customHeight="1" x14ac:dyDescent="0.2">
      <c r="AB169" s="49" t="s">
        <v>233</v>
      </c>
      <c r="AC169" s="49" t="s">
        <v>218</v>
      </c>
      <c r="AD169" s="49"/>
    </row>
    <row r="170" spans="28:30" ht="12.75" hidden="1" customHeight="1" x14ac:dyDescent="0.2">
      <c r="AB170" s="49" t="s">
        <v>168</v>
      </c>
      <c r="AC170" s="49" t="s">
        <v>145</v>
      </c>
      <c r="AD170" s="49"/>
    </row>
    <row r="171" spans="28:30" ht="12.75" hidden="1" customHeight="1" x14ac:dyDescent="0.2">
      <c r="AB171" s="49" t="s">
        <v>240</v>
      </c>
      <c r="AC171" s="49" t="s">
        <v>218</v>
      </c>
      <c r="AD171" s="49"/>
    </row>
    <row r="172" spans="28:30" ht="12.75" hidden="1" customHeight="1" x14ac:dyDescent="0.2">
      <c r="AB172" s="49" t="s">
        <v>203</v>
      </c>
      <c r="AC172" s="49" t="s">
        <v>184</v>
      </c>
      <c r="AD172" s="49"/>
    </row>
    <row r="173" spans="28:30" ht="12.75" hidden="1" customHeight="1" x14ac:dyDescent="0.2">
      <c r="AB173" s="49" t="s">
        <v>179</v>
      </c>
      <c r="AC173" s="49" t="s">
        <v>145</v>
      </c>
      <c r="AD173" s="49"/>
    </row>
    <row r="174" spans="28:30" ht="12.75" hidden="1" customHeight="1" x14ac:dyDescent="0.2">
      <c r="AB174" s="49" t="s">
        <v>356</v>
      </c>
      <c r="AC174" s="49" t="s">
        <v>350</v>
      </c>
      <c r="AD174" s="49"/>
    </row>
    <row r="175" spans="28:30" ht="12.75" hidden="1" customHeight="1" x14ac:dyDescent="0.2">
      <c r="AB175" s="49" t="s">
        <v>417</v>
      </c>
      <c r="AC175" s="49" t="s">
        <v>403</v>
      </c>
      <c r="AD175" s="49"/>
    </row>
    <row r="176" spans="28:30" ht="12.75" hidden="1" customHeight="1" x14ac:dyDescent="0.2">
      <c r="AB176" s="49" t="s">
        <v>418</v>
      </c>
      <c r="AC176" s="49" t="s">
        <v>403</v>
      </c>
      <c r="AD176" s="49"/>
    </row>
    <row r="177" spans="28:30" ht="12.75" hidden="1" customHeight="1" x14ac:dyDescent="0.2">
      <c r="AB177" s="49" t="s">
        <v>419</v>
      </c>
      <c r="AC177" s="49" t="s">
        <v>403</v>
      </c>
      <c r="AD177" s="49"/>
    </row>
    <row r="178" spans="28:30" ht="12.75" hidden="1" customHeight="1" x14ac:dyDescent="0.2">
      <c r="AB178" s="49" t="s">
        <v>210</v>
      </c>
      <c r="AC178" s="49" t="s">
        <v>184</v>
      </c>
      <c r="AD178" s="49"/>
    </row>
    <row r="179" spans="28:30" ht="12.75" hidden="1" customHeight="1" x14ac:dyDescent="0.2">
      <c r="AB179" s="49" t="s">
        <v>312</v>
      </c>
      <c r="AC179" s="49" t="s">
        <v>304</v>
      </c>
      <c r="AD179" s="49"/>
    </row>
    <row r="180" spans="28:30" ht="12.75" hidden="1" customHeight="1" x14ac:dyDescent="0.2">
      <c r="AB180" s="49" t="s">
        <v>242</v>
      </c>
      <c r="AC180" s="49" t="s">
        <v>218</v>
      </c>
      <c r="AD180" s="49"/>
    </row>
    <row r="181" spans="28:30" ht="12.75" hidden="1" customHeight="1" x14ac:dyDescent="0.2">
      <c r="AB181" s="49" t="s">
        <v>329</v>
      </c>
      <c r="AC181" s="49" t="s">
        <v>304</v>
      </c>
      <c r="AD181" s="49"/>
    </row>
    <row r="182" spans="28:30" ht="12.75" hidden="1" customHeight="1" x14ac:dyDescent="0.2">
      <c r="AB182" s="49" t="s">
        <v>266</v>
      </c>
      <c r="AC182" s="49" t="s">
        <v>249</v>
      </c>
      <c r="AD182" s="49"/>
    </row>
    <row r="183" spans="28:30" ht="12.75" hidden="1" customHeight="1" x14ac:dyDescent="0.2">
      <c r="AB183" s="49" t="s">
        <v>155</v>
      </c>
      <c r="AC183" s="49" t="s">
        <v>145</v>
      </c>
      <c r="AD183" s="49"/>
    </row>
    <row r="184" spans="28:30" ht="12.75" hidden="1" customHeight="1" x14ac:dyDescent="0.2">
      <c r="AB184" s="49" t="s">
        <v>268</v>
      </c>
      <c r="AC184" s="49" t="s">
        <v>249</v>
      </c>
      <c r="AD184" s="49"/>
    </row>
    <row r="185" spans="28:30" ht="12.75" hidden="1" customHeight="1" x14ac:dyDescent="0.2">
      <c r="AB185" s="49" t="s">
        <v>343</v>
      </c>
      <c r="AC185" s="49" t="s">
        <v>337</v>
      </c>
      <c r="AD185" s="49"/>
    </row>
    <row r="186" spans="28:30" ht="12.75" hidden="1" customHeight="1" x14ac:dyDescent="0.2">
      <c r="AB186" s="49" t="s">
        <v>355</v>
      </c>
      <c r="AC186" s="49" t="s">
        <v>350</v>
      </c>
      <c r="AD186" s="49"/>
    </row>
    <row r="187" spans="28:30" ht="12.75" hidden="1" customHeight="1" x14ac:dyDescent="0.2">
      <c r="AB187" s="49" t="s">
        <v>330</v>
      </c>
      <c r="AC187" s="49" t="s">
        <v>304</v>
      </c>
      <c r="AD187" s="49"/>
    </row>
    <row r="188" spans="28:30" ht="12.75" hidden="1" customHeight="1" x14ac:dyDescent="0.2">
      <c r="AB188" s="49" t="s">
        <v>137</v>
      </c>
      <c r="AC188" s="49" t="s">
        <v>129</v>
      </c>
      <c r="AD188" s="49"/>
    </row>
    <row r="189" spans="28:30" ht="12.75" hidden="1" customHeight="1" x14ac:dyDescent="0.2">
      <c r="AB189" s="49" t="s">
        <v>254</v>
      </c>
      <c r="AC189" s="49" t="s">
        <v>249</v>
      </c>
      <c r="AD189" s="49"/>
    </row>
    <row r="190" spans="28:30" ht="12.75" hidden="1" customHeight="1" x14ac:dyDescent="0.2">
      <c r="AB190" s="49" t="s">
        <v>331</v>
      </c>
      <c r="AC190" s="49" t="s">
        <v>304</v>
      </c>
      <c r="AD190" s="49"/>
    </row>
    <row r="191" spans="28:30" ht="12.75" hidden="1" customHeight="1" x14ac:dyDescent="0.2">
      <c r="AB191" s="49" t="s">
        <v>191</v>
      </c>
      <c r="AC191" s="49" t="s">
        <v>184</v>
      </c>
      <c r="AD191" s="49"/>
    </row>
    <row r="192" spans="28:30" ht="12.75" hidden="1" customHeight="1" x14ac:dyDescent="0.2">
      <c r="AB192" s="49" t="s">
        <v>420</v>
      </c>
      <c r="AC192" s="49" t="s">
        <v>403</v>
      </c>
      <c r="AD192" s="49"/>
    </row>
    <row r="193" spans="28:30" ht="12.75" hidden="1" customHeight="1" x14ac:dyDescent="0.2">
      <c r="AB193" s="49" t="s">
        <v>344</v>
      </c>
      <c r="AC193" s="49" t="s">
        <v>337</v>
      </c>
      <c r="AD193" s="49"/>
    </row>
    <row r="194" spans="28:30" ht="12.75" hidden="1" customHeight="1" x14ac:dyDescent="0.2">
      <c r="AB194" s="49" t="s">
        <v>421</v>
      </c>
      <c r="AC194" s="49" t="s">
        <v>403</v>
      </c>
      <c r="AD194" s="49"/>
    </row>
    <row r="195" spans="28:30" ht="12.75" hidden="1" customHeight="1" x14ac:dyDescent="0.2">
      <c r="AB195" s="49" t="s">
        <v>192</v>
      </c>
      <c r="AC195" s="49" t="s">
        <v>184</v>
      </c>
      <c r="AD195" s="49"/>
    </row>
    <row r="196" spans="28:30" ht="12.75" hidden="1" customHeight="1" x14ac:dyDescent="0.2">
      <c r="AB196" s="49" t="s">
        <v>204</v>
      </c>
      <c r="AC196" s="49" t="s">
        <v>184</v>
      </c>
      <c r="AD196" s="49"/>
    </row>
    <row r="197" spans="28:30" ht="12.75" hidden="1" customHeight="1" x14ac:dyDescent="0.2">
      <c r="AB197" s="49" t="s">
        <v>107</v>
      </c>
      <c r="AC197" s="49" t="s">
        <v>91</v>
      </c>
      <c r="AD197" s="49"/>
    </row>
    <row r="198" spans="28:30" ht="12.75" hidden="1" customHeight="1" x14ac:dyDescent="0.2">
      <c r="AB198" s="49" t="s">
        <v>448</v>
      </c>
      <c r="AC198" s="49" t="s">
        <v>403</v>
      </c>
      <c r="AD198" s="49"/>
    </row>
    <row r="199" spans="28:30" ht="12.75" hidden="1" customHeight="1" x14ac:dyDescent="0.2">
      <c r="AB199" s="49" t="s">
        <v>345</v>
      </c>
      <c r="AC199" s="49" t="s">
        <v>337</v>
      </c>
      <c r="AD199" s="49"/>
    </row>
    <row r="200" spans="28:30" ht="12.75" hidden="1" customHeight="1" x14ac:dyDescent="0.2">
      <c r="AB200" s="49" t="s">
        <v>222</v>
      </c>
      <c r="AC200" s="49" t="s">
        <v>218</v>
      </c>
      <c r="AD200" s="49"/>
    </row>
    <row r="201" spans="28:30" ht="12.75" hidden="1" customHeight="1" x14ac:dyDescent="0.2">
      <c r="AB201" s="49" t="s">
        <v>357</v>
      </c>
      <c r="AC201" s="49" t="s">
        <v>350</v>
      </c>
      <c r="AD201" s="49"/>
    </row>
    <row r="202" spans="28:30" ht="12.75" hidden="1" customHeight="1" x14ac:dyDescent="0.2">
      <c r="AB202" s="49" t="s">
        <v>94</v>
      </c>
      <c r="AC202" s="49" t="s">
        <v>91</v>
      </c>
      <c r="AD202" s="49"/>
    </row>
    <row r="203" spans="28:30" ht="12.75" hidden="1" customHeight="1" x14ac:dyDescent="0.2">
      <c r="AB203" s="49" t="s">
        <v>313</v>
      </c>
      <c r="AC203" s="49" t="s">
        <v>304</v>
      </c>
      <c r="AD203" s="49"/>
    </row>
    <row r="204" spans="28:30" ht="12.75" hidden="1" customHeight="1" x14ac:dyDescent="0.2">
      <c r="AB204" s="49" t="s">
        <v>445</v>
      </c>
      <c r="AC204" s="49" t="s">
        <v>403</v>
      </c>
      <c r="AD204" s="49"/>
    </row>
    <row r="205" spans="28:30" ht="12.75" hidden="1" customHeight="1" x14ac:dyDescent="0.2">
      <c r="AB205" s="49" t="s">
        <v>234</v>
      </c>
      <c r="AC205" s="49" t="s">
        <v>218</v>
      </c>
      <c r="AD205" s="49"/>
    </row>
    <row r="206" spans="28:30" ht="12.75" hidden="1" customHeight="1" x14ac:dyDescent="0.2">
      <c r="AB206" s="49" t="s">
        <v>141</v>
      </c>
      <c r="AC206" s="49" t="s">
        <v>129</v>
      </c>
      <c r="AD206" s="49"/>
    </row>
    <row r="207" spans="28:30" ht="12.75" hidden="1" customHeight="1" x14ac:dyDescent="0.2">
      <c r="AB207" s="49" t="s">
        <v>193</v>
      </c>
      <c r="AC207" s="49" t="s">
        <v>184</v>
      </c>
      <c r="AD207" s="49"/>
    </row>
    <row r="208" spans="28:30" ht="12.75" hidden="1" customHeight="1" x14ac:dyDescent="0.2">
      <c r="AB208" s="49" t="s">
        <v>272</v>
      </c>
      <c r="AC208" s="49" t="s">
        <v>249</v>
      </c>
      <c r="AD208" s="49"/>
    </row>
    <row r="209" spans="28:30" ht="12.75" hidden="1" customHeight="1" x14ac:dyDescent="0.2">
      <c r="AB209" s="49" t="s">
        <v>273</v>
      </c>
      <c r="AC209" s="49" t="s">
        <v>249</v>
      </c>
      <c r="AD209" s="49"/>
    </row>
    <row r="210" spans="28:30" ht="12.75" hidden="1" customHeight="1" x14ac:dyDescent="0.2">
      <c r="AB210" s="49" t="s">
        <v>211</v>
      </c>
      <c r="AC210" s="49" t="s">
        <v>184</v>
      </c>
      <c r="AD210" s="49"/>
    </row>
    <row r="211" spans="28:30" ht="12.75" hidden="1" customHeight="1" x14ac:dyDescent="0.2">
      <c r="AB211" s="49" t="s">
        <v>400</v>
      </c>
      <c r="AC211" s="49" t="s">
        <v>392</v>
      </c>
      <c r="AD211" s="49"/>
    </row>
    <row r="212" spans="28:30" ht="12.75" hidden="1" customHeight="1" x14ac:dyDescent="0.2">
      <c r="AB212" s="49" t="s">
        <v>205</v>
      </c>
      <c r="AC212" s="49" t="s">
        <v>184</v>
      </c>
      <c r="AD212" s="49"/>
    </row>
    <row r="213" spans="28:30" ht="12.75" hidden="1" customHeight="1" x14ac:dyDescent="0.2">
      <c r="AB213" s="49" t="s">
        <v>274</v>
      </c>
      <c r="AC213" s="49" t="s">
        <v>249</v>
      </c>
      <c r="AD213" s="49"/>
    </row>
    <row r="214" spans="28:30" ht="12.75" hidden="1" customHeight="1" x14ac:dyDescent="0.2">
      <c r="AB214" s="49" t="s">
        <v>289</v>
      </c>
      <c r="AC214" s="49" t="s">
        <v>2573</v>
      </c>
      <c r="AD214" s="49"/>
    </row>
    <row r="215" spans="28:30" ht="12.75" hidden="1" customHeight="1" x14ac:dyDescent="0.2">
      <c r="AB215" s="49" t="s">
        <v>290</v>
      </c>
      <c r="AC215" s="49" t="s">
        <v>2573</v>
      </c>
      <c r="AD215" s="49"/>
    </row>
    <row r="216" spans="28:30" ht="12.75" hidden="1" customHeight="1" x14ac:dyDescent="0.2">
      <c r="AB216" s="49" t="s">
        <v>169</v>
      </c>
      <c r="AC216" s="49" t="s">
        <v>145</v>
      </c>
      <c r="AD216" s="49"/>
    </row>
    <row r="217" spans="28:30" ht="12.75" hidden="1" customHeight="1" x14ac:dyDescent="0.2">
      <c r="AB217" s="49" t="s">
        <v>314</v>
      </c>
      <c r="AC217" s="49" t="s">
        <v>304</v>
      </c>
      <c r="AD217" s="49"/>
    </row>
    <row r="218" spans="28:30" ht="12.75" hidden="1" customHeight="1" x14ac:dyDescent="0.2">
      <c r="AB218" s="49" t="s">
        <v>422</v>
      </c>
      <c r="AC218" s="49" t="s">
        <v>403</v>
      </c>
      <c r="AD218" s="49"/>
    </row>
    <row r="219" spans="28:30" ht="12.75" hidden="1" customHeight="1" x14ac:dyDescent="0.2">
      <c r="AB219" s="49" t="s">
        <v>387</v>
      </c>
      <c r="AC219" s="49" t="s">
        <v>381</v>
      </c>
      <c r="AD219" s="49"/>
    </row>
    <row r="220" spans="28:30" ht="12.75" hidden="1" customHeight="1" x14ac:dyDescent="0.2">
      <c r="AB220" s="49" t="s">
        <v>194</v>
      </c>
      <c r="AC220" s="49" t="s">
        <v>184</v>
      </c>
      <c r="AD220" s="49"/>
    </row>
    <row r="221" spans="28:30" ht="12.75" hidden="1" customHeight="1" x14ac:dyDescent="0.2">
      <c r="AB221" s="49" t="s">
        <v>102</v>
      </c>
      <c r="AC221" s="49" t="s">
        <v>91</v>
      </c>
      <c r="AD221" s="49"/>
    </row>
    <row r="222" spans="28:30" ht="12.75" hidden="1" customHeight="1" x14ac:dyDescent="0.2">
      <c r="AB222" s="49" t="s">
        <v>170</v>
      </c>
      <c r="AC222" s="49" t="s">
        <v>145</v>
      </c>
      <c r="AD222" s="49"/>
    </row>
    <row r="223" spans="28:30" ht="12.75" hidden="1" customHeight="1" x14ac:dyDescent="0.2">
      <c r="AB223" s="49" t="s">
        <v>369</v>
      </c>
      <c r="AC223" s="49" t="s">
        <v>350</v>
      </c>
      <c r="AD223" s="49"/>
    </row>
    <row r="224" spans="28:30" ht="12.75" hidden="1" customHeight="1" x14ac:dyDescent="0.2">
      <c r="AB224" s="49" t="s">
        <v>139</v>
      </c>
      <c r="AC224" s="49" t="s">
        <v>129</v>
      </c>
      <c r="AD224" s="49"/>
    </row>
    <row r="225" spans="28:30" ht="12.75" hidden="1" customHeight="1" x14ac:dyDescent="0.2">
      <c r="AB225" s="49" t="s">
        <v>453</v>
      </c>
      <c r="AC225" s="49" t="s">
        <v>403</v>
      </c>
      <c r="AD225" s="49"/>
    </row>
    <row r="226" spans="28:30" ht="12.75" hidden="1" customHeight="1" x14ac:dyDescent="0.2">
      <c r="AB226" s="49" t="s">
        <v>315</v>
      </c>
      <c r="AC226" s="49" t="s">
        <v>304</v>
      </c>
      <c r="AD226" s="49"/>
    </row>
    <row r="227" spans="28:30" ht="12.75" hidden="1" customHeight="1" x14ac:dyDescent="0.2">
      <c r="AB227" s="49" t="s">
        <v>133</v>
      </c>
      <c r="AC227" s="49" t="s">
        <v>129</v>
      </c>
      <c r="AD227" s="49"/>
    </row>
    <row r="228" spans="28:30" ht="12.75" hidden="1" customHeight="1" x14ac:dyDescent="0.2">
      <c r="AB228" s="49" t="s">
        <v>346</v>
      </c>
      <c r="AC228" s="49" t="s">
        <v>337</v>
      </c>
      <c r="AD228" s="49"/>
    </row>
    <row r="229" spans="28:30" ht="12.75" hidden="1" customHeight="1" x14ac:dyDescent="0.2">
      <c r="AB229" s="49" t="s">
        <v>444</v>
      </c>
      <c r="AC229" s="49" t="s">
        <v>403</v>
      </c>
      <c r="AD229" s="49"/>
    </row>
    <row r="230" spans="28:30" ht="12.75" hidden="1" customHeight="1" x14ac:dyDescent="0.2">
      <c r="AB230" s="49" t="s">
        <v>379</v>
      </c>
      <c r="AC230" s="49" t="s">
        <v>350</v>
      </c>
      <c r="AD230" s="49"/>
    </row>
    <row r="231" spans="28:30" ht="12.75" hidden="1" customHeight="1" x14ac:dyDescent="0.2">
      <c r="AB231" s="49" t="s">
        <v>212</v>
      </c>
      <c r="AC231" s="49" t="s">
        <v>184</v>
      </c>
      <c r="AD231" s="49"/>
    </row>
    <row r="232" spans="28:30" ht="12.75" hidden="1" customHeight="1" x14ac:dyDescent="0.2">
      <c r="AB232" s="49" t="s">
        <v>347</v>
      </c>
      <c r="AC232" s="49" t="s">
        <v>337</v>
      </c>
      <c r="AD232" s="49"/>
    </row>
    <row r="233" spans="28:30" ht="12.75" hidden="1" customHeight="1" x14ac:dyDescent="0.2">
      <c r="AB233" s="49" t="s">
        <v>180</v>
      </c>
      <c r="AC233" s="49" t="s">
        <v>145</v>
      </c>
      <c r="AD233" s="49"/>
    </row>
    <row r="234" spans="28:30" ht="12.75" hidden="1" customHeight="1" x14ac:dyDescent="0.2">
      <c r="AB234" s="49" t="s">
        <v>161</v>
      </c>
      <c r="AC234" s="49" t="s">
        <v>145</v>
      </c>
      <c r="AD234" s="49"/>
    </row>
    <row r="235" spans="28:30" ht="12.75" hidden="1" customHeight="1" x14ac:dyDescent="0.2">
      <c r="AB235" s="49" t="s">
        <v>206</v>
      </c>
      <c r="AC235" s="49" t="s">
        <v>184</v>
      </c>
      <c r="AD235" s="49"/>
    </row>
    <row r="236" spans="28:30" ht="12.75" hidden="1" customHeight="1" x14ac:dyDescent="0.2">
      <c r="AB236" s="49" t="s">
        <v>243</v>
      </c>
      <c r="AC236" s="49" t="s">
        <v>218</v>
      </c>
      <c r="AD236" s="49"/>
    </row>
    <row r="237" spans="28:30" ht="12.75" hidden="1" customHeight="1" x14ac:dyDescent="0.2">
      <c r="AB237" s="49" t="s">
        <v>423</v>
      </c>
      <c r="AC237" s="49" t="s">
        <v>403</v>
      </c>
      <c r="AD237" s="49"/>
    </row>
    <row r="238" spans="28:30" ht="12.75" hidden="1" customHeight="1" x14ac:dyDescent="0.2">
      <c r="AB238" s="49" t="s">
        <v>223</v>
      </c>
      <c r="AC238" s="49" t="s">
        <v>218</v>
      </c>
      <c r="AD238" s="49"/>
    </row>
    <row r="239" spans="28:30" ht="12.75" hidden="1" customHeight="1" x14ac:dyDescent="0.2">
      <c r="AB239" s="49" t="s">
        <v>230</v>
      </c>
      <c r="AC239" s="49" t="s">
        <v>218</v>
      </c>
      <c r="AD239" s="49"/>
    </row>
    <row r="240" spans="28:30" ht="12.75" hidden="1" customHeight="1" x14ac:dyDescent="0.2">
      <c r="AB240" s="49" t="s">
        <v>291</v>
      </c>
      <c r="AC240" s="49" t="s">
        <v>2573</v>
      </c>
      <c r="AD240" s="49"/>
    </row>
    <row r="241" spans="28:30" ht="12.75" hidden="1" customHeight="1" x14ac:dyDescent="0.2">
      <c r="AB241" s="49" t="s">
        <v>454</v>
      </c>
      <c r="AC241" s="49" t="s">
        <v>403</v>
      </c>
      <c r="AD241" s="49"/>
    </row>
    <row r="242" spans="28:30" ht="12.75" hidden="1" customHeight="1" x14ac:dyDescent="0.2">
      <c r="AB242" s="49" t="s">
        <v>424</v>
      </c>
      <c r="AC242" s="49" t="s">
        <v>403</v>
      </c>
      <c r="AD242" s="49"/>
    </row>
    <row r="243" spans="28:30" ht="12.75" hidden="1" customHeight="1" x14ac:dyDescent="0.2">
      <c r="AB243" s="49" t="s">
        <v>224</v>
      </c>
      <c r="AC243" s="49" t="s">
        <v>218</v>
      </c>
      <c r="AD243" s="49"/>
    </row>
    <row r="244" spans="28:30" ht="12.75" hidden="1" customHeight="1" x14ac:dyDescent="0.2">
      <c r="AB244" s="49" t="s">
        <v>255</v>
      </c>
      <c r="AC244" s="49" t="s">
        <v>249</v>
      </c>
      <c r="AD244" s="49"/>
    </row>
    <row r="245" spans="28:30" ht="12.75" hidden="1" customHeight="1" x14ac:dyDescent="0.2">
      <c r="AB245" s="49" t="s">
        <v>213</v>
      </c>
      <c r="AC245" s="49" t="s">
        <v>184</v>
      </c>
      <c r="AD245" s="49"/>
    </row>
    <row r="246" spans="28:30" ht="12.75" hidden="1" customHeight="1" x14ac:dyDescent="0.2">
      <c r="AB246" s="49" t="s">
        <v>316</v>
      </c>
      <c r="AC246" s="49" t="s">
        <v>304</v>
      </c>
      <c r="AD246" s="49"/>
    </row>
    <row r="247" spans="28:30" ht="12.75" hidden="1" customHeight="1" x14ac:dyDescent="0.2">
      <c r="AB247" s="49" t="s">
        <v>162</v>
      </c>
      <c r="AC247" s="49" t="s">
        <v>145</v>
      </c>
      <c r="AD247" s="49"/>
    </row>
    <row r="248" spans="28:30" ht="12.75" hidden="1" customHeight="1" x14ac:dyDescent="0.2">
      <c r="AB248" s="49" t="s">
        <v>195</v>
      </c>
      <c r="AC248" s="49" t="s">
        <v>184</v>
      </c>
      <c r="AD248" s="49"/>
    </row>
    <row r="249" spans="28:30" ht="12.75" hidden="1" customHeight="1" x14ac:dyDescent="0.2">
      <c r="AB249" s="49" t="s">
        <v>81</v>
      </c>
      <c r="AC249" s="49" t="s">
        <v>62</v>
      </c>
      <c r="AD249" s="49"/>
    </row>
    <row r="250" spans="28:30" ht="12.75" hidden="1" customHeight="1" x14ac:dyDescent="0.2">
      <c r="AB250" s="49" t="s">
        <v>196</v>
      </c>
      <c r="AC250" s="49" t="s">
        <v>184</v>
      </c>
      <c r="AD250" s="49"/>
    </row>
    <row r="251" spans="28:30" ht="12.75" hidden="1" customHeight="1" x14ac:dyDescent="0.2">
      <c r="AB251" s="49" t="s">
        <v>201</v>
      </c>
      <c r="AC251" s="49" t="s">
        <v>184</v>
      </c>
      <c r="AD251" s="49"/>
    </row>
    <row r="252" spans="28:30" ht="12.75" hidden="1" customHeight="1" x14ac:dyDescent="0.2">
      <c r="AB252" s="49" t="s">
        <v>292</v>
      </c>
      <c r="AC252" s="49" t="s">
        <v>2573</v>
      </c>
      <c r="AD252" s="49"/>
    </row>
    <row r="253" spans="28:30" ht="12.75" hidden="1" customHeight="1" x14ac:dyDescent="0.2">
      <c r="AB253" s="49" t="s">
        <v>436</v>
      </c>
      <c r="AC253" s="49" t="s">
        <v>403</v>
      </c>
      <c r="AD253" s="49"/>
    </row>
    <row r="254" spans="28:30" ht="12.75" hidden="1" customHeight="1" x14ac:dyDescent="0.2">
      <c r="AB254" s="49" t="s">
        <v>317</v>
      </c>
      <c r="AC254" s="49" t="s">
        <v>304</v>
      </c>
      <c r="AD254" s="49"/>
    </row>
    <row r="255" spans="28:30" ht="12.75" hidden="1" customHeight="1" x14ac:dyDescent="0.2">
      <c r="AB255" s="49" t="s">
        <v>214</v>
      </c>
      <c r="AC255" s="49" t="s">
        <v>184</v>
      </c>
      <c r="AD255" s="49"/>
    </row>
    <row r="256" spans="28:30" ht="12.75" hidden="1" customHeight="1" x14ac:dyDescent="0.2">
      <c r="AB256" s="49" t="s">
        <v>293</v>
      </c>
      <c r="AC256" s="49" t="s">
        <v>2573</v>
      </c>
      <c r="AD256" s="49"/>
    </row>
    <row r="257" spans="28:30" ht="12.75" hidden="1" customHeight="1" x14ac:dyDescent="0.2">
      <c r="AB257" s="49" t="s">
        <v>397</v>
      </c>
      <c r="AC257" s="49" t="s">
        <v>392</v>
      </c>
      <c r="AD257" s="49"/>
    </row>
    <row r="258" spans="28:30" ht="12.75" hidden="1" customHeight="1" x14ac:dyDescent="0.2">
      <c r="AB258" s="49" t="s">
        <v>84</v>
      </c>
      <c r="AC258" s="49" t="s">
        <v>62</v>
      </c>
      <c r="AD258" s="49"/>
    </row>
    <row r="259" spans="28:30" ht="12.75" hidden="1" customHeight="1" x14ac:dyDescent="0.2">
      <c r="AB259" s="49" t="s">
        <v>398</v>
      </c>
      <c r="AC259" s="49" t="s">
        <v>392</v>
      </c>
      <c r="AD259" s="49"/>
    </row>
    <row r="260" spans="28:30" ht="12.75" hidden="1" customHeight="1" x14ac:dyDescent="0.2">
      <c r="AB260" s="49" t="s">
        <v>425</v>
      </c>
      <c r="AC260" s="49" t="s">
        <v>403</v>
      </c>
      <c r="AD260" s="49"/>
    </row>
    <row r="261" spans="28:30" ht="12.75" hidden="1" customHeight="1" x14ac:dyDescent="0.2">
      <c r="AB261" s="49" t="s">
        <v>149</v>
      </c>
      <c r="AC261" s="49" t="s">
        <v>145</v>
      </c>
      <c r="AD261" s="49"/>
    </row>
    <row r="262" spans="28:30" ht="12.75" hidden="1" customHeight="1" x14ac:dyDescent="0.2">
      <c r="AB262" s="49" t="s">
        <v>318</v>
      </c>
      <c r="AC262" s="49" t="s">
        <v>304</v>
      </c>
      <c r="AD262" s="49"/>
    </row>
    <row r="263" spans="28:30" ht="12.75" hidden="1" customHeight="1" x14ac:dyDescent="0.2">
      <c r="AB263" s="49" t="s">
        <v>426</v>
      </c>
      <c r="AC263" s="49" t="s">
        <v>403</v>
      </c>
      <c r="AD263" s="49"/>
    </row>
    <row r="264" spans="28:30" ht="12.75" hidden="1" customHeight="1" x14ac:dyDescent="0.2">
      <c r="AB264" s="49" t="s">
        <v>435</v>
      </c>
      <c r="AC264" s="49" t="s">
        <v>403</v>
      </c>
      <c r="AD264" s="49"/>
    </row>
    <row r="265" spans="28:30" ht="12.75" hidden="1" customHeight="1" x14ac:dyDescent="0.2">
      <c r="AB265" s="49" t="s">
        <v>349</v>
      </c>
      <c r="AC265" s="49" t="s">
        <v>350</v>
      </c>
      <c r="AD265" s="49"/>
    </row>
    <row r="266" spans="28:30" ht="12.75" hidden="1" customHeight="1" x14ac:dyDescent="0.2">
      <c r="AB266" s="49" t="s">
        <v>370</v>
      </c>
      <c r="AC266" s="49" t="s">
        <v>350</v>
      </c>
      <c r="AD266" s="49"/>
    </row>
    <row r="267" spans="28:30" ht="12.75" hidden="1" customHeight="1" x14ac:dyDescent="0.2">
      <c r="AB267" s="49" t="s">
        <v>358</v>
      </c>
      <c r="AC267" s="49" t="s">
        <v>350</v>
      </c>
      <c r="AD267" s="49"/>
    </row>
    <row r="268" spans="28:30" ht="12.75" hidden="1" customHeight="1" x14ac:dyDescent="0.2">
      <c r="AB268" s="49" t="s">
        <v>215</v>
      </c>
      <c r="AC268" s="49" t="s">
        <v>184</v>
      </c>
      <c r="AD268" s="49"/>
    </row>
    <row r="269" spans="28:30" ht="12.75" hidden="1" customHeight="1" x14ac:dyDescent="0.2">
      <c r="AB269" s="49" t="s">
        <v>142</v>
      </c>
      <c r="AC269" s="49" t="s">
        <v>129</v>
      </c>
      <c r="AD269" s="49"/>
    </row>
    <row r="270" spans="28:30" ht="12.75" hidden="1" customHeight="1" x14ac:dyDescent="0.2">
      <c r="AB270" s="49" t="s">
        <v>391</v>
      </c>
      <c r="AC270" s="49" t="s">
        <v>392</v>
      </c>
      <c r="AD270" s="49"/>
    </row>
    <row r="271" spans="28:30" ht="12.75" hidden="1" customHeight="1" x14ac:dyDescent="0.2">
      <c r="AB271" s="49" t="s">
        <v>364</v>
      </c>
      <c r="AC271" s="49" t="s">
        <v>350</v>
      </c>
      <c r="AD271" s="49"/>
    </row>
    <row r="272" spans="28:30" ht="12.75" hidden="1" customHeight="1" x14ac:dyDescent="0.2">
      <c r="AB272" s="49" t="s">
        <v>332</v>
      </c>
      <c r="AC272" s="49" t="s">
        <v>304</v>
      </c>
      <c r="AD272" s="49"/>
    </row>
    <row r="273" spans="28:30" ht="12.75" hidden="1" customHeight="1" x14ac:dyDescent="0.2">
      <c r="AB273" s="49" t="s">
        <v>371</v>
      </c>
      <c r="AC273" s="49" t="s">
        <v>350</v>
      </c>
      <c r="AD273" s="49"/>
    </row>
    <row r="274" spans="28:30" ht="12.75" hidden="1" customHeight="1" x14ac:dyDescent="0.2">
      <c r="AB274" s="49" t="s">
        <v>181</v>
      </c>
      <c r="AC274" s="49" t="s">
        <v>145</v>
      </c>
      <c r="AD274" s="49"/>
    </row>
    <row r="275" spans="28:30" ht="12.75" hidden="1" customHeight="1" x14ac:dyDescent="0.2">
      <c r="AB275" s="49" t="s">
        <v>54</v>
      </c>
      <c r="AC275" s="49" t="s">
        <v>45</v>
      </c>
      <c r="AD275" s="49"/>
    </row>
    <row r="276" spans="28:30" ht="12.75" hidden="1" customHeight="1" x14ac:dyDescent="0.2">
      <c r="AB276" s="49" t="s">
        <v>372</v>
      </c>
      <c r="AC276" s="49" t="s">
        <v>350</v>
      </c>
      <c r="AD276" s="49"/>
    </row>
    <row r="277" spans="28:30" ht="12.75" hidden="1" customHeight="1" x14ac:dyDescent="0.2">
      <c r="AB277" s="49" t="s">
        <v>365</v>
      </c>
      <c r="AC277" s="49" t="s">
        <v>350</v>
      </c>
      <c r="AD277" s="49"/>
    </row>
    <row r="278" spans="28:30" ht="12.75" hidden="1" customHeight="1" x14ac:dyDescent="0.2">
      <c r="AB278" s="49" t="s">
        <v>366</v>
      </c>
      <c r="AC278" s="49" t="s">
        <v>350</v>
      </c>
      <c r="AD278" s="49"/>
    </row>
    <row r="279" spans="28:30" ht="12.75" hidden="1" customHeight="1" x14ac:dyDescent="0.2">
      <c r="AB279" s="49" t="s">
        <v>367</v>
      </c>
      <c r="AC279" s="49" t="s">
        <v>350</v>
      </c>
      <c r="AD279" s="49"/>
    </row>
    <row r="280" spans="28:30" ht="12.75" hidden="1" customHeight="1" x14ac:dyDescent="0.2">
      <c r="AB280" s="49" t="s">
        <v>275</v>
      </c>
      <c r="AC280" s="49" t="s">
        <v>249</v>
      </c>
      <c r="AD280" s="49"/>
    </row>
    <row r="281" spans="28:30" ht="12.75" hidden="1" customHeight="1" x14ac:dyDescent="0.2">
      <c r="AB281" s="49" t="s">
        <v>427</v>
      </c>
      <c r="AC281" s="49" t="s">
        <v>403</v>
      </c>
      <c r="AD281" s="49"/>
    </row>
    <row r="282" spans="28:30" ht="12.75" hidden="1" customHeight="1" x14ac:dyDescent="0.2">
      <c r="AB282" s="49" t="s">
        <v>276</v>
      </c>
      <c r="AC282" s="49" t="s">
        <v>249</v>
      </c>
      <c r="AD282" s="49"/>
    </row>
    <row r="283" spans="28:30" ht="12.75" hidden="1" customHeight="1" x14ac:dyDescent="0.2">
      <c r="AB283" s="49" t="s">
        <v>294</v>
      </c>
      <c r="AC283" s="49" t="s">
        <v>2573</v>
      </c>
      <c r="AD283" s="49"/>
    </row>
    <row r="284" spans="28:30" ht="12.75" hidden="1" customHeight="1" x14ac:dyDescent="0.2">
      <c r="AB284" s="49" t="s">
        <v>164</v>
      </c>
      <c r="AC284" s="49" t="s">
        <v>145</v>
      </c>
      <c r="AD284" s="49"/>
    </row>
    <row r="285" spans="28:30" ht="12.75" hidden="1" customHeight="1" x14ac:dyDescent="0.2">
      <c r="AB285" s="49" t="s">
        <v>150</v>
      </c>
      <c r="AC285" s="49" t="s">
        <v>145</v>
      </c>
      <c r="AD285" s="49"/>
    </row>
    <row r="286" spans="28:30" ht="12.75" hidden="1" customHeight="1" x14ac:dyDescent="0.2">
      <c r="AB286" s="49" t="s">
        <v>368</v>
      </c>
      <c r="AC286" s="49" t="s">
        <v>350</v>
      </c>
      <c r="AD286" s="49"/>
    </row>
    <row r="287" spans="28:30" ht="12.75" hidden="1" customHeight="1" x14ac:dyDescent="0.2">
      <c r="AB287" s="49" t="s">
        <v>197</v>
      </c>
      <c r="AC287" s="49" t="s">
        <v>184</v>
      </c>
      <c r="AD287" s="49"/>
    </row>
    <row r="288" spans="28:30" ht="12.75" hidden="1" customHeight="1" x14ac:dyDescent="0.2">
      <c r="AB288" s="49" t="s">
        <v>428</v>
      </c>
      <c r="AC288" s="49" t="s">
        <v>403</v>
      </c>
      <c r="AD288" s="49"/>
    </row>
    <row r="289" spans="28:30" ht="12.75" hidden="1" customHeight="1" x14ac:dyDescent="0.2">
      <c r="AB289" s="49" t="s">
        <v>151</v>
      </c>
      <c r="AC289" s="49" t="s">
        <v>145</v>
      </c>
      <c r="AD289" s="49"/>
    </row>
    <row r="290" spans="28:30" ht="12.75" hidden="1" customHeight="1" x14ac:dyDescent="0.2">
      <c r="AB290" s="49" t="s">
        <v>295</v>
      </c>
      <c r="AC290" s="49" t="s">
        <v>2573</v>
      </c>
      <c r="AD290" s="49"/>
    </row>
    <row r="291" spans="28:30" ht="12.75" hidden="1" customHeight="1" x14ac:dyDescent="0.2">
      <c r="AB291" s="49" t="s">
        <v>183</v>
      </c>
      <c r="AC291" s="49" t="s">
        <v>184</v>
      </c>
      <c r="AD291" s="49"/>
    </row>
    <row r="292" spans="28:30" ht="12.75" hidden="1" customHeight="1" x14ac:dyDescent="0.2">
      <c r="AB292" s="49" t="s">
        <v>296</v>
      </c>
      <c r="AC292" s="49" t="s">
        <v>2573</v>
      </c>
      <c r="AD292" s="49"/>
    </row>
    <row r="293" spans="28:30" ht="12.75" hidden="1" customHeight="1" x14ac:dyDescent="0.2">
      <c r="AB293" s="49" t="s">
        <v>235</v>
      </c>
      <c r="AC293" s="49" t="s">
        <v>218</v>
      </c>
      <c r="AD293" s="49"/>
    </row>
    <row r="294" spans="28:30" ht="12.75" hidden="1" customHeight="1" x14ac:dyDescent="0.2">
      <c r="AB294" s="49" t="s">
        <v>429</v>
      </c>
      <c r="AC294" s="49" t="s">
        <v>403</v>
      </c>
      <c r="AD294" s="49"/>
    </row>
    <row r="295" spans="28:30" ht="12.75" hidden="1" customHeight="1" x14ac:dyDescent="0.2">
      <c r="AB295" s="49" t="s">
        <v>333</v>
      </c>
      <c r="AC295" s="49" t="s">
        <v>304</v>
      </c>
      <c r="AD295" s="49"/>
    </row>
    <row r="296" spans="28:30" ht="12.75" hidden="1" customHeight="1" x14ac:dyDescent="0.2">
      <c r="AB296" s="49" t="s">
        <v>430</v>
      </c>
      <c r="AC296" s="49" t="s">
        <v>403</v>
      </c>
      <c r="AD296" s="49"/>
    </row>
    <row r="297" spans="28:30" ht="12.75" hidden="1" customHeight="1" x14ac:dyDescent="0.2">
      <c r="AB297" s="49" t="s">
        <v>198</v>
      </c>
      <c r="AC297" s="49" t="s">
        <v>184</v>
      </c>
      <c r="AD297" s="49"/>
    </row>
    <row r="298" spans="28:30" ht="12.75" hidden="1" customHeight="1" x14ac:dyDescent="0.2">
      <c r="AB298" s="49" t="s">
        <v>199</v>
      </c>
      <c r="AC298" s="49" t="s">
        <v>184</v>
      </c>
      <c r="AD298" s="49"/>
    </row>
    <row r="299" spans="28:30" ht="12.75" hidden="1" customHeight="1" x14ac:dyDescent="0.2">
      <c r="AB299" s="49" t="s">
        <v>244</v>
      </c>
      <c r="AC299" s="49" t="s">
        <v>218</v>
      </c>
      <c r="AD299" s="49"/>
    </row>
    <row r="300" spans="28:30" ht="12.75" hidden="1" customHeight="1" x14ac:dyDescent="0.2">
      <c r="AB300" s="49" t="s">
        <v>157</v>
      </c>
      <c r="AC300" s="49" t="s">
        <v>145</v>
      </c>
      <c r="AD300" s="49"/>
    </row>
    <row r="301" spans="28:30" ht="12.75" hidden="1" customHeight="1" x14ac:dyDescent="0.2">
      <c r="AB301" s="49" t="s">
        <v>348</v>
      </c>
      <c r="AC301" s="49" t="s">
        <v>337</v>
      </c>
      <c r="AD301" s="49"/>
    </row>
    <row r="302" spans="28:30" ht="12.75" hidden="1" customHeight="1" x14ac:dyDescent="0.2">
      <c r="AB302" s="49" t="s">
        <v>225</v>
      </c>
      <c r="AC302" s="49" t="s">
        <v>218</v>
      </c>
      <c r="AD302" s="49"/>
    </row>
    <row r="303" spans="28:30" ht="12.75" hidden="1" customHeight="1" x14ac:dyDescent="0.2">
      <c r="AB303" s="49" t="s">
        <v>143</v>
      </c>
      <c r="AC303" s="49" t="s">
        <v>129</v>
      </c>
      <c r="AD303" s="49"/>
    </row>
    <row r="304" spans="28:30" ht="12.75" hidden="1" customHeight="1" x14ac:dyDescent="0.2">
      <c r="AB304" s="49" t="s">
        <v>390</v>
      </c>
      <c r="AC304" s="49" t="s">
        <v>381</v>
      </c>
      <c r="AD304" s="49"/>
    </row>
    <row r="305" spans="28:30" ht="12.75" hidden="1" customHeight="1" x14ac:dyDescent="0.2">
      <c r="AB305" s="49" t="s">
        <v>373</v>
      </c>
      <c r="AC305" s="49" t="s">
        <v>350</v>
      </c>
      <c r="AD305" s="49"/>
    </row>
    <row r="306" spans="28:30" ht="12.75" hidden="1" customHeight="1" x14ac:dyDescent="0.2">
      <c r="AB306" s="49" t="s">
        <v>394</v>
      </c>
      <c r="AC306" s="49" t="s">
        <v>392</v>
      </c>
      <c r="AD306" s="49"/>
    </row>
    <row r="307" spans="28:30" ht="12.75" hidden="1" customHeight="1" x14ac:dyDescent="0.2">
      <c r="AB307" s="49" t="s">
        <v>236</v>
      </c>
      <c r="AC307" s="49" t="s">
        <v>218</v>
      </c>
      <c r="AD307" s="49"/>
    </row>
    <row r="308" spans="28:30" ht="12.75" hidden="1" customHeight="1" x14ac:dyDescent="0.2">
      <c r="AB308" s="49" t="s">
        <v>319</v>
      </c>
      <c r="AC308" s="49" t="s">
        <v>304</v>
      </c>
      <c r="AD308" s="49"/>
    </row>
    <row r="309" spans="28:30" ht="12.75" hidden="1" customHeight="1" x14ac:dyDescent="0.2">
      <c r="AB309" s="49" t="s">
        <v>237</v>
      </c>
      <c r="AC309" s="49" t="s">
        <v>218</v>
      </c>
      <c r="AD309" s="49"/>
    </row>
    <row r="310" spans="28:30" ht="12.75" hidden="1" customHeight="1" x14ac:dyDescent="0.2">
      <c r="AB310" s="49" t="s">
        <v>138</v>
      </c>
      <c r="AC310" s="49" t="s">
        <v>129</v>
      </c>
      <c r="AD310" s="49"/>
    </row>
    <row r="311" spans="28:30" ht="12.75" hidden="1" customHeight="1" x14ac:dyDescent="0.2">
      <c r="AB311" s="49" t="s">
        <v>171</v>
      </c>
      <c r="AC311" s="49" t="s">
        <v>145</v>
      </c>
      <c r="AD311" s="49"/>
    </row>
    <row r="312" spans="28:30" ht="12.75" hidden="1" customHeight="1" x14ac:dyDescent="0.2">
      <c r="AB312" s="49" t="s">
        <v>441</v>
      </c>
      <c r="AC312" s="49" t="s">
        <v>403</v>
      </c>
      <c r="AD312" s="49"/>
    </row>
    <row r="313" spans="28:30" ht="12.75" hidden="1" customHeight="1" x14ac:dyDescent="0.2">
      <c r="AB313" s="49" t="s">
        <v>297</v>
      </c>
      <c r="AC313" s="49" t="s">
        <v>2573</v>
      </c>
      <c r="AD313" s="49"/>
    </row>
    <row r="314" spans="28:30" ht="12.75" hidden="1" customHeight="1" x14ac:dyDescent="0.2">
      <c r="AB314" s="49" t="s">
        <v>226</v>
      </c>
      <c r="AC314" s="49" t="s">
        <v>218</v>
      </c>
      <c r="AD314" s="49"/>
    </row>
    <row r="315" spans="28:30" ht="12.75" hidden="1" customHeight="1" x14ac:dyDescent="0.2">
      <c r="AB315" s="49" t="s">
        <v>158</v>
      </c>
      <c r="AC315" s="49" t="s">
        <v>145</v>
      </c>
      <c r="AD315" s="49"/>
    </row>
    <row r="316" spans="28:30" ht="12.75" hidden="1" customHeight="1" x14ac:dyDescent="0.2">
      <c r="AB316" s="49" t="s">
        <v>298</v>
      </c>
      <c r="AC316" s="49" t="s">
        <v>2573</v>
      </c>
      <c r="AD316" s="49"/>
    </row>
    <row r="317" spans="28:30" ht="12.75" hidden="1" customHeight="1" x14ac:dyDescent="0.2">
      <c r="AB317" s="49" t="s">
        <v>177</v>
      </c>
      <c r="AC317" s="49" t="s">
        <v>145</v>
      </c>
      <c r="AD317" s="49"/>
    </row>
    <row r="318" spans="28:30" ht="12.75" hidden="1" customHeight="1" x14ac:dyDescent="0.2">
      <c r="AB318" s="49" t="s">
        <v>207</v>
      </c>
      <c r="AC318" s="49" t="s">
        <v>184</v>
      </c>
      <c r="AD318" s="49"/>
    </row>
    <row r="319" spans="28:30" ht="12.75" hidden="1" customHeight="1" x14ac:dyDescent="0.2">
      <c r="AB319" s="49" t="s">
        <v>395</v>
      </c>
      <c r="AC319" s="49" t="s">
        <v>392</v>
      </c>
      <c r="AD319" s="49"/>
    </row>
    <row r="320" spans="28:30" ht="12.75" hidden="1" customHeight="1" x14ac:dyDescent="0.2">
      <c r="AB320" s="49" t="s">
        <v>299</v>
      </c>
      <c r="AC320" s="49" t="s">
        <v>2573</v>
      </c>
      <c r="AD320" s="49"/>
    </row>
    <row r="321" spans="28:30" ht="12.75" hidden="1" customHeight="1" x14ac:dyDescent="0.2">
      <c r="AB321" s="49" t="s">
        <v>245</v>
      </c>
      <c r="AC321" s="49" t="s">
        <v>218</v>
      </c>
      <c r="AD321" s="49"/>
    </row>
    <row r="322" spans="28:30" ht="12.75" hidden="1" customHeight="1" x14ac:dyDescent="0.2">
      <c r="AB322" s="49" t="s">
        <v>431</v>
      </c>
      <c r="AC322" s="49" t="s">
        <v>403</v>
      </c>
      <c r="AD322" s="49"/>
    </row>
    <row r="323" spans="28:30" ht="12.75" hidden="1" customHeight="1" x14ac:dyDescent="0.2">
      <c r="AB323" s="49" t="s">
        <v>437</v>
      </c>
      <c r="AC323" s="49" t="s">
        <v>403</v>
      </c>
      <c r="AD323" s="49"/>
    </row>
    <row r="324" spans="28:30" ht="12.75" hidden="1" customHeight="1" x14ac:dyDescent="0.2">
      <c r="AB324" s="49" t="s">
        <v>374</v>
      </c>
      <c r="AC324" s="49" t="s">
        <v>350</v>
      </c>
      <c r="AD324" s="49"/>
    </row>
    <row r="325" spans="28:30" ht="12.75" hidden="1" customHeight="1" x14ac:dyDescent="0.2">
      <c r="AB325" s="49" t="s">
        <v>432</v>
      </c>
      <c r="AC325" s="49" t="s">
        <v>403</v>
      </c>
      <c r="AD325" s="49"/>
    </row>
    <row r="326" spans="28:30" ht="12.75" hidden="1" customHeight="1" x14ac:dyDescent="0.2">
      <c r="AB326" s="49" t="s">
        <v>300</v>
      </c>
      <c r="AC326" s="49" t="s">
        <v>2573</v>
      </c>
      <c r="AD326" s="49"/>
    </row>
    <row r="327" spans="28:30" ht="12.75" hidden="1" customHeight="1" x14ac:dyDescent="0.2">
      <c r="AB327" s="49" t="s">
        <v>375</v>
      </c>
      <c r="AC327" s="49" t="s">
        <v>350</v>
      </c>
      <c r="AD327" s="49"/>
    </row>
    <row r="328" spans="28:30" ht="12.75" hidden="1" customHeight="1" x14ac:dyDescent="0.2">
      <c r="AB328" s="49" t="s">
        <v>449</v>
      </c>
      <c r="AC328" s="49" t="s">
        <v>403</v>
      </c>
      <c r="AD328" s="49"/>
    </row>
    <row r="329" spans="28:30" ht="12.75" hidden="1" customHeight="1" x14ac:dyDescent="0.2">
      <c r="AB329" s="49" t="s">
        <v>104</v>
      </c>
      <c r="AC329" s="49" t="s">
        <v>91</v>
      </c>
      <c r="AD329" s="49"/>
    </row>
    <row r="330" spans="28:30" ht="12.75" hidden="1" customHeight="1" x14ac:dyDescent="0.2">
      <c r="AB330" s="49" t="s">
        <v>256</v>
      </c>
      <c r="AC330" s="49" t="s">
        <v>249</v>
      </c>
      <c r="AD330" s="49"/>
    </row>
    <row r="331" spans="28:30" ht="12.75" hidden="1" customHeight="1" x14ac:dyDescent="0.2">
      <c r="AB331" s="49" t="s">
        <v>227</v>
      </c>
      <c r="AC331" s="49" t="s">
        <v>218</v>
      </c>
      <c r="AD331" s="49"/>
    </row>
    <row r="332" spans="28:30" ht="12.75" hidden="1" customHeight="1" x14ac:dyDescent="0.2">
      <c r="AB332" s="49" t="s">
        <v>433</v>
      </c>
      <c r="AC332" s="49" t="s">
        <v>403</v>
      </c>
      <c r="AD332" s="49"/>
    </row>
    <row r="333" spans="28:30" ht="12.75" hidden="1" customHeight="1" x14ac:dyDescent="0.2">
      <c r="AB333" s="49" t="s">
        <v>277</v>
      </c>
      <c r="AC333" s="49" t="s">
        <v>249</v>
      </c>
      <c r="AD333" s="49"/>
    </row>
    <row r="334" spans="28:30" ht="12.75" hidden="1" customHeight="1" x14ac:dyDescent="0.2">
      <c r="AB334" s="49" t="s">
        <v>200</v>
      </c>
      <c r="AC334" s="49" t="s">
        <v>184</v>
      </c>
      <c r="AD334" s="49"/>
    </row>
    <row r="335" spans="28:30" ht="12.75" hidden="1" customHeight="1" x14ac:dyDescent="0.2">
      <c r="AB335" s="49" t="s">
        <v>278</v>
      </c>
      <c r="AC335" s="49" t="s">
        <v>249</v>
      </c>
      <c r="AD335" s="49"/>
    </row>
    <row r="336" spans="28:30" ht="12.75" hidden="1" customHeight="1" x14ac:dyDescent="0.2">
      <c r="AB336" s="49" t="s">
        <v>216</v>
      </c>
      <c r="AC336" s="49" t="s">
        <v>184</v>
      </c>
      <c r="AD336" s="49"/>
    </row>
    <row r="337" spans="28:30" ht="12.75" hidden="1" customHeight="1" x14ac:dyDescent="0.2">
      <c r="AB337" s="49" t="s">
        <v>257</v>
      </c>
      <c r="AC337" s="49" t="s">
        <v>249</v>
      </c>
      <c r="AD337" s="49"/>
    </row>
    <row r="338" spans="28:30" ht="12.75" hidden="1" customHeight="1" x14ac:dyDescent="0.2">
      <c r="AB338" s="49" t="s">
        <v>182</v>
      </c>
      <c r="AC338" s="49" t="s">
        <v>145</v>
      </c>
      <c r="AD338" s="49"/>
    </row>
    <row r="339" spans="28:30" ht="12.75" hidden="1" customHeight="1" x14ac:dyDescent="0.2">
      <c r="AB339" s="49" t="s">
        <v>402</v>
      </c>
      <c r="AC339" s="49" t="s">
        <v>403</v>
      </c>
      <c r="AD339" s="49"/>
    </row>
    <row r="340" spans="28:30" ht="12.75" hidden="1" customHeight="1" x14ac:dyDescent="0.2">
      <c r="AB340" s="49" t="s">
        <v>176</v>
      </c>
      <c r="AC340" s="49" t="s">
        <v>145</v>
      </c>
      <c r="AD340" s="49"/>
    </row>
    <row r="341" spans="28:30" ht="12.75" hidden="1" customHeight="1" x14ac:dyDescent="0.2">
      <c r="AB341" s="49" t="s">
        <v>97</v>
      </c>
      <c r="AC341" s="49" t="s">
        <v>91</v>
      </c>
      <c r="AD341" s="49"/>
    </row>
    <row r="342" spans="28:30" ht="12.75" hidden="1" customHeight="1" x14ac:dyDescent="0.2">
      <c r="AB342" s="49" t="s">
        <v>450</v>
      </c>
      <c r="AC342" s="49" t="s">
        <v>403</v>
      </c>
      <c r="AD342" s="49"/>
    </row>
    <row r="343" spans="28:30" ht="12.75" hidden="1" customHeight="1" x14ac:dyDescent="0.2">
      <c r="AB343" s="49" t="s">
        <v>217</v>
      </c>
      <c r="AC343" s="49" t="s">
        <v>218</v>
      </c>
      <c r="AD343" s="49"/>
    </row>
    <row r="344" spans="28:30" ht="12.75" hidden="1" customHeight="1" x14ac:dyDescent="0.2">
      <c r="AB344" s="49" t="s">
        <v>258</v>
      </c>
      <c r="AC344" s="49" t="s">
        <v>249</v>
      </c>
      <c r="AD344" s="49"/>
    </row>
    <row r="345" spans="28:30" ht="12.75" hidden="1" customHeight="1" x14ac:dyDescent="0.2">
      <c r="AB345" s="49" t="s">
        <v>98</v>
      </c>
      <c r="AC345" s="49" t="s">
        <v>91</v>
      </c>
      <c r="AD345" s="49"/>
    </row>
    <row r="346" spans="28:30" ht="12.75" hidden="1" customHeight="1" x14ac:dyDescent="0.2">
      <c r="AB346" s="49" t="s">
        <v>303</v>
      </c>
      <c r="AC346" s="49" t="s">
        <v>304</v>
      </c>
      <c r="AD346" s="49"/>
    </row>
    <row r="347" spans="28:30" ht="12.75" hidden="1" customHeight="1" x14ac:dyDescent="0.2">
      <c r="AB347" s="49" t="s">
        <v>238</v>
      </c>
      <c r="AC347" s="49" t="s">
        <v>218</v>
      </c>
      <c r="AD347" s="49"/>
    </row>
    <row r="348" spans="28:30" ht="12.75" hidden="1" customHeight="1" x14ac:dyDescent="0.2">
      <c r="AB348" s="49" t="s">
        <v>320</v>
      </c>
      <c r="AC348" s="49" t="s">
        <v>304</v>
      </c>
      <c r="AD348" s="49"/>
    </row>
    <row r="349" spans="28:30" ht="12.75" hidden="1" customHeight="1" x14ac:dyDescent="0.2">
      <c r="AB349" s="49" t="s">
        <v>116</v>
      </c>
      <c r="AC349" s="49" t="s">
        <v>113</v>
      </c>
      <c r="AD349" s="49"/>
    </row>
    <row r="350" spans="28:30" ht="12.75" hidden="1" customHeight="1" x14ac:dyDescent="0.2">
      <c r="AB350" s="49" t="s">
        <v>440</v>
      </c>
      <c r="AC350" s="49" t="s">
        <v>403</v>
      </c>
      <c r="AD350" s="49"/>
    </row>
    <row r="351" spans="28:30" ht="12.75" hidden="1" customHeight="1" x14ac:dyDescent="0.2">
      <c r="AB351" s="49" t="s">
        <v>399</v>
      </c>
      <c r="AC351" s="49" t="s">
        <v>392</v>
      </c>
      <c r="AD351" s="49"/>
    </row>
    <row r="352" spans="28:30" ht="12.75" hidden="1" customHeight="1" x14ac:dyDescent="0.2">
      <c r="AB352" s="49" t="s">
        <v>267</v>
      </c>
      <c r="AC352" s="49" t="s">
        <v>249</v>
      </c>
      <c r="AD352" s="49"/>
    </row>
    <row r="353" spans="28:30" ht="12.75" hidden="1" customHeight="1" x14ac:dyDescent="0.2">
      <c r="AB353" s="49" t="s">
        <v>105</v>
      </c>
      <c r="AC353" s="49" t="s">
        <v>91</v>
      </c>
      <c r="AD353" s="49"/>
    </row>
    <row r="354" spans="28:30" ht="12.75" hidden="1" customHeight="1" x14ac:dyDescent="0.2">
      <c r="AB354" s="49" t="s">
        <v>321</v>
      </c>
      <c r="AC354" s="49" t="s">
        <v>304</v>
      </c>
      <c r="AD354" s="49"/>
    </row>
    <row r="355" spans="28:30" ht="12.75" hidden="1" customHeight="1" x14ac:dyDescent="0.2">
      <c r="AB355" s="49" t="s">
        <v>259</v>
      </c>
      <c r="AC355" s="49" t="s">
        <v>249</v>
      </c>
      <c r="AD355" s="49"/>
    </row>
    <row r="356" spans="28:30" ht="12.75" hidden="1" customHeight="1" x14ac:dyDescent="0.2">
      <c r="AB356" s="49" t="s">
        <v>401</v>
      </c>
      <c r="AC356" s="49" t="s">
        <v>392</v>
      </c>
      <c r="AD356" s="49"/>
    </row>
    <row r="357" spans="28:30" ht="12.75" hidden="1" customHeight="1" x14ac:dyDescent="0.2">
      <c r="AB357" s="49" t="s">
        <v>388</v>
      </c>
      <c r="AC357" s="49" t="s">
        <v>381</v>
      </c>
      <c r="AD357" s="49"/>
    </row>
    <row r="358" spans="28:30" ht="12.75" hidden="1" customHeight="1" x14ac:dyDescent="0.2">
      <c r="AB358" s="49" t="s">
        <v>334</v>
      </c>
      <c r="AC358" s="49" t="s">
        <v>304</v>
      </c>
      <c r="AD358" s="49"/>
    </row>
    <row r="359" spans="28:30" ht="12.75" hidden="1" customHeight="1" x14ac:dyDescent="0.2">
      <c r="AB359" s="49" t="s">
        <v>301</v>
      </c>
      <c r="AC359" s="49" t="s">
        <v>2573</v>
      </c>
      <c r="AD359" s="49"/>
    </row>
    <row r="360" spans="28:30" ht="12.75" hidden="1" customHeight="1" x14ac:dyDescent="0.2">
      <c r="AB360" s="49" t="s">
        <v>279</v>
      </c>
      <c r="AC360" s="49" t="s">
        <v>249</v>
      </c>
      <c r="AD360" s="49"/>
    </row>
    <row r="361" spans="28:30" ht="12.75" hidden="1" customHeight="1" x14ac:dyDescent="0.2">
      <c r="AB361" s="49" t="s">
        <v>336</v>
      </c>
      <c r="AC361" s="49" t="s">
        <v>337</v>
      </c>
      <c r="AD361" s="49"/>
    </row>
    <row r="362" spans="28:30" ht="12.75" hidden="1" customHeight="1" x14ac:dyDescent="0.2">
      <c r="AB362" s="49" t="s">
        <v>120</v>
      </c>
      <c r="AC362" s="49" t="s">
        <v>113</v>
      </c>
      <c r="AD362" s="49"/>
    </row>
    <row r="363" spans="28:30" ht="12.75" hidden="1" customHeight="1" x14ac:dyDescent="0.2">
      <c r="AB363" s="49" t="s">
        <v>144</v>
      </c>
      <c r="AC363" s="49" t="s">
        <v>145</v>
      </c>
      <c r="AD363" s="49"/>
    </row>
    <row r="364" spans="28:30" ht="12.75" hidden="1" customHeight="1" x14ac:dyDescent="0.2">
      <c r="AB364" s="49" t="s">
        <v>239</v>
      </c>
      <c r="AC364" s="49" t="s">
        <v>218</v>
      </c>
      <c r="AD364" s="49"/>
    </row>
    <row r="365" spans="28:30" ht="12.75" hidden="1" customHeight="1" x14ac:dyDescent="0.2">
      <c r="AB365" s="49" t="s">
        <v>335</v>
      </c>
      <c r="AC365" s="49" t="s">
        <v>304</v>
      </c>
      <c r="AD365" s="49"/>
    </row>
    <row r="366" spans="28:30" ht="12.75" hidden="1" customHeight="1" x14ac:dyDescent="0.2">
      <c r="AB366" s="49" t="s">
        <v>134</v>
      </c>
      <c r="AC366" s="49" t="s">
        <v>129</v>
      </c>
      <c r="AD366" s="49"/>
    </row>
    <row r="367" spans="28:30" ht="12.75" hidden="1" customHeight="1" x14ac:dyDescent="0.2">
      <c r="AB367" s="49" t="s">
        <v>322</v>
      </c>
      <c r="AC367" s="49" t="s">
        <v>304</v>
      </c>
      <c r="AD367" s="49"/>
    </row>
    <row r="368" spans="28:30" ht="12.75" hidden="1" customHeight="1" x14ac:dyDescent="0.2">
      <c r="AB368" s="49" t="s">
        <v>246</v>
      </c>
      <c r="AC368" s="49" t="s">
        <v>218</v>
      </c>
      <c r="AD368" s="49"/>
    </row>
    <row r="369" spans="28:30" ht="12.75" hidden="1" customHeight="1" x14ac:dyDescent="0.2">
      <c r="AB369" s="49" t="s">
        <v>152</v>
      </c>
      <c r="AC369" s="49" t="s">
        <v>145</v>
      </c>
      <c r="AD369" s="49"/>
    </row>
    <row r="370" spans="28:30" ht="12.75" hidden="1" customHeight="1" x14ac:dyDescent="0.2">
      <c r="AB370" s="49" t="s">
        <v>323</v>
      </c>
      <c r="AC370" s="49" t="s">
        <v>304</v>
      </c>
      <c r="AD370" s="49"/>
    </row>
    <row r="371" spans="28:30" ht="12.75" hidden="1" customHeight="1" x14ac:dyDescent="0.2">
      <c r="AB371" s="49" t="s">
        <v>153</v>
      </c>
      <c r="AC371" s="49" t="s">
        <v>145</v>
      </c>
      <c r="AD371" s="49"/>
    </row>
    <row r="372" spans="28:30" ht="12.75" hidden="1" customHeight="1" x14ac:dyDescent="0.2">
      <c r="AB372" s="49" t="s">
        <v>434</v>
      </c>
      <c r="AC372" s="49" t="s">
        <v>403</v>
      </c>
      <c r="AD372" s="49"/>
    </row>
    <row r="373" spans="28:30" ht="12.75" hidden="1" customHeight="1" x14ac:dyDescent="0.2">
      <c r="AB373" s="49" t="s">
        <v>247</v>
      </c>
      <c r="AC373" s="49" t="s">
        <v>218</v>
      </c>
      <c r="AD373" s="49"/>
    </row>
    <row r="374" spans="28:30" ht="12.75" hidden="1" customHeight="1" x14ac:dyDescent="0.2">
      <c r="AB374" s="49" t="s">
        <v>280</v>
      </c>
      <c r="AC374" s="49" t="s">
        <v>249</v>
      </c>
      <c r="AD374" s="49"/>
    </row>
    <row r="375" spans="28:30" ht="12.75" hidden="1" customHeight="1" x14ac:dyDescent="0.2">
      <c r="AB375" s="49" t="s">
        <v>302</v>
      </c>
      <c r="AC375" s="49" t="s">
        <v>2573</v>
      </c>
      <c r="AD375" s="49"/>
    </row>
    <row r="376" spans="28:30" ht="12.75" hidden="1" customHeight="1" x14ac:dyDescent="0.2">
      <c r="AB376" s="49" t="s">
        <v>163</v>
      </c>
      <c r="AC376" s="49" t="s">
        <v>145</v>
      </c>
      <c r="AD376" s="49"/>
    </row>
  </sheetData>
  <sortState xmlns:xlrd2="http://schemas.microsoft.com/office/spreadsheetml/2017/richdata2" ref="V26:X59">
    <sortCondition ref="V59"/>
  </sortState>
  <dataConsolidate/>
  <mergeCells count="69">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 ref="E20:H20"/>
    <mergeCell ref="K20:N20"/>
    <mergeCell ref="E21:H21"/>
    <mergeCell ref="D23:N23"/>
    <mergeCell ref="E27:H27"/>
    <mergeCell ref="K21:N21"/>
    <mergeCell ref="D29:J29"/>
    <mergeCell ref="K22:N22"/>
    <mergeCell ref="E35:H35"/>
    <mergeCell ref="K35:N35"/>
    <mergeCell ref="D31:D34"/>
    <mergeCell ref="D24:N26"/>
    <mergeCell ref="E36:H36"/>
    <mergeCell ref="K36:N36"/>
    <mergeCell ref="E31:H34"/>
    <mergeCell ref="E39:I39"/>
    <mergeCell ref="K39:N39"/>
    <mergeCell ref="J31:J33"/>
    <mergeCell ref="E42:H42"/>
    <mergeCell ref="E52:F52"/>
    <mergeCell ref="K40:N40"/>
    <mergeCell ref="E40:H40"/>
    <mergeCell ref="J37:J38"/>
    <mergeCell ref="E41:H41"/>
    <mergeCell ref="K41:N41"/>
    <mergeCell ref="I43:N43"/>
    <mergeCell ref="E62:F62"/>
    <mergeCell ref="E64:F64"/>
    <mergeCell ref="E65:F65"/>
    <mergeCell ref="E55:F55"/>
    <mergeCell ref="E56:F56"/>
    <mergeCell ref="E57:F57"/>
    <mergeCell ref="H65:N65"/>
    <mergeCell ref="H64:N64"/>
    <mergeCell ref="H62:N62"/>
    <mergeCell ref="H57:N57"/>
    <mergeCell ref="H56:N56"/>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s>
  <conditionalFormatting sqref="H8 F16 F18 K17:N18 E20:H21 E39:I39 E42 E31 E35 K38:N38 K37 K31:K32 N32:N33 K32:L33 K10 E40:H40">
    <cfRule type="containsBlanks" dxfId="131" priority="59">
      <formula>LEN(TRIM(E8))=0</formula>
    </cfRule>
  </conditionalFormatting>
  <conditionalFormatting sqref="K20">
    <cfRule type="cellIs" dxfId="130" priority="55" operator="equal">
      <formula>0</formula>
    </cfRule>
  </conditionalFormatting>
  <conditionalFormatting sqref="E41">
    <cfRule type="cellIs" dxfId="129" priority="47" operator="equal">
      <formula>0</formula>
    </cfRule>
  </conditionalFormatting>
  <conditionalFormatting sqref="K39">
    <cfRule type="cellIs" dxfId="128" priority="46" operator="equal">
      <formula>0</formula>
    </cfRule>
  </conditionalFormatting>
  <conditionalFormatting sqref="L31">
    <cfRule type="cellIs" dxfId="127" priority="43" operator="equal">
      <formula>0</formula>
    </cfRule>
  </conditionalFormatting>
  <conditionalFormatting sqref="N31">
    <cfRule type="cellIs" dxfId="126" priority="42" operator="equal">
      <formula>0</formula>
    </cfRule>
  </conditionalFormatting>
  <conditionalFormatting sqref="E27">
    <cfRule type="cellIs" dxfId="125" priority="38" operator="equal">
      <formula>0</formula>
    </cfRule>
  </conditionalFormatting>
  <conditionalFormatting sqref="E36">
    <cfRule type="cellIs" dxfId="124" priority="37" operator="equal">
      <formula>0</formula>
    </cfRule>
  </conditionalFormatting>
  <conditionalFormatting sqref="O31:O33 O18 O22">
    <cfRule type="cellIs" dxfId="123" priority="36" operator="equal">
      <formula>"ERROR"</formula>
    </cfRule>
  </conditionalFormatting>
  <conditionalFormatting sqref="AL8">
    <cfRule type="expression" dxfId="122" priority="22">
      <formula>AND($AI$8="")</formula>
    </cfRule>
  </conditionalFormatting>
  <conditionalFormatting sqref="F12">
    <cfRule type="containsBlanks" dxfId="121" priority="16">
      <formula>LEN(TRIM(F12))=0</formula>
    </cfRule>
  </conditionalFormatting>
  <conditionalFormatting sqref="F10">
    <cfRule type="containsBlanks" dxfId="120" priority="15">
      <formula>LEN(TRIM(F10))=0</formula>
    </cfRule>
  </conditionalFormatting>
  <conditionalFormatting sqref="K22:N22">
    <cfRule type="containsBlanks" dxfId="119" priority="13">
      <formula>LEN(TRIM(K22))=0</formula>
    </cfRule>
  </conditionalFormatting>
  <conditionalFormatting sqref="K13">
    <cfRule type="containsBlanks" dxfId="118" priority="12">
      <formula>LEN(TRIM(K13))=0</formula>
    </cfRule>
  </conditionalFormatting>
  <conditionalFormatting sqref="K35:N35">
    <cfRule type="containsBlanks" dxfId="117" priority="11">
      <formula>LEN(TRIM(K35))=0</formula>
    </cfRule>
  </conditionalFormatting>
  <conditionalFormatting sqref="K36:N36">
    <cfRule type="containsBlanks" dxfId="116" priority="10">
      <formula>LEN(TRIM(K36))=0</formula>
    </cfRule>
  </conditionalFormatting>
  <conditionalFormatting sqref="K41:N41">
    <cfRule type="containsBlanks" dxfId="115" priority="8">
      <formula>LEN(TRIM(K41))=0</formula>
    </cfRule>
  </conditionalFormatting>
  <conditionalFormatting sqref="K42:N42">
    <cfRule type="containsBlanks" dxfId="114" priority="7">
      <formula>LEN(TRIM(K42))=0</formula>
    </cfRule>
  </conditionalFormatting>
  <conditionalFormatting sqref="K40:N40">
    <cfRule type="containsBlanks" dxfId="113" priority="6">
      <formula>LEN(TRIM(K40))=0</formula>
    </cfRule>
  </conditionalFormatting>
  <conditionalFormatting sqref="K8">
    <cfRule type="containsBlanks" dxfId="112" priority="5">
      <formula>LEN(TRIM(K8))=0</formula>
    </cfRule>
  </conditionalFormatting>
  <conditionalFormatting sqref="K34">
    <cfRule type="containsBlanks" dxfId="111" priority="4">
      <formula>LEN(TRIM(K34))=0</formula>
    </cfRule>
  </conditionalFormatting>
  <conditionalFormatting sqref="K12">
    <cfRule type="containsBlanks" dxfId="110" priority="3">
      <formula>LEN(TRIM(K12))=0</formula>
    </cfRule>
  </conditionalFormatting>
  <conditionalFormatting sqref="K21:N21">
    <cfRule type="containsBlanks" dxfId="109" priority="2">
      <formula>LEN(TRIM(K21))=0</formula>
    </cfRule>
  </conditionalFormatting>
  <conditionalFormatting sqref="K14">
    <cfRule type="containsBlanks" dxfId="108" priority="1">
      <formula>LEN(TRIM(K14))=0</formula>
    </cfRule>
  </conditionalFormatting>
  <dataValidations count="15">
    <dataValidation type="list" allowBlank="1" showInputMessage="1" showErrorMessage="1" sqref="E9" xr:uid="{00000000-0002-0000-0000-000000000000}">
      <formula1>$S$5:$S$15</formula1>
      <formula2>0</formula2>
    </dataValidation>
    <dataValidation type="list" allowBlank="1" showInputMessage="1" showErrorMessage="1" sqref="E27:H27" xr:uid="{00000000-0002-0000-0000-000001000000}">
      <formula1>"Crédito Hipotecario, Valor de Propiedad, Refinanciamiento"</formula1>
    </dataValidation>
    <dataValidation type="list" allowBlank="1" showInputMessage="1" showErrorMessage="1" sqref="K35:N35" xr:uid="{00000000-0002-0000-0000-000002000000}">
      <formula1>ListaTipoPropiedad</formula1>
      <formula2>0</formula2>
    </dataValidation>
    <dataValidation type="list" allowBlank="1" showInputMessage="1" showErrorMessage="1" sqref="K36:N36" xr:uid="{00000000-0002-0000-0000-000003000000}">
      <formula1>"Nuevo,Usado"</formula1>
      <formula2>0</formula2>
    </dataValidation>
    <dataValidation type="list" allowBlank="1" showInputMessage="1" showErrorMessage="1" sqref="K42:N42" xr:uid="{00000000-0002-0000-0000-000004000000}">
      <formula1>"Presenta,No Presenta"</formula1>
      <formula2>0</formula2>
    </dataValidation>
    <dataValidation type="list" allowBlank="1" showInputMessage="1" showErrorMessage="1" sqref="E36" xr:uid="{00000000-0002-0000-0000-000005000000}">
      <formula1>ListaComunas</formula1>
      <formula2>0</formula2>
    </dataValidation>
    <dataValidation type="list" allowBlank="1" showInputMessage="1" showErrorMessage="1" sqref="E42:H42" xr:uid="{00000000-0002-0000-0000-000006000000}">
      <formula1>"Habitado,No habitado,Arrendado"</formula1>
    </dataValidation>
    <dataValidation type="list" allowBlank="1" showInputMessage="1" showErrorMessage="1" sqref="K40:N40" xr:uid="{00000000-0002-0000-0000-000007000000}">
      <formula1>$AE$25:$AE$40</formula1>
    </dataValidation>
    <dataValidation allowBlank="1" showInputMessage="1" showErrorMessage="1" prompt="Asignar el número interno para este cliente" sqref="H8:H9" xr:uid="{00000000-0002-0000-0000-000008000000}"/>
    <dataValidation type="list" allowBlank="1" showInputMessage="1" sqref="F12:H12" xr:uid="{00000000-0002-0000-0000-000009000000}">
      <formula1>ListaRevisor</formula1>
    </dataValidation>
    <dataValidation type="list" allowBlank="1" showInputMessage="1" showErrorMessage="1" sqref="F10:H10" xr:uid="{00000000-0002-0000-0000-00000A000000}">
      <formula1>$Y$25:$Y$40</formula1>
    </dataValidation>
    <dataValidation type="list" allowBlank="1" showInputMessage="1" showErrorMessage="1" sqref="K8:N8" xr:uid="{00000000-0002-0000-0000-00000B000000}">
      <formula1>$V$25:$V$64</formula1>
    </dataValidation>
    <dataValidation type="list" allowBlank="1" showInputMessage="1" showErrorMessage="1" sqref="K34" xr:uid="{00000000-0002-0000-0000-00000C000000}">
      <formula1>"Si,No"</formula1>
    </dataValidation>
    <dataValidation type="list" showInputMessage="1" showErrorMessage="1" sqref="AL8" xr:uid="{00000000-0002-0000-0000-00000D000000}">
      <formula1>",Si,No"</formula1>
    </dataValidation>
    <dataValidation type="list" allowBlank="1" showInputMessage="1" showErrorMessage="1" sqref="E40:H40" xr:uid="{00000000-0002-0000-0000-00000E00000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9525</xdr:colOff>
                <xdr:row>34</xdr:row>
                <xdr:rowOff>200025</xdr:rowOff>
              </from>
              <to>
                <xdr:col>8</xdr:col>
                <xdr:colOff>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39997558519241921"/>
    <pageSetUpPr fitToPage="1"/>
  </sheetPr>
  <dimension ref="A1:AMP86"/>
  <sheetViews>
    <sheetView showGridLines="0" topLeftCell="A16" zoomScale="145" zoomScaleNormal="145" workbookViewId="0">
      <selection activeCell="AR39" sqref="AR39:AT39"/>
    </sheetView>
  </sheetViews>
  <sheetFormatPr baseColWidth="10" defaultColWidth="0" defaultRowHeight="12.75" zeroHeight="1" x14ac:dyDescent="0.2"/>
  <cols>
    <col min="1" max="1" width="1.85546875" customWidth="1"/>
    <col min="2" max="3" width="1.7109375" customWidth="1"/>
    <col min="4" max="4" width="3.5703125" customWidth="1"/>
    <col min="5" max="5" width="1.140625" customWidth="1"/>
    <col min="6" max="6" width="3.42578125" customWidth="1"/>
    <col min="7" max="7" width="1.28515625" customWidth="1"/>
    <col min="8" max="8" width="2.140625" customWidth="1"/>
    <col min="9" max="9" width="1.42578125" customWidth="1"/>
    <col min="10" max="10" width="1.7109375" customWidth="1"/>
    <col min="11" max="11" width="2.5703125" customWidth="1"/>
    <col min="12" max="12" width="2.85546875" customWidth="1"/>
    <col min="13" max="13" width="2.42578125" customWidth="1"/>
    <col min="14" max="14" width="1.7109375" customWidth="1"/>
    <col min="15" max="18" width="1.42578125" customWidth="1"/>
    <col min="19" max="19" width="1.5703125" customWidth="1"/>
    <col min="20" max="20" width="2.85546875" customWidth="1"/>
    <col min="21" max="21" width="1.140625" customWidth="1"/>
    <col min="22" max="22" width="2.140625" customWidth="1"/>
    <col min="23" max="23" width="1.28515625" customWidth="1"/>
    <col min="24" max="24" width="1.42578125" customWidth="1"/>
    <col min="25" max="25" width="2.7109375" customWidth="1"/>
    <col min="26" max="26" width="2" customWidth="1"/>
    <col min="27" max="27" width="2.140625" customWidth="1"/>
    <col min="28" max="28" width="3.85546875" customWidth="1"/>
    <col min="29" max="29" width="4.140625" customWidth="1"/>
    <col min="30" max="31" width="2" customWidth="1"/>
    <col min="32" max="32" width="1.85546875" customWidth="1"/>
    <col min="33" max="33" width="2.7109375" customWidth="1"/>
    <col min="34" max="34" width="1.28515625" customWidth="1"/>
    <col min="35" max="35" width="1.42578125" customWidth="1"/>
    <col min="36" max="36" width="2.85546875" customWidth="1"/>
    <col min="37" max="37" width="1.140625" customWidth="1"/>
    <col min="38" max="38" width="2.140625" customWidth="1"/>
    <col min="39" max="39" width="1.28515625" customWidth="1"/>
    <col min="40" max="40" width="1.7109375" customWidth="1"/>
    <col min="41" max="41" width="2" customWidth="1"/>
    <col min="42" max="42" width="1.42578125" customWidth="1"/>
    <col min="43" max="43" width="1.7109375" customWidth="1"/>
    <col min="44" max="44" width="2.7109375" customWidth="1"/>
    <col min="45" max="45" width="2" customWidth="1"/>
    <col min="46" max="46" width="1" customWidth="1"/>
    <col min="47" max="47" width="1.5703125" customWidth="1"/>
    <col min="48" max="48" width="2.42578125" customWidth="1"/>
    <col min="49" max="49" width="2" customWidth="1"/>
    <col min="50" max="50" width="1.7109375" customWidth="1"/>
    <col min="51" max="51" width="2.140625" customWidth="1"/>
    <col min="52" max="52" width="1.7109375" customWidth="1"/>
    <col min="53" max="53" width="1.85546875" customWidth="1"/>
    <col min="54" max="54" width="2.140625" customWidth="1"/>
    <col min="55" max="55" width="1.7109375" customWidth="1"/>
    <col min="56" max="57" width="1.28515625" customWidth="1"/>
    <col min="58" max="58" width="0.85546875" customWidth="1"/>
    <col min="59" max="59" width="3.28515625" customWidth="1"/>
    <col min="60" max="60" width="2" customWidth="1"/>
    <col min="61" max="61" width="2.28515625" customWidth="1"/>
    <col min="62" max="62" width="1" customWidth="1"/>
    <col min="63" max="63" width="1.42578125" customWidth="1"/>
    <col min="64" max="64" width="1.28515625" customWidth="1"/>
    <col min="65" max="65" width="1.42578125" customWidth="1"/>
    <col min="66" max="67" width="2.140625" customWidth="1"/>
    <col min="68" max="68" width="1.140625" customWidth="1"/>
    <col min="69" max="69" width="1.85546875" bestFit="1" customWidth="1"/>
    <col min="70" max="70" width="1.28515625" customWidth="1"/>
    <col min="71" max="73" width="1.5703125" customWidth="1"/>
    <col min="74" max="74" width="9" customWidth="1"/>
    <col min="75" max="75" width="10.5703125" hidden="1" customWidth="1"/>
    <col min="76" max="76" width="9.42578125" hidden="1" customWidth="1"/>
    <col min="77" max="77" width="19.140625" style="559" customWidth="1"/>
    <col min="78" max="104" width="11.42578125" style="71" hidden="1" customWidth="1"/>
    <col min="105" max="105" width="12.42578125" style="71" customWidth="1"/>
    <col min="106" max="106" width="14.85546875" style="71" customWidth="1"/>
    <col min="107" max="107" width="5.42578125" style="71" bestFit="1" customWidth="1"/>
    <col min="108" max="108" width="5.28515625" style="71" bestFit="1" customWidth="1"/>
    <col min="109" max="109" width="4.42578125" style="71" bestFit="1" customWidth="1"/>
    <col min="110" max="110" width="4.85546875" style="71" bestFit="1" customWidth="1"/>
    <col min="111" max="1028" width="11.42578125" style="71" hidden="1" customWidth="1"/>
    <col min="1029" max="1030" width="11.42578125" hidden="1" customWidth="1"/>
    <col min="1031" max="16384" width="9.140625" hidden="1"/>
  </cols>
  <sheetData>
    <row r="1" spans="1:1027" ht="20.25" x14ac:dyDescent="0.3">
      <c r="B1" s="72" t="s">
        <v>459</v>
      </c>
      <c r="C1" s="73"/>
      <c r="D1" s="73"/>
      <c r="E1" s="73"/>
      <c r="F1" s="73"/>
      <c r="G1" s="74"/>
      <c r="H1" s="73"/>
      <c r="I1" s="73"/>
      <c r="J1" s="73"/>
      <c r="K1" s="75"/>
      <c r="L1" s="75"/>
      <c r="M1" s="951" t="s">
        <v>1925</v>
      </c>
      <c r="N1" s="887"/>
      <c r="O1" s="887"/>
      <c r="P1" s="887"/>
      <c r="Q1" s="887"/>
      <c r="R1" s="887"/>
      <c r="S1" s="887"/>
      <c r="T1" s="948"/>
      <c r="U1" s="948"/>
      <c r="V1" s="887"/>
      <c r="W1" s="949"/>
      <c r="X1" s="887"/>
      <c r="Y1" s="949"/>
      <c r="Z1" s="949"/>
      <c r="AA1" s="76"/>
      <c r="AB1" s="950" t="s">
        <v>1875</v>
      </c>
      <c r="AC1" s="899"/>
      <c r="AD1" s="899"/>
      <c r="AE1" s="900"/>
      <c r="AF1" s="899"/>
      <c r="AG1" s="899"/>
      <c r="AH1" s="899"/>
      <c r="AI1" s="899"/>
      <c r="AJ1" s="899"/>
      <c r="AK1" s="899"/>
      <c r="AL1" s="899"/>
      <c r="AM1" s="899"/>
      <c r="AN1" s="899"/>
      <c r="AO1" s="899"/>
      <c r="AP1" s="899"/>
      <c r="AQ1" s="899"/>
      <c r="AR1" s="899"/>
      <c r="AS1" s="899"/>
      <c r="AT1" s="899"/>
      <c r="AU1" s="899"/>
      <c r="AV1" s="899"/>
      <c r="AW1" s="899"/>
      <c r="AX1" s="899"/>
      <c r="AY1" s="899"/>
      <c r="AZ1" s="901"/>
      <c r="BA1" s="901"/>
      <c r="BB1" s="75"/>
      <c r="BC1" s="75"/>
      <c r="BD1" s="75"/>
      <c r="BE1" s="75"/>
      <c r="BF1" s="75"/>
      <c r="BG1" s="75"/>
      <c r="BH1" s="77"/>
      <c r="BI1" s="77"/>
      <c r="BJ1" s="77"/>
      <c r="BK1" s="77"/>
      <c r="BL1" s="78"/>
      <c r="BM1" s="77"/>
      <c r="BN1" s="77"/>
      <c r="BO1" s="77"/>
      <c r="BP1" s="77"/>
      <c r="BQ1" s="77"/>
      <c r="BR1" s="77"/>
      <c r="BS1" s="77"/>
      <c r="BT1" s="77"/>
      <c r="BU1" s="77"/>
      <c r="BV1" s="77"/>
      <c r="BW1" s="77"/>
      <c r="BX1" s="77"/>
      <c r="BY1" s="555"/>
      <c r="BZ1" s="71">
        <f>+IF(AU3="DEPARTAMENTO",1,IF(AU3="EDIFICIO DEPARTAMENTOS",1,IF(AU3="EDIFICIO",1,0)))</f>
        <v>1</v>
      </c>
      <c r="CA1"/>
      <c r="CB1"/>
      <c r="CC1" s="71">
        <f>IF(AU3=0,1,VLOOKUP(AU3,CC6:CG19,5,0))</f>
        <v>0</v>
      </c>
      <c r="CD1"/>
      <c r="CE1"/>
      <c r="CF1"/>
      <c r="CG1"/>
      <c r="CH1"/>
      <c r="CI1"/>
      <c r="CJ1"/>
      <c r="CK1" s="80">
        <f>+BI63</f>
        <v>0</v>
      </c>
      <c r="CL1" s="80">
        <f>+BO63</f>
        <v>0</v>
      </c>
      <c r="CM1" s="81">
        <f>+BO71</f>
        <v>894.25</v>
      </c>
      <c r="CN1"/>
      <c r="CO1"/>
      <c r="CP1"/>
      <c r="CQ1" t="s">
        <v>505</v>
      </c>
      <c r="CR1"/>
      <c r="CS1" t="s">
        <v>1109</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25" x14ac:dyDescent="0.3">
      <c r="A2" s="82"/>
      <c r="B2" s="83"/>
      <c r="C2" s="75"/>
      <c r="D2" s="75"/>
      <c r="E2" s="75"/>
      <c r="F2" s="75"/>
      <c r="G2" s="84"/>
      <c r="H2" s="75"/>
      <c r="I2" s="75"/>
      <c r="J2" s="75"/>
      <c r="K2" s="75"/>
      <c r="L2" s="75"/>
      <c r="M2" s="951" t="s">
        <v>1926</v>
      </c>
      <c r="N2" s="887"/>
      <c r="O2" s="887"/>
      <c r="P2" s="887"/>
      <c r="Q2" s="887"/>
      <c r="R2" s="887"/>
      <c r="S2" s="887"/>
      <c r="T2" s="948"/>
      <c r="U2" s="948"/>
      <c r="V2" s="887"/>
      <c r="W2" s="949"/>
      <c r="X2" s="887"/>
      <c r="Y2" s="949"/>
      <c r="Z2" s="949"/>
      <c r="AA2" s="76"/>
      <c r="AB2" s="950" t="s">
        <v>1890</v>
      </c>
      <c r="AC2" s="899"/>
      <c r="AD2" s="899"/>
      <c r="AE2" s="900"/>
      <c r="AF2" s="899"/>
      <c r="AG2" s="899"/>
      <c r="AH2" s="899"/>
      <c r="AI2" s="899"/>
      <c r="AJ2" s="899"/>
      <c r="AK2" s="899"/>
      <c r="AL2" s="899"/>
      <c r="AM2" s="899"/>
      <c r="AN2" s="899"/>
      <c r="AO2" s="899"/>
      <c r="AP2" s="899"/>
      <c r="AQ2" s="899"/>
      <c r="AR2" s="899"/>
      <c r="AS2" s="899"/>
      <c r="AT2" s="899"/>
      <c r="AU2" s="899"/>
      <c r="AV2" s="899"/>
      <c r="AW2" s="899"/>
      <c r="AX2" s="899"/>
      <c r="AY2" s="899"/>
      <c r="AZ2" s="901"/>
      <c r="BA2" s="901"/>
      <c r="BB2" s="75"/>
      <c r="BC2" s="75"/>
      <c r="BD2" s="75"/>
      <c r="BE2" s="1200" t="s">
        <v>460</v>
      </c>
      <c r="BF2" s="1200"/>
      <c r="BG2" s="1200"/>
      <c r="BH2" s="1192" t="str">
        <f>CONCATENATE('FICHA SOLIC'!F8,'FICHA SOLIC'!H8)</f>
        <v>AGH -1548</v>
      </c>
      <c r="BI2" s="1192"/>
      <c r="BJ2" s="1192"/>
      <c r="BK2" s="1192"/>
      <c r="BL2" s="1192"/>
      <c r="BM2" s="1192"/>
      <c r="BN2" s="1192"/>
      <c r="BO2" s="1192"/>
      <c r="BP2" s="1192"/>
      <c r="BQ2" s="1192"/>
      <c r="BR2" s="1192"/>
      <c r="BS2" s="1192"/>
      <c r="BT2" s="857"/>
      <c r="BU2" s="79"/>
      <c r="BV2" s="79"/>
      <c r="BW2" s="79"/>
      <c r="BX2" s="79"/>
      <c r="BY2" s="555"/>
      <c r="BZ2"/>
      <c r="CA2"/>
      <c r="CB2"/>
      <c r="CC2" s="71">
        <f>SUM(CC5:CC5)</f>
        <v>2</v>
      </c>
      <c r="CD2"/>
      <c r="CE2" t="s">
        <v>1074</v>
      </c>
      <c r="CF2" t="str">
        <f>VLOOKUP(CE3,Zonificacion!A2:Z1125,8)</f>
        <v>NO</v>
      </c>
      <c r="CG2"/>
      <c r="CH2"/>
      <c r="CI2"/>
      <c r="CJ2"/>
      <c r="CK2"/>
      <c r="CL2"/>
      <c r="CM2"/>
      <c r="CN2"/>
      <c r="CO2"/>
      <c r="CP2"/>
      <c r="CQ2" t="s">
        <v>489</v>
      </c>
      <c r="CR2" t="s">
        <v>1104</v>
      </c>
      <c r="CS2" t="s">
        <v>1110</v>
      </c>
      <c r="CT2" t="s">
        <v>1535</v>
      </c>
      <c r="CU2"/>
      <c r="CV2" t="s">
        <v>1757</v>
      </c>
      <c r="CW2" t="s">
        <v>1758</v>
      </c>
      <c r="CX2"/>
      <c r="CY2" t="s">
        <v>1780</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ht="13.5" x14ac:dyDescent="0.25">
      <c r="A3" s="82"/>
      <c r="B3" s="85" t="s">
        <v>461</v>
      </c>
      <c r="C3" s="86"/>
      <c r="D3" s="86"/>
      <c r="E3" s="87" t="s">
        <v>462</v>
      </c>
      <c r="F3" s="1314" t="str">
        <f>+'FICHA SOLIC'!K17</f>
        <v>Janeth Patricia Cando Arias</v>
      </c>
      <c r="G3" s="1314"/>
      <c r="H3" s="1314"/>
      <c r="I3" s="1314"/>
      <c r="J3" s="1314"/>
      <c r="K3" s="1314"/>
      <c r="L3" s="1314"/>
      <c r="M3" s="1314"/>
      <c r="N3" s="1314"/>
      <c r="O3" s="1314"/>
      <c r="P3" s="1314"/>
      <c r="Q3" s="1314"/>
      <c r="R3" s="1314"/>
      <c r="S3" s="1314"/>
      <c r="T3" s="1314"/>
      <c r="U3" s="1314"/>
      <c r="V3" s="1314"/>
      <c r="W3" s="1314"/>
      <c r="X3" s="1314"/>
      <c r="Y3" s="1314"/>
      <c r="Z3" s="1314"/>
      <c r="AA3" s="86" t="s">
        <v>463</v>
      </c>
      <c r="AB3" s="88"/>
      <c r="AC3" s="88"/>
      <c r="AD3" s="87" t="s">
        <v>462</v>
      </c>
      <c r="AE3" s="1315" t="str">
        <f>+'FICHA SOLIC'!K18</f>
        <v>22.959.221-1</v>
      </c>
      <c r="AF3" s="1315"/>
      <c r="AG3" s="1315"/>
      <c r="AH3" s="1315"/>
      <c r="AI3" s="1315"/>
      <c r="AJ3" s="1315"/>
      <c r="AK3" s="1315"/>
      <c r="AL3" s="1315"/>
      <c r="AM3" s="1315"/>
      <c r="AN3" s="1315"/>
      <c r="AO3" s="1315"/>
      <c r="AP3" s="85" t="s">
        <v>464</v>
      </c>
      <c r="AQ3" s="89"/>
      <c r="AR3" s="89"/>
      <c r="AS3" s="86"/>
      <c r="AT3" s="87" t="s">
        <v>462</v>
      </c>
      <c r="AU3" s="1204" t="str">
        <f>+'FICHA SOLIC'!K35</f>
        <v>Departamento</v>
      </c>
      <c r="AV3" s="1204"/>
      <c r="AW3" s="1204"/>
      <c r="AX3" s="1204"/>
      <c r="AY3" s="1204"/>
      <c r="AZ3" s="1204"/>
      <c r="BA3" s="1204"/>
      <c r="BB3" s="1204" t="str">
        <f>'FICHA SOLIC'!K36</f>
        <v>Usado</v>
      </c>
      <c r="BC3" s="1204"/>
      <c r="BD3" s="1204"/>
      <c r="BE3" s="1204"/>
      <c r="BF3" s="86" t="s">
        <v>465</v>
      </c>
      <c r="BG3" s="89"/>
      <c r="BH3" s="89"/>
      <c r="BI3" s="89"/>
      <c r="BJ3" s="87" t="s">
        <v>462</v>
      </c>
      <c r="BK3" s="1316" t="s">
        <v>535</v>
      </c>
      <c r="BL3" s="1316"/>
      <c r="BM3" s="1316"/>
      <c r="BN3" s="1316"/>
      <c r="BO3" s="1316"/>
      <c r="BP3" s="1316"/>
      <c r="BQ3" s="1316"/>
      <c r="BR3" s="1316"/>
      <c r="BS3" s="1316"/>
      <c r="BT3" s="1316"/>
      <c r="BU3" s="1317"/>
      <c r="BV3" s="90"/>
      <c r="BW3" s="104"/>
      <c r="BX3" s="104"/>
      <c r="BY3" s="555"/>
      <c r="BZ3"/>
      <c r="CA3"/>
      <c r="CB3"/>
      <c r="CC3"/>
      <c r="CD3"/>
      <c r="CE3">
        <f>INDEX(Zonificacion!A1:A5000,MATCH(AU8&amp;AA21,Zonificacion!AE1:AE5000,0))</f>
        <v>497</v>
      </c>
      <c r="CF3"/>
      <c r="CG3"/>
      <c r="CH3"/>
      <c r="CI3"/>
      <c r="CJ3"/>
      <c r="CK3"/>
      <c r="CL3"/>
      <c r="CM3"/>
      <c r="CN3"/>
      <c r="CO3"/>
      <c r="CP3"/>
      <c r="CQ3" t="s">
        <v>699</v>
      </c>
      <c r="CR3" t="s">
        <v>1105</v>
      </c>
      <c r="CS3" t="s">
        <v>1111</v>
      </c>
      <c r="CT3" t="s">
        <v>1534</v>
      </c>
      <c r="CU3"/>
      <c r="CV3" t="s">
        <v>1759</v>
      </c>
      <c r="CW3" t="s">
        <v>1760</v>
      </c>
      <c r="CX3"/>
      <c r="CY3" t="s">
        <v>1781</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
      <c r="B4" s="91" t="s">
        <v>31</v>
      </c>
      <c r="C4" s="92"/>
      <c r="D4" s="92"/>
      <c r="E4" s="93" t="s">
        <v>462</v>
      </c>
      <c r="F4" s="1318" t="str">
        <f>'FICHA SOLIC'!K21</f>
        <v>Andrés Pablo Israel Avram</v>
      </c>
      <c r="G4" s="1318"/>
      <c r="H4" s="1318"/>
      <c r="I4" s="1318"/>
      <c r="J4" s="1318"/>
      <c r="K4" s="1318"/>
      <c r="L4" s="1318"/>
      <c r="M4" s="1318"/>
      <c r="N4" s="1318"/>
      <c r="O4" s="1318"/>
      <c r="P4" s="1318"/>
      <c r="Q4" s="1318"/>
      <c r="R4" s="1318"/>
      <c r="S4" s="1318"/>
      <c r="T4" s="1318"/>
      <c r="U4" s="1318"/>
      <c r="V4" s="1318"/>
      <c r="W4" s="1318"/>
      <c r="X4" s="1318"/>
      <c r="Y4" s="1318"/>
      <c r="Z4" s="1318"/>
      <c r="AA4" s="94"/>
      <c r="AB4" s="95"/>
      <c r="AC4" s="95"/>
      <c r="AD4" s="93"/>
      <c r="AE4" s="1303"/>
      <c r="AF4" s="1303"/>
      <c r="AG4" s="1303"/>
      <c r="AH4" s="1303"/>
      <c r="AI4" s="1303"/>
      <c r="AJ4" s="1303"/>
      <c r="AK4" s="1303"/>
      <c r="AL4" s="1303"/>
      <c r="AM4" s="1303"/>
      <c r="AN4" s="1303"/>
      <c r="AO4" s="1303"/>
      <c r="AP4" s="96" t="s">
        <v>466</v>
      </c>
      <c r="AQ4" s="97"/>
      <c r="AR4" s="97"/>
      <c r="AS4" s="98"/>
      <c r="AT4" s="99" t="s">
        <v>462</v>
      </c>
      <c r="AU4" s="1319" t="str">
        <f>+'FICHA SOLIC'!E31</f>
        <v>Coronel Souper N° 4060</v>
      </c>
      <c r="AV4" s="1319"/>
      <c r="AW4" s="1319"/>
      <c r="AX4" s="1319"/>
      <c r="AY4" s="1319"/>
      <c r="AZ4" s="1319"/>
      <c r="BA4" s="1319"/>
      <c r="BB4" s="1319"/>
      <c r="BC4" s="1319"/>
      <c r="BD4" s="1319"/>
      <c r="BE4" s="1319"/>
      <c r="BF4" s="1319"/>
      <c r="BG4" s="1319"/>
      <c r="BH4" s="1319"/>
      <c r="BI4" s="1319"/>
      <c r="BJ4" s="1319"/>
      <c r="BK4" s="1319"/>
      <c r="BL4" s="1319"/>
      <c r="BM4" s="1319"/>
      <c r="BN4" s="1319"/>
      <c r="BO4" s="1319"/>
      <c r="BP4" s="1319"/>
      <c r="BQ4" s="1319"/>
      <c r="BR4" s="1319"/>
      <c r="BS4" s="1319"/>
      <c r="BT4" s="1319"/>
      <c r="BU4" s="1319"/>
      <c r="BV4" s="100"/>
      <c r="BW4" s="104"/>
      <c r="BX4" s="104"/>
      <c r="BY4" s="998"/>
      <c r="BZ4"/>
      <c r="CA4"/>
      <c r="CB4"/>
      <c r="CC4" s="71" t="str">
        <f>+IF(AU3=0,0,VLOOKUP(AU3,CC6:CD19,2,0))</f>
        <v>Depto.</v>
      </c>
      <c r="CD4"/>
      <c r="CE4"/>
      <c r="CF4"/>
      <c r="CG4"/>
      <c r="CH4"/>
      <c r="CI4"/>
      <c r="CJ4"/>
      <c r="CK4"/>
      <c r="CL4"/>
      <c r="CM4"/>
      <c r="CN4"/>
      <c r="CO4"/>
      <c r="CP4"/>
      <c r="CQ4"/>
      <c r="CR4"/>
      <c r="CS4"/>
      <c r="CT4" t="s">
        <v>1536</v>
      </c>
      <c r="CU4"/>
      <c r="CV4" t="s">
        <v>1761</v>
      </c>
      <c r="CW4" t="s">
        <v>1762</v>
      </c>
      <c r="CX4"/>
      <c r="CY4" t="s">
        <v>1807</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
      <c r="B5" s="85" t="s">
        <v>467</v>
      </c>
      <c r="C5" s="89"/>
      <c r="D5" s="89"/>
      <c r="E5" s="87" t="s">
        <v>462</v>
      </c>
      <c r="F5" s="1314" t="str">
        <f>+'FICHA SOLIC'!K8</f>
        <v>Agencia Habitacional</v>
      </c>
      <c r="G5" s="1314"/>
      <c r="H5" s="1314"/>
      <c r="I5" s="1314"/>
      <c r="J5" s="1314"/>
      <c r="K5" s="1314"/>
      <c r="L5" s="1314"/>
      <c r="M5" s="1314"/>
      <c r="N5" s="1314"/>
      <c r="O5" s="1314"/>
      <c r="P5" s="1314"/>
      <c r="Q5" s="1314"/>
      <c r="R5" s="1314"/>
      <c r="S5" s="1314"/>
      <c r="T5" s="1314"/>
      <c r="U5" s="1314"/>
      <c r="V5" s="1314"/>
      <c r="W5" s="1314"/>
      <c r="X5" s="1314"/>
      <c r="Y5" s="1314"/>
      <c r="Z5" s="1314"/>
      <c r="AA5" s="86" t="s">
        <v>468</v>
      </c>
      <c r="AB5" s="88"/>
      <c r="AC5" s="88"/>
      <c r="AD5" s="87" t="s">
        <v>462</v>
      </c>
      <c r="AE5" s="1315"/>
      <c r="AF5" s="1315"/>
      <c r="AG5" s="1315"/>
      <c r="AH5" s="1315"/>
      <c r="AI5" s="1315"/>
      <c r="AJ5" s="1315"/>
      <c r="AK5" s="1315"/>
      <c r="AL5" s="1315"/>
      <c r="AM5" s="1315"/>
      <c r="AN5" s="1315"/>
      <c r="AO5" s="1315"/>
      <c r="AP5" s="1116" t="str">
        <f>+CC4</f>
        <v>Depto.</v>
      </c>
      <c r="AQ5" s="1117"/>
      <c r="AR5" s="1117"/>
      <c r="AS5" s="1117"/>
      <c r="AT5" s="99" t="str">
        <f>+IF(CC4=0,0,":")</f>
        <v>:</v>
      </c>
      <c r="AU5" s="1321" t="str">
        <f>+'FICHA SOLIC'!E35</f>
        <v>N°2502 B</v>
      </c>
      <c r="AV5" s="1321"/>
      <c r="AW5" s="1321"/>
      <c r="AX5" s="1321"/>
      <c r="AY5" s="1321"/>
      <c r="AZ5" s="1321"/>
      <c r="BA5" s="101"/>
      <c r="BB5" s="101" t="str">
        <f>+IF(CC2=0,0,IF(CC2&lt;=2,"Piso :",""))</f>
        <v>Piso :</v>
      </c>
      <c r="BC5" s="1322">
        <v>25</v>
      </c>
      <c r="BD5" s="1322"/>
      <c r="BE5" s="1322"/>
      <c r="BF5" s="1117" t="str">
        <f>+IF(CC1=1,"Pisos Propiedad","Pisos Edificio")</f>
        <v>Pisos Edificio</v>
      </c>
      <c r="BG5" s="1117"/>
      <c r="BH5" s="1117"/>
      <c r="BI5" s="1117"/>
      <c r="BJ5" s="99" t="str">
        <f>+IF(CC1=1,":",":")</f>
        <v>:</v>
      </c>
      <c r="BK5" s="1323">
        <v>30</v>
      </c>
      <c r="BL5" s="1323"/>
      <c r="BM5" s="1323"/>
      <c r="BN5" s="1323"/>
      <c r="BO5" s="102"/>
      <c r="BP5" s="101" t="str">
        <f>+IF(CC1=1,"Subt","Subt.")</f>
        <v>Subt.</v>
      </c>
      <c r="BQ5" s="99" t="str">
        <f>+IF(CC1=1,":",":")</f>
        <v>:</v>
      </c>
      <c r="BR5" s="1323">
        <v>3</v>
      </c>
      <c r="BS5" s="1323"/>
      <c r="BT5" s="1323"/>
      <c r="BU5" s="1324"/>
      <c r="BV5" s="100"/>
      <c r="BW5" s="104"/>
      <c r="BX5" s="104"/>
      <c r="BY5" s="555"/>
      <c r="BZ5" s="71" t="str">
        <f>+HLOOKUP($AU$3,$CC$21:$CO$34,2,0)</f>
        <v>SIN USO</v>
      </c>
      <c r="CA5"/>
      <c r="CB5" s="71" t="s">
        <v>469</v>
      </c>
      <c r="CC5" s="71">
        <f>+IF(AU3=0,4,VLOOKUP(AU3,CC6:CF19,4,0))</f>
        <v>2</v>
      </c>
      <c r="CD5"/>
      <c r="CE5"/>
      <c r="CF5"/>
      <c r="CG5"/>
      <c r="CH5"/>
      <c r="CI5"/>
      <c r="CJ5"/>
      <c r="CK5"/>
      <c r="CL5"/>
      <c r="CM5"/>
      <c r="CN5"/>
      <c r="CO5"/>
      <c r="CP5"/>
      <c r="CQ5"/>
      <c r="CR5"/>
      <c r="CS5"/>
      <c r="CT5" t="s">
        <v>1537</v>
      </c>
      <c r="CU5"/>
      <c r="CV5" t="s">
        <v>1763</v>
      </c>
      <c r="CW5" t="s">
        <v>1764</v>
      </c>
      <c r="CX5"/>
      <c r="CY5" t="s">
        <v>1808</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
      <c r="B6" s="96" t="s">
        <v>470</v>
      </c>
      <c r="C6" s="97"/>
      <c r="D6" s="97"/>
      <c r="E6" s="99" t="s">
        <v>462</v>
      </c>
      <c r="F6" s="1312" t="str">
        <f>+'FICHA SOLIC'!F16</f>
        <v>Geraldine Quivaqui</v>
      </c>
      <c r="G6" s="1312"/>
      <c r="H6" s="1312"/>
      <c r="I6" s="1312"/>
      <c r="J6" s="1312"/>
      <c r="K6" s="1312"/>
      <c r="L6" s="1312"/>
      <c r="M6" s="1312"/>
      <c r="N6" s="1312"/>
      <c r="O6" s="1312"/>
      <c r="P6" s="1312"/>
      <c r="Q6" s="1312"/>
      <c r="R6" s="1312"/>
      <c r="S6" s="1312"/>
      <c r="T6" s="1312"/>
      <c r="U6" s="1312"/>
      <c r="V6" s="1312"/>
      <c r="W6" s="1312"/>
      <c r="X6" s="1312"/>
      <c r="Y6" s="1312"/>
      <c r="Z6" s="1312"/>
      <c r="AA6" s="98" t="s">
        <v>471</v>
      </c>
      <c r="AB6" s="97"/>
      <c r="AC6" s="97"/>
      <c r="AD6" s="99" t="s">
        <v>462</v>
      </c>
      <c r="AE6" s="1320" t="str">
        <f>'FICHA SOLIC'!E27</f>
        <v>Crédito Hipotecario</v>
      </c>
      <c r="AF6" s="1320"/>
      <c r="AG6" s="1320"/>
      <c r="AH6" s="1320"/>
      <c r="AI6" s="1320"/>
      <c r="AJ6" s="1320"/>
      <c r="AK6" s="1320"/>
      <c r="AL6" s="1320"/>
      <c r="AM6" s="1320"/>
      <c r="AN6" s="1320"/>
      <c r="AO6" s="1320"/>
      <c r="AP6" s="1325" t="str">
        <f>+'FICHA SOLIC'!E40</f>
        <v>Edificio</v>
      </c>
      <c r="AQ6" s="1326"/>
      <c r="AR6" s="1326"/>
      <c r="AS6" s="1326"/>
      <c r="AT6" s="99" t="str">
        <f>+IF(AP6=0,0,":")</f>
        <v>:</v>
      </c>
      <c r="AU6" s="1158" t="str">
        <f>'FICHA SOLIC'!E39</f>
        <v>Mirador Souper</v>
      </c>
      <c r="AV6" s="1158"/>
      <c r="AW6" s="1158"/>
      <c r="AX6" s="1158"/>
      <c r="AY6" s="1158"/>
      <c r="AZ6" s="1158"/>
      <c r="BA6" s="1158"/>
      <c r="BB6" s="1158"/>
      <c r="BC6" s="1158"/>
      <c r="BD6" s="97"/>
      <c r="BE6" s="103"/>
      <c r="BF6" s="1117" t="s">
        <v>2646</v>
      </c>
      <c r="BG6" s="1117"/>
      <c r="BH6" s="1117"/>
      <c r="BI6" s="1117"/>
      <c r="BJ6" s="99">
        <f>+IF(CC2=2,0,IF(CC2=4,0,":"))</f>
        <v>0</v>
      </c>
      <c r="BK6" s="1204"/>
      <c r="BL6" s="1204"/>
      <c r="BM6" s="1204"/>
      <c r="BN6" s="1204"/>
      <c r="BO6" s="104"/>
      <c r="BP6" s="99" t="s">
        <v>2647</v>
      </c>
      <c r="BQ6" s="99"/>
      <c r="BR6" s="1204"/>
      <c r="BS6" s="1204"/>
      <c r="BT6" s="1204"/>
      <c r="BU6" s="1205"/>
      <c r="BV6" s="100"/>
      <c r="BW6" s="104"/>
      <c r="BX6" s="104"/>
      <c r="BY6" s="1138" t="s">
        <v>1872</v>
      </c>
      <c r="BZ6" s="71" t="str">
        <f>+HLOOKUP($AU$3,$CC$21:$CO$34,3,0)</f>
        <v>EN CONSTRUCCION</v>
      </c>
      <c r="CA6"/>
      <c r="CB6" s="71">
        <v>1</v>
      </c>
      <c r="CC6" s="71" t="s">
        <v>472</v>
      </c>
      <c r="CD6" s="71" t="s">
        <v>473</v>
      </c>
      <c r="CE6" s="71" t="s">
        <v>1191</v>
      </c>
      <c r="CF6" s="71">
        <v>3</v>
      </c>
      <c r="CG6" s="71">
        <v>1</v>
      </c>
      <c r="CH6" s="71">
        <v>10</v>
      </c>
      <c r="CI6" s="71">
        <v>3</v>
      </c>
      <c r="CJ6" s="71" t="str">
        <f t="shared" ref="CJ6:CJ19" si="0">+CC6</f>
        <v>CASA</v>
      </c>
      <c r="CK6" s="71" t="s">
        <v>475</v>
      </c>
      <c r="CL6" s="71">
        <v>1</v>
      </c>
      <c r="CM6" s="71">
        <v>1</v>
      </c>
      <c r="CN6"/>
      <c r="CO6"/>
      <c r="CP6"/>
      <c r="CQ6" t="s">
        <v>1191</v>
      </c>
      <c r="CR6"/>
      <c r="CS6"/>
      <c r="CT6" t="s">
        <v>1538</v>
      </c>
      <c r="CU6"/>
      <c r="CV6" t="s">
        <v>1765</v>
      </c>
      <c r="CW6" t="s">
        <v>1766</v>
      </c>
      <c r="CX6"/>
      <c r="CY6" t="s">
        <v>1782</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
      <c r="B7" s="96" t="s">
        <v>476</v>
      </c>
      <c r="C7" s="97"/>
      <c r="D7" s="97"/>
      <c r="E7" s="99" t="s">
        <v>462</v>
      </c>
      <c r="F7" s="1312" t="str">
        <f>+'FICHA SOLIC'!F10</f>
        <v>Marcela Gómez</v>
      </c>
      <c r="G7" s="1312"/>
      <c r="H7" s="1312"/>
      <c r="I7" s="1312"/>
      <c r="J7" s="1312"/>
      <c r="K7" s="1312"/>
      <c r="L7" s="1312"/>
      <c r="M7" s="1312"/>
      <c r="N7" s="1312"/>
      <c r="O7" s="1312"/>
      <c r="P7" s="1312"/>
      <c r="Q7" s="1312"/>
      <c r="R7" s="1312"/>
      <c r="S7" s="1312"/>
      <c r="T7" s="1312"/>
      <c r="U7" s="1312"/>
      <c r="V7" s="1312"/>
      <c r="W7" s="1312"/>
      <c r="X7" s="1312"/>
      <c r="Y7" s="1312"/>
      <c r="Z7" s="1312"/>
      <c r="AA7" s="94" t="s">
        <v>477</v>
      </c>
      <c r="AB7" s="95"/>
      <c r="AC7" s="95"/>
      <c r="AD7" s="93" t="s">
        <v>462</v>
      </c>
      <c r="AE7" s="1303" t="s">
        <v>1793</v>
      </c>
      <c r="AF7" s="1303"/>
      <c r="AG7" s="1303"/>
      <c r="AH7" s="1303"/>
      <c r="AI7" s="1303"/>
      <c r="AJ7" s="1303"/>
      <c r="AK7" s="1303"/>
      <c r="AL7" s="1303"/>
      <c r="AM7" s="1303"/>
      <c r="AN7" s="1303"/>
      <c r="AO7" s="1303"/>
      <c r="AP7" s="96" t="s">
        <v>478</v>
      </c>
      <c r="AQ7" s="97"/>
      <c r="AR7" s="97"/>
      <c r="AS7" s="97"/>
      <c r="AT7" s="99" t="s">
        <v>462</v>
      </c>
      <c r="AU7" s="1158" t="str">
        <f>+'FICHA SOLIC'!E37</f>
        <v>Metropolitana de Santiago</v>
      </c>
      <c r="AV7" s="1158"/>
      <c r="AW7" s="1158"/>
      <c r="AX7" s="1158"/>
      <c r="AY7" s="1158"/>
      <c r="AZ7" s="1158"/>
      <c r="BA7" s="1158"/>
      <c r="BB7" s="1158"/>
      <c r="BC7" s="1158"/>
      <c r="BD7" s="97"/>
      <c r="BE7" s="103"/>
      <c r="BF7" s="1117" t="str">
        <f>IF(tipoPropiedad="Casa","Mansarda","")</f>
        <v/>
      </c>
      <c r="BG7" s="1117"/>
      <c r="BH7" s="1117"/>
      <c r="BI7" s="1117"/>
      <c r="BJ7" s="99" t="str">
        <f>IF(tipoPropiedad="Casa",":","")</f>
        <v/>
      </c>
      <c r="BK7" s="1304" t="str">
        <f>IF(tipoPropiedad="Casa",IF(m2sup5&gt;0,"Sí","No"),"")</f>
        <v/>
      </c>
      <c r="BL7" s="1304"/>
      <c r="BM7" s="1304"/>
      <c r="BN7" s="1305"/>
      <c r="BO7" s="1305"/>
      <c r="BP7" s="1305"/>
      <c r="BQ7" s="1305"/>
      <c r="BR7" s="1306"/>
      <c r="BS7" s="1306"/>
      <c r="BT7" s="1305"/>
      <c r="BU7" s="1305"/>
      <c r="BV7" s="100"/>
      <c r="BW7" s="104"/>
      <c r="BX7" s="104"/>
      <c r="BY7" s="1138"/>
      <c r="BZ7" s="71" t="str">
        <f>+HLOOKUP($AU$3,$CC$21:$CO$34,4,0)</f>
        <v>HABITACIONAL</v>
      </c>
      <c r="CA7"/>
      <c r="CB7" s="71">
        <v>2</v>
      </c>
      <c r="CC7" s="71" t="s">
        <v>479</v>
      </c>
      <c r="CD7" s="71" t="s">
        <v>480</v>
      </c>
      <c r="CE7" s="71" t="s">
        <v>481</v>
      </c>
      <c r="CF7" s="71">
        <v>2</v>
      </c>
      <c r="CG7"/>
      <c r="CH7" s="71">
        <v>10</v>
      </c>
      <c r="CI7" s="71">
        <v>2</v>
      </c>
      <c r="CJ7" s="71" t="str">
        <f t="shared" si="0"/>
        <v>DEPARTAMENTO</v>
      </c>
      <c r="CK7" s="71" t="s">
        <v>482</v>
      </c>
      <c r="CL7" s="71">
        <v>2</v>
      </c>
      <c r="CM7" s="71">
        <v>1</v>
      </c>
      <c r="CN7"/>
      <c r="CO7"/>
      <c r="CP7"/>
      <c r="CQ7" t="s">
        <v>114</v>
      </c>
      <c r="CR7"/>
      <c r="CS7"/>
      <c r="CT7" t="s">
        <v>1523</v>
      </c>
      <c r="CU7"/>
      <c r="CV7" t="s">
        <v>1767</v>
      </c>
      <c r="CW7" t="s">
        <v>1768</v>
      </c>
      <c r="CX7"/>
      <c r="CY7" t="s">
        <v>1783</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25">
      <c r="C8" s="418"/>
      <c r="D8" s="418"/>
      <c r="E8" s="418"/>
      <c r="F8" s="418"/>
      <c r="G8" s="418"/>
      <c r="H8" s="418"/>
      <c r="I8" s="418"/>
      <c r="J8" s="418"/>
      <c r="K8" s="418"/>
      <c r="L8" s="418"/>
      <c r="M8" s="418"/>
      <c r="N8" s="418"/>
      <c r="O8" s="418"/>
      <c r="P8" s="418"/>
      <c r="Q8" s="418"/>
      <c r="R8" s="418"/>
      <c r="S8" s="418"/>
      <c r="T8" s="418"/>
      <c r="U8" s="418"/>
      <c r="V8" s="418"/>
      <c r="W8" s="418"/>
      <c r="X8" s="418"/>
      <c r="Y8" s="418"/>
      <c r="Z8" s="418"/>
      <c r="AA8" s="439" t="s">
        <v>1200</v>
      </c>
      <c r="AB8" s="418"/>
      <c r="AC8" s="418"/>
      <c r="AD8" s="440" t="s">
        <v>462</v>
      </c>
      <c r="AE8" s="1313" t="str">
        <f>IF(LEN(Antecedentes!J8)&gt;3,IF(ISNUMBER(VALUE(RIGHT(Antecedentes!J8,4))),RIGHT(Antecedentes!J8,4),YEAR('FICHA SOLIC'!K10)),"")</f>
        <v>2018</v>
      </c>
      <c r="AF8" s="1313"/>
      <c r="AG8" s="1313"/>
      <c r="AH8" s="1313"/>
      <c r="AI8" s="1313"/>
      <c r="AJ8" s="1313"/>
      <c r="AK8" s="1313"/>
      <c r="AL8" s="1313"/>
      <c r="AM8" s="1290"/>
      <c r="AN8" s="1290"/>
      <c r="AO8" s="419"/>
      <c r="AP8" s="96" t="s">
        <v>484</v>
      </c>
      <c r="AQ8" s="97"/>
      <c r="AR8" s="97"/>
      <c r="AS8" s="98"/>
      <c r="AT8" s="99" t="s">
        <v>462</v>
      </c>
      <c r="AU8" s="1158" t="str">
        <f>+'FICHA SOLIC'!E36</f>
        <v>Estación Central</v>
      </c>
      <c r="AV8" s="1158"/>
      <c r="AW8" s="1158"/>
      <c r="AX8" s="1158"/>
      <c r="AY8" s="1158"/>
      <c r="AZ8" s="1158"/>
      <c r="BA8" s="1158"/>
      <c r="BB8" s="1158"/>
      <c r="BC8" s="1158"/>
      <c r="BD8" s="97"/>
      <c r="BE8" s="103"/>
      <c r="BF8" s="1307" t="s">
        <v>485</v>
      </c>
      <c r="BG8" s="1307"/>
      <c r="BH8" s="1307"/>
      <c r="BI8" s="1307"/>
      <c r="BJ8" s="99" t="s">
        <v>462</v>
      </c>
      <c r="BK8" s="1306" t="str">
        <f>'FICHA SOLIC'!E41</f>
        <v>694-416</v>
      </c>
      <c r="BL8" s="1308"/>
      <c r="BM8" s="1308"/>
      <c r="BN8" s="1308"/>
      <c r="BO8" s="1308"/>
      <c r="BP8" s="1308"/>
      <c r="BQ8" s="1308"/>
      <c r="BR8" s="1308"/>
      <c r="BS8" s="1308"/>
      <c r="BT8" s="1309"/>
      <c r="BU8" s="1309"/>
      <c r="BV8" s="105"/>
      <c r="BW8" s="855"/>
      <c r="BX8" s="855"/>
      <c r="BY8" s="1138"/>
      <c r="BZ8" s="71" t="str">
        <f>+HLOOKUP($AU$3,$CC$21:$CO$34,5,0)</f>
        <v>OFICINA</v>
      </c>
      <c r="CA8"/>
      <c r="CB8" s="71">
        <v>1</v>
      </c>
      <c r="CC8" s="71" t="s">
        <v>486</v>
      </c>
      <c r="CD8" s="71" t="s">
        <v>487</v>
      </c>
      <c r="CE8" s="71" t="s">
        <v>481</v>
      </c>
      <c r="CF8" s="71">
        <v>2</v>
      </c>
      <c r="CG8"/>
      <c r="CH8" s="71">
        <v>10</v>
      </c>
      <c r="CI8" s="71">
        <v>2</v>
      </c>
      <c r="CJ8" s="71" t="str">
        <f t="shared" si="0"/>
        <v>OFICINA</v>
      </c>
      <c r="CK8" s="71" t="s">
        <v>475</v>
      </c>
      <c r="CL8" s="71">
        <v>2</v>
      </c>
      <c r="CM8" s="71">
        <v>2</v>
      </c>
      <c r="CN8"/>
      <c r="CO8"/>
      <c r="CP8"/>
      <c r="CQ8" t="s">
        <v>500</v>
      </c>
      <c r="CR8"/>
      <c r="CS8"/>
      <c r="CT8"/>
      <c r="CU8"/>
      <c r="CV8" t="s">
        <v>1769</v>
      </c>
      <c r="CW8" t="s">
        <v>1770</v>
      </c>
      <c r="CX8"/>
      <c r="CY8" t="s">
        <v>1784</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O9" s="422"/>
      <c r="AP9" s="1310" t="s">
        <v>492</v>
      </c>
      <c r="AQ9" s="1310"/>
      <c r="AR9" s="1310"/>
      <c r="AS9" s="1310"/>
      <c r="AT9" s="99" t="s">
        <v>462</v>
      </c>
      <c r="AU9" s="1311" t="str">
        <f>+'FICHA SOLIC'!K40</f>
        <v>HABITACIONAL</v>
      </c>
      <c r="AV9" s="1311"/>
      <c r="AW9" s="1311"/>
      <c r="AX9" s="1311"/>
      <c r="AY9" s="1311"/>
      <c r="AZ9" s="1311"/>
      <c r="BA9" s="1311"/>
      <c r="BB9" s="1311"/>
      <c r="BC9" s="1311"/>
      <c r="BD9" s="1311"/>
      <c r="BE9" s="1311"/>
      <c r="BF9" s="1311"/>
      <c r="BG9" s="1311"/>
      <c r="BH9" s="1311"/>
      <c r="BI9" s="1311"/>
      <c r="BJ9" s="1311"/>
      <c r="BK9" s="1311"/>
      <c r="BL9" s="1311"/>
      <c r="BM9" s="1311"/>
      <c r="BN9" s="1311"/>
      <c r="BO9" s="1311"/>
      <c r="BP9" s="1311"/>
      <c r="BQ9" s="1311"/>
      <c r="BR9" s="1311"/>
      <c r="BS9" s="1311"/>
      <c r="BT9" s="1311"/>
      <c r="BU9" s="1311"/>
      <c r="BV9" s="107"/>
      <c r="BW9" s="858"/>
      <c r="BX9" s="858"/>
      <c r="BY9" s="1138"/>
      <c r="BZ9" s="71" t="str">
        <f>+HLOOKUP($AU$3,$CC$21:$CO$34,6,0)</f>
        <v>TALLER</v>
      </c>
      <c r="CA9"/>
      <c r="CB9" s="71">
        <v>1</v>
      </c>
      <c r="CC9" s="71" t="s">
        <v>493</v>
      </c>
      <c r="CD9" s="71" t="s">
        <v>494</v>
      </c>
      <c r="CE9" s="71" t="s">
        <v>481</v>
      </c>
      <c r="CF9" s="71">
        <v>4</v>
      </c>
      <c r="CG9" s="71">
        <v>0</v>
      </c>
      <c r="CH9" s="71">
        <v>20</v>
      </c>
      <c r="CI9" s="71">
        <v>1</v>
      </c>
      <c r="CJ9" s="71" t="str">
        <f t="shared" si="0"/>
        <v>LOCAL COMERCIAL</v>
      </c>
      <c r="CK9" s="71" t="s">
        <v>482</v>
      </c>
      <c r="CL9" s="71">
        <v>2</v>
      </c>
      <c r="CM9" s="71">
        <v>1</v>
      </c>
      <c r="CN9"/>
      <c r="CO9"/>
      <c r="CP9"/>
      <c r="CQ9" t="s">
        <v>111</v>
      </c>
      <c r="CR9"/>
      <c r="CS9"/>
      <c r="CT9"/>
      <c r="CU9"/>
      <c r="CV9" t="s">
        <v>1771</v>
      </c>
      <c r="CW9" t="s">
        <v>1772</v>
      </c>
      <c r="CX9"/>
      <c r="CY9" t="s">
        <v>1785</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P10" s="1327" t="s">
        <v>1225</v>
      </c>
      <c r="AQ10" s="1327"/>
      <c r="AR10" s="1327"/>
      <c r="AS10" s="1327"/>
      <c r="AT10" s="1328" t="str">
        <f>IF(ooccAdBXC &lt;&gt; 0, LEN(ooccAdBXC)-LEN(SUBSTITUTE(ooccAdBXC,",","")) +1,"0")</f>
        <v>0</v>
      </c>
      <c r="AU10" s="1328"/>
      <c r="AV10" s="1328"/>
      <c r="AW10" s="1327" t="s">
        <v>1226</v>
      </c>
      <c r="AX10" s="1327"/>
      <c r="AY10" s="1327"/>
      <c r="AZ10" s="1327"/>
      <c r="BA10" s="1327"/>
      <c r="BB10" s="1118" t="str">
        <f>IF(ooccAdBXU &lt;&gt; 0, LEN(ooccAdBXU)-LEN(SUBSTITUTE(ooccAdBXU,",","")) +1,"0")</f>
        <v>0</v>
      </c>
      <c r="BC10" s="1118"/>
      <c r="BD10" s="1118"/>
      <c r="BE10" s="1118"/>
      <c r="BF10" s="1118"/>
      <c r="BG10" s="1327" t="s">
        <v>1227</v>
      </c>
      <c r="BH10" s="1327"/>
      <c r="BI10" s="1327"/>
      <c r="BJ10" s="503"/>
      <c r="BK10" s="1357" t="str">
        <f>IF(ooccBD &lt;&gt; 0, LEN(ooccBD)-LEN(SUBSTITUTE(ooccBD,",","")) +1,"0")</f>
        <v>0</v>
      </c>
      <c r="BL10" s="1357"/>
      <c r="BM10" s="1357"/>
      <c r="BN10" s="1357"/>
      <c r="BO10" s="1357"/>
      <c r="BP10" s="503"/>
      <c r="BQ10" s="503"/>
      <c r="BR10" s="503"/>
      <c r="BS10" s="503"/>
      <c r="BT10" s="503"/>
      <c r="BU10" s="503"/>
      <c r="BV10" s="107"/>
      <c r="BW10" s="858"/>
      <c r="BX10" s="858"/>
      <c r="BY10" s="589"/>
      <c r="CA10"/>
      <c r="CC10" s="71" t="s">
        <v>63</v>
      </c>
      <c r="CD10" s="71" t="s">
        <v>480</v>
      </c>
      <c r="CJ10" s="71" t="str">
        <f t="shared" si="0"/>
        <v>Departamento Piloto</v>
      </c>
      <c r="CN10"/>
      <c r="CO10"/>
      <c r="CP10"/>
      <c r="CQ10" t="s">
        <v>1199</v>
      </c>
      <c r="CR10"/>
      <c r="CS10"/>
      <c r="CT10"/>
      <c r="CU10"/>
      <c r="CV10" t="s">
        <v>1773</v>
      </c>
      <c r="CW10" t="s">
        <v>1774</v>
      </c>
      <c r="CX10"/>
      <c r="CY10" t="s">
        <v>1786</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B11" s="1139" t="s">
        <v>498</v>
      </c>
      <c r="C11" s="1139"/>
      <c r="D11" s="1139"/>
      <c r="E11" s="1139"/>
      <c r="F11" s="1139"/>
      <c r="G11" s="1139"/>
      <c r="H11" s="1139"/>
      <c r="I11" s="1139"/>
      <c r="J11" s="1139"/>
      <c r="K11" s="1139"/>
      <c r="L11" s="1139"/>
      <c r="M11" s="1139"/>
      <c r="N11" s="1139"/>
      <c r="O11" s="1291"/>
      <c r="P11" s="1291"/>
      <c r="Q11" s="1291"/>
      <c r="R11" s="1291"/>
      <c r="S11" s="1291"/>
      <c r="T11" s="1291"/>
      <c r="U11" s="1291"/>
      <c r="V11" s="1291"/>
      <c r="W11" s="1291"/>
      <c r="X11" s="1291"/>
      <c r="Y11" s="1291"/>
      <c r="Z11" s="1291"/>
      <c r="AA11" s="1291"/>
      <c r="AB11" s="1291"/>
      <c r="AC11" s="1291"/>
      <c r="AD11" s="1291"/>
      <c r="AE11" s="1291"/>
      <c r="AF11" s="1291"/>
      <c r="AG11" s="1291"/>
      <c r="AH11" s="1291"/>
      <c r="AI11" s="1291"/>
      <c r="AJ11" s="1291"/>
      <c r="AK11" s="1291"/>
      <c r="AL11" s="1291"/>
      <c r="AM11" s="1291"/>
      <c r="AN11" s="1291"/>
      <c r="AO11" s="1291"/>
      <c r="AP11" s="1291"/>
      <c r="AQ11" s="1291"/>
      <c r="AR11" s="1291"/>
      <c r="AS11" s="1291"/>
      <c r="AT11" s="1291"/>
      <c r="AU11" s="1291"/>
      <c r="AV11" s="1291"/>
      <c r="AW11" s="1291"/>
      <c r="AX11" s="1291"/>
      <c r="AY11" s="1291"/>
      <c r="AZ11" s="1291"/>
      <c r="BA11" s="1291"/>
      <c r="BB11" s="1291"/>
      <c r="BC11" s="1291"/>
      <c r="BD11" s="1291"/>
      <c r="BE11" s="1291"/>
      <c r="BF11" s="1291"/>
      <c r="BG11" s="1291"/>
      <c r="BH11" s="1291"/>
      <c r="BI11" s="1291"/>
      <c r="BJ11" s="1291"/>
      <c r="BK11" s="1291"/>
      <c r="BL11" s="1291"/>
      <c r="BM11" s="1291"/>
      <c r="BN11" s="1291"/>
      <c r="BO11" s="1291"/>
      <c r="BP11" s="1291"/>
      <c r="BQ11" s="1291"/>
      <c r="BR11" s="1291"/>
      <c r="BS11" s="1291"/>
      <c r="BT11" s="1291"/>
      <c r="BU11" s="1292"/>
      <c r="BV11" s="100"/>
      <c r="BW11" s="104"/>
      <c r="BX11" s="104"/>
      <c r="BY11" s="555"/>
      <c r="BZ11" s="71" t="str">
        <f>+HLOOKUP($AU$3,$CC$21:$CO$34,7,0)</f>
        <v>COMERCIO</v>
      </c>
      <c r="CA11"/>
      <c r="CB11" s="71">
        <v>3</v>
      </c>
      <c r="CC11" s="71" t="s">
        <v>497</v>
      </c>
      <c r="CD11"/>
      <c r="CE11" s="71" t="s">
        <v>474</v>
      </c>
      <c r="CF11" s="71">
        <v>3</v>
      </c>
      <c r="CG11" s="71">
        <v>1</v>
      </c>
      <c r="CH11" s="71">
        <f>+IF(S23="URBANA",10,20)</f>
        <v>10</v>
      </c>
      <c r="CI11" s="71">
        <v>1</v>
      </c>
      <c r="CJ11" s="71" t="str">
        <f t="shared" si="0"/>
        <v>TERRENO</v>
      </c>
      <c r="CK11" s="71" t="s">
        <v>482</v>
      </c>
      <c r="CL11" s="71">
        <v>3</v>
      </c>
      <c r="CM11" s="71">
        <v>1</v>
      </c>
      <c r="CN11"/>
      <c r="CO11"/>
      <c r="CP11"/>
      <c r="CQ11" t="s">
        <v>914</v>
      </c>
      <c r="CR11"/>
      <c r="CS11"/>
      <c r="CT11"/>
      <c r="CU11"/>
      <c r="CV11" t="s">
        <v>1775</v>
      </c>
      <c r="CW11" t="s">
        <v>1776</v>
      </c>
      <c r="CX11"/>
      <c r="CY11" t="s">
        <v>1787</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
      <c r="B12" s="1140" t="s">
        <v>501</v>
      </c>
      <c r="C12" s="1140"/>
      <c r="D12" s="1293" t="s">
        <v>2724</v>
      </c>
      <c r="E12" s="1294"/>
      <c r="F12" s="1294"/>
      <c r="G12" s="1294"/>
      <c r="H12" s="1294"/>
      <c r="I12" s="1294"/>
      <c r="J12" s="1294"/>
      <c r="K12" s="1294"/>
      <c r="L12" s="1294"/>
      <c r="M12" s="1294"/>
      <c r="N12" s="1294"/>
      <c r="O12" s="1294"/>
      <c r="P12" s="1294"/>
      <c r="Q12" s="1294"/>
      <c r="R12" s="1294"/>
      <c r="S12" s="1294"/>
      <c r="T12" s="1294"/>
      <c r="U12" s="1294"/>
      <c r="V12" s="1294"/>
      <c r="W12" s="1294"/>
      <c r="X12" s="1294"/>
      <c r="Y12" s="1294"/>
      <c r="Z12" s="1294"/>
      <c r="AA12" s="1294"/>
      <c r="AB12" s="1294"/>
      <c r="AC12" s="1294"/>
      <c r="AD12" s="1294"/>
      <c r="AE12" s="1294"/>
      <c r="AF12" s="1294"/>
      <c r="AG12" s="1294"/>
      <c r="AH12" s="1294"/>
      <c r="AI12" s="1294"/>
      <c r="AJ12" s="1294"/>
      <c r="AK12" s="1294"/>
      <c r="AL12" s="1294"/>
      <c r="AM12" s="1294"/>
      <c r="AN12" s="1294"/>
      <c r="AO12" s="1294"/>
      <c r="AP12" s="1294"/>
      <c r="AQ12" s="1294"/>
      <c r="AR12" s="1294"/>
      <c r="AS12" s="1294"/>
      <c r="AT12" s="1294"/>
      <c r="AU12" s="1294"/>
      <c r="AV12" s="1294"/>
      <c r="AW12" s="1294"/>
      <c r="AX12" s="1294"/>
      <c r="AY12" s="1294"/>
      <c r="AZ12" s="1294"/>
      <c r="BA12" s="1294"/>
      <c r="BB12" s="1294"/>
      <c r="BC12" s="1294"/>
      <c r="BD12" s="1294"/>
      <c r="BE12" s="1294"/>
      <c r="BF12" s="1294"/>
      <c r="BG12" s="1294"/>
      <c r="BH12" s="1294"/>
      <c r="BI12" s="1294"/>
      <c r="BJ12" s="1294"/>
      <c r="BK12" s="1294"/>
      <c r="BL12" s="1294"/>
      <c r="BM12" s="1294"/>
      <c r="BN12" s="1294"/>
      <c r="BO12" s="1294"/>
      <c r="BP12" s="1294"/>
      <c r="BQ12" s="1294"/>
      <c r="BR12" s="1294"/>
      <c r="BS12" s="1294"/>
      <c r="BT12" s="1294"/>
      <c r="BU12" s="1295"/>
      <c r="BV12" s="100"/>
      <c r="BW12" s="104"/>
      <c r="BX12" s="104"/>
      <c r="BY12" s="555"/>
      <c r="BZ12" s="71" t="str">
        <f>+HLOOKUP($AU$3,$CC$21:$CO$34,8,0)</f>
        <v>ALMACENAJE</v>
      </c>
      <c r="CA12"/>
      <c r="CB12" s="71">
        <v>1</v>
      </c>
      <c r="CC12" s="71" t="s">
        <v>499</v>
      </c>
      <c r="CD12"/>
      <c r="CE12" s="71" t="s">
        <v>500</v>
      </c>
      <c r="CF12" s="71">
        <v>3</v>
      </c>
      <c r="CG12" s="71">
        <v>1</v>
      </c>
      <c r="CH12" s="71">
        <v>20</v>
      </c>
      <c r="CI12" s="71">
        <v>1</v>
      </c>
      <c r="CJ12" s="71" t="str">
        <f t="shared" si="0"/>
        <v>INDUSTRIA</v>
      </c>
      <c r="CK12" s="71" t="s">
        <v>475</v>
      </c>
      <c r="CL12" s="71">
        <v>2</v>
      </c>
      <c r="CM12" s="71">
        <v>2</v>
      </c>
      <c r="CN12"/>
      <c r="CO12"/>
      <c r="CP12"/>
      <c r="CQ12" t="s">
        <v>1192</v>
      </c>
      <c r="CR12"/>
      <c r="CS12"/>
      <c r="CT12"/>
      <c r="CU12"/>
      <c r="CV12" t="s">
        <v>1777</v>
      </c>
      <c r="CW12" t="s">
        <v>1778</v>
      </c>
      <c r="CX12"/>
      <c r="CY12" t="s">
        <v>1788</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
      <c r="B13" s="1140"/>
      <c r="C13" s="1140"/>
      <c r="D13" s="1296"/>
      <c r="E13" s="1297"/>
      <c r="F13" s="1297"/>
      <c r="G13" s="1297"/>
      <c r="H13" s="1297"/>
      <c r="I13" s="1297"/>
      <c r="J13" s="1297"/>
      <c r="K13" s="1297"/>
      <c r="L13" s="1297"/>
      <c r="M13" s="1297"/>
      <c r="N13" s="1297"/>
      <c r="O13" s="1297"/>
      <c r="P13" s="1297"/>
      <c r="Q13" s="1297"/>
      <c r="R13" s="1297"/>
      <c r="S13" s="1297"/>
      <c r="T13" s="1297"/>
      <c r="U13" s="1297"/>
      <c r="V13" s="1297"/>
      <c r="W13" s="1297"/>
      <c r="X13" s="1297"/>
      <c r="Y13" s="1297"/>
      <c r="Z13" s="1297"/>
      <c r="AA13" s="1297"/>
      <c r="AB13" s="1297"/>
      <c r="AC13" s="1297"/>
      <c r="AD13" s="1297"/>
      <c r="AE13" s="1297"/>
      <c r="AF13" s="1297"/>
      <c r="AG13" s="1297"/>
      <c r="AH13" s="1297"/>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8"/>
      <c r="BV13" s="111"/>
      <c r="BY13" s="555"/>
      <c r="BZ13" s="71" t="str">
        <f>+HLOOKUP($AU$3,$CC$21:$CO$34,9,0)</f>
        <v>APART HOTEL</v>
      </c>
      <c r="CA13"/>
      <c r="CB13" s="71">
        <v>1</v>
      </c>
      <c r="CC13" s="71" t="s">
        <v>502</v>
      </c>
      <c r="CD13"/>
      <c r="CE13" s="71" t="s">
        <v>474</v>
      </c>
      <c r="CF13" s="71">
        <v>3</v>
      </c>
      <c r="CG13" s="71">
        <v>1</v>
      </c>
      <c r="CH13" s="71">
        <v>20</v>
      </c>
      <c r="CI13" s="71">
        <v>1</v>
      </c>
      <c r="CJ13" s="71" t="str">
        <f t="shared" si="0"/>
        <v>GALPON</v>
      </c>
      <c r="CK13" s="71" t="s">
        <v>482</v>
      </c>
      <c r="CL13" s="71">
        <v>1</v>
      </c>
      <c r="CM13" s="71">
        <v>2</v>
      </c>
      <c r="CN13"/>
      <c r="CO13"/>
      <c r="CP13"/>
      <c r="CQ13"/>
      <c r="CR13"/>
      <c r="CS13"/>
      <c r="CT13"/>
      <c r="CU13"/>
      <c r="CV13" s="71" t="s">
        <v>1981</v>
      </c>
      <c r="CW13" s="71" t="s">
        <v>1982</v>
      </c>
      <c r="CY13" s="71" t="s">
        <v>1983</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
      <c r="B14" s="1140"/>
      <c r="C14" s="1140"/>
      <c r="D14" s="1296"/>
      <c r="E14" s="1297"/>
      <c r="F14" s="1297"/>
      <c r="G14" s="1297"/>
      <c r="H14" s="1297"/>
      <c r="I14" s="1297"/>
      <c r="J14" s="1297"/>
      <c r="K14" s="1297"/>
      <c r="L14" s="1297"/>
      <c r="M14" s="1297"/>
      <c r="N14" s="1297"/>
      <c r="O14" s="1297"/>
      <c r="P14" s="1297"/>
      <c r="Q14" s="1297"/>
      <c r="R14" s="1297"/>
      <c r="S14" s="1297"/>
      <c r="T14" s="1297"/>
      <c r="U14" s="1297"/>
      <c r="V14" s="1297"/>
      <c r="W14" s="1297"/>
      <c r="X14" s="1297"/>
      <c r="Y14" s="1297"/>
      <c r="Z14" s="1297"/>
      <c r="AA14" s="1297"/>
      <c r="AB14" s="1297"/>
      <c r="AC14" s="1297"/>
      <c r="AD14" s="1297"/>
      <c r="AE14" s="1297"/>
      <c r="AF14" s="1297"/>
      <c r="AG14" s="1297"/>
      <c r="AH14" s="1297"/>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8"/>
      <c r="BV14" s="111"/>
      <c r="BY14" s="555"/>
      <c r="BZ14" s="71" t="str">
        <f>+HLOOKUP($AU$3,$CC$21:$CO$34,10,0)</f>
        <v>HOTEL</v>
      </c>
      <c r="CA14"/>
      <c r="CB14" s="71">
        <v>3</v>
      </c>
      <c r="CC14" s="71" t="s">
        <v>503</v>
      </c>
      <c r="CD14" s="71" t="s">
        <v>504</v>
      </c>
      <c r="CE14" s="71" t="s">
        <v>481</v>
      </c>
      <c r="CF14" s="71">
        <v>4</v>
      </c>
      <c r="CG14"/>
      <c r="CH14" s="71">
        <v>20</v>
      </c>
      <c r="CI14" s="71">
        <v>1</v>
      </c>
      <c r="CJ14" s="71" t="str">
        <f t="shared" si="0"/>
        <v xml:space="preserve">BODEGA </v>
      </c>
      <c r="CK14" s="71" t="s">
        <v>475</v>
      </c>
      <c r="CL14" s="71">
        <v>2</v>
      </c>
      <c r="CM14" s="71">
        <v>2</v>
      </c>
      <c r="CN14"/>
      <c r="CO14"/>
      <c r="CP14"/>
      <c r="CQ14"/>
      <c r="CR14"/>
      <c r="CS14"/>
      <c r="CT14"/>
      <c r="CU14"/>
      <c r="CV14" t="s">
        <v>1779</v>
      </c>
      <c r="CW14" t="s">
        <v>741</v>
      </c>
      <c r="CX14"/>
      <c r="CY14" t="s">
        <v>1789</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
      <c r="B15" s="1140"/>
      <c r="C15" s="1140"/>
      <c r="D15" s="1296"/>
      <c r="E15" s="1297"/>
      <c r="F15" s="1297"/>
      <c r="G15" s="1297"/>
      <c r="H15" s="1297"/>
      <c r="I15" s="1297"/>
      <c r="J15" s="1297"/>
      <c r="K15" s="1297"/>
      <c r="L15" s="1297"/>
      <c r="M15" s="1297"/>
      <c r="N15" s="1297"/>
      <c r="O15" s="1297"/>
      <c r="P15" s="1297"/>
      <c r="Q15" s="1297"/>
      <c r="R15" s="1297"/>
      <c r="S15" s="1297"/>
      <c r="T15" s="1297"/>
      <c r="U15" s="1297"/>
      <c r="V15" s="1297"/>
      <c r="W15" s="1297"/>
      <c r="X15" s="1297"/>
      <c r="Y15" s="1297"/>
      <c r="Z15" s="1297"/>
      <c r="AA15" s="1297"/>
      <c r="AB15" s="1297"/>
      <c r="AC15" s="1297"/>
      <c r="AD15" s="1297"/>
      <c r="AE15" s="1297"/>
      <c r="AF15" s="1297"/>
      <c r="AG15" s="1297"/>
      <c r="AH15" s="1297"/>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8"/>
      <c r="BV15" s="111"/>
      <c r="BY15" s="555"/>
      <c r="BZ15" s="71" t="str">
        <f>+HLOOKUP($AU$3,$CC$21:$CO$34,11,0)</f>
        <v>MOTEL</v>
      </c>
      <c r="CA15"/>
      <c r="CB15"/>
      <c r="CC15" s="71" t="s">
        <v>505</v>
      </c>
      <c r="CD15" s="71" t="s">
        <v>506</v>
      </c>
      <c r="CE15" s="71" t="s">
        <v>481</v>
      </c>
      <c r="CF15" s="71">
        <v>4</v>
      </c>
      <c r="CG15"/>
      <c r="CH15" s="71">
        <v>20</v>
      </c>
      <c r="CI15" s="71">
        <v>1</v>
      </c>
      <c r="CJ15" s="71" t="str">
        <f t="shared" si="0"/>
        <v>ESTACIONAMIENTO</v>
      </c>
      <c r="CK15" s="71" t="s">
        <v>482</v>
      </c>
      <c r="CL15" s="71">
        <v>2</v>
      </c>
      <c r="CM15" s="71">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
      <c r="B16" s="1140"/>
      <c r="C16" s="1140"/>
      <c r="D16" s="1296"/>
      <c r="E16" s="1297"/>
      <c r="F16" s="1297"/>
      <c r="G16" s="1297"/>
      <c r="H16" s="1297"/>
      <c r="I16" s="1297"/>
      <c r="J16" s="1297"/>
      <c r="K16" s="1297"/>
      <c r="L16" s="1297"/>
      <c r="M16" s="1297"/>
      <c r="N16" s="1297"/>
      <c r="O16" s="1297"/>
      <c r="P16" s="1297"/>
      <c r="Q16" s="1297"/>
      <c r="R16" s="1297"/>
      <c r="S16" s="1297"/>
      <c r="T16" s="1297"/>
      <c r="U16" s="1297"/>
      <c r="V16" s="1297"/>
      <c r="W16" s="1297"/>
      <c r="X16" s="1297"/>
      <c r="Y16" s="1297"/>
      <c r="Z16" s="1297"/>
      <c r="AA16" s="1297"/>
      <c r="AB16" s="1297"/>
      <c r="AC16" s="1297"/>
      <c r="AD16" s="1297"/>
      <c r="AE16" s="1297"/>
      <c r="AF16" s="1297"/>
      <c r="AG16" s="1297"/>
      <c r="AH16" s="1297"/>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8"/>
      <c r="BV16" s="111"/>
      <c r="BY16" s="555"/>
      <c r="BZ16" s="71" t="str">
        <f>+HLOOKUP($AU$3,$CC$21:$CO$34,12,0)</f>
        <v>CONSULTORIO</v>
      </c>
      <c r="CA16"/>
      <c r="CB16"/>
      <c r="CC16" s="71" t="s">
        <v>507</v>
      </c>
      <c r="CD16" s="71" t="s">
        <v>508</v>
      </c>
      <c r="CE16" s="71" t="s">
        <v>481</v>
      </c>
      <c r="CF16" s="71">
        <v>3</v>
      </c>
      <c r="CG16" s="71">
        <v>0</v>
      </c>
      <c r="CH16" s="71">
        <v>20</v>
      </c>
      <c r="CI16" s="71">
        <v>1</v>
      </c>
      <c r="CJ16" s="71" t="str">
        <f t="shared" si="0"/>
        <v>EDIFICIO</v>
      </c>
      <c r="CK16" s="71" t="s">
        <v>482</v>
      </c>
      <c r="CL16" s="71">
        <v>1</v>
      </c>
      <c r="CM16" s="71">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
      <c r="B17" s="1140"/>
      <c r="C17" s="1140"/>
      <c r="D17" s="1358" t="str">
        <f>IF(LEN(RecepcionFinal)&lt;10,CONCATENATE("De acuerdo al SII, se adjunta en anexo, la vivienda original se encuentra plenamente regularizada en el ",RecepcionFinal," con una superficie total de ",supTerreno," m2 de terreno y ",ROUND(m2Construido,2)," m2 de construcción."),"")</f>
        <v/>
      </c>
      <c r="E17" s="1359"/>
      <c r="F17" s="1359"/>
      <c r="G17" s="1359"/>
      <c r="H17" s="1359"/>
      <c r="I17" s="1359"/>
      <c r="J17" s="1359"/>
      <c r="K17" s="1359"/>
      <c r="L17" s="1359"/>
      <c r="M17" s="1359"/>
      <c r="N17" s="1359"/>
      <c r="O17" s="1359"/>
      <c r="P17" s="1359"/>
      <c r="Q17" s="1359"/>
      <c r="R17" s="1359"/>
      <c r="S17" s="1359"/>
      <c r="T17" s="1359"/>
      <c r="U17" s="1359"/>
      <c r="V17" s="1359"/>
      <c r="W17" s="1359"/>
      <c r="X17" s="1359"/>
      <c r="Y17" s="1359"/>
      <c r="Z17" s="1359"/>
      <c r="AA17" s="1359"/>
      <c r="AB17" s="1359"/>
      <c r="AC17" s="1359"/>
      <c r="AD17" s="1359"/>
      <c r="AE17" s="1359"/>
      <c r="AF17" s="1359"/>
      <c r="AG17" s="1359"/>
      <c r="AH17" s="1359"/>
      <c r="AI17" s="1359"/>
      <c r="AJ17" s="1359"/>
      <c r="AK17" s="1359"/>
      <c r="AL17" s="1359"/>
      <c r="AM17" s="1359"/>
      <c r="AN17" s="1359"/>
      <c r="AO17" s="1359"/>
      <c r="AP17" s="1359"/>
      <c r="AQ17" s="1359"/>
      <c r="AR17" s="1359"/>
      <c r="AS17" s="1359"/>
      <c r="AT17" s="1359"/>
      <c r="AU17" s="1359"/>
      <c r="AV17" s="1359"/>
      <c r="AW17" s="1359"/>
      <c r="AX17" s="1359"/>
      <c r="AY17" s="1359"/>
      <c r="AZ17" s="1359"/>
      <c r="BA17" s="1359"/>
      <c r="BB17" s="1359"/>
      <c r="BC17" s="1359"/>
      <c r="BD17" s="1359"/>
      <c r="BE17" s="1359"/>
      <c r="BF17" s="1359"/>
      <c r="BG17" s="1359"/>
      <c r="BH17" s="1359"/>
      <c r="BI17" s="1359"/>
      <c r="BJ17" s="1359"/>
      <c r="BK17" s="1359"/>
      <c r="BL17" s="1359"/>
      <c r="BM17" s="1359"/>
      <c r="BN17" s="1359"/>
      <c r="BO17" s="1359"/>
      <c r="BP17" s="1359"/>
      <c r="BQ17" s="1359"/>
      <c r="BR17" s="1359"/>
      <c r="BS17" s="1359"/>
      <c r="BT17" s="1359"/>
      <c r="BU17" s="1360"/>
      <c r="BV17" s="111"/>
      <c r="BY17" s="555"/>
      <c r="BZ17" s="71" t="str">
        <f>+HLOOKUP($AU$3,$CC$21:$CO$34,13,0)</f>
        <v>EDUCACIONAL</v>
      </c>
      <c r="CA17"/>
      <c r="CB17"/>
      <c r="CC17" s="71" t="s">
        <v>509</v>
      </c>
      <c r="CD17"/>
      <c r="CE17"/>
      <c r="CF17" s="71">
        <v>3</v>
      </c>
      <c r="CG17" s="71">
        <v>1</v>
      </c>
      <c r="CH17" s="71">
        <v>50</v>
      </c>
      <c r="CI17" s="71">
        <v>1</v>
      </c>
      <c r="CJ17" s="71" t="str">
        <f t="shared" si="0"/>
        <v>OTRO</v>
      </c>
      <c r="CK17" s="71" t="s">
        <v>475</v>
      </c>
      <c r="CL17"/>
      <c r="CM17" s="71">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
      <c r="B18" s="1141" t="s">
        <v>511</v>
      </c>
      <c r="C18" s="1141"/>
      <c r="D18" s="1293" t="s">
        <v>2726</v>
      </c>
      <c r="E18" s="1294"/>
      <c r="F18" s="1294"/>
      <c r="G18" s="1294"/>
      <c r="H18" s="1294"/>
      <c r="I18" s="1294"/>
      <c r="J18" s="1294"/>
      <c r="K18" s="1294"/>
      <c r="L18" s="1294"/>
      <c r="M18" s="1294"/>
      <c r="N18" s="1294"/>
      <c r="O18" s="1294"/>
      <c r="P18" s="1294"/>
      <c r="Q18" s="1294"/>
      <c r="R18" s="1294"/>
      <c r="S18" s="1294"/>
      <c r="T18" s="1294"/>
      <c r="U18" s="1294"/>
      <c r="V18" s="1294"/>
      <c r="W18" s="1294"/>
      <c r="X18" s="1294"/>
      <c r="Y18" s="1294"/>
      <c r="Z18" s="1294"/>
      <c r="AA18" s="1294"/>
      <c r="AB18" s="1294"/>
      <c r="AC18" s="1294"/>
      <c r="AD18" s="1294"/>
      <c r="AE18" s="1294"/>
      <c r="AF18" s="1294"/>
      <c r="AG18" s="1294"/>
      <c r="AH18" s="1294"/>
      <c r="AI18" s="1294"/>
      <c r="AJ18" s="1294"/>
      <c r="AK18" s="1294"/>
      <c r="AL18" s="1294"/>
      <c r="AM18" s="1294"/>
      <c r="AN18" s="1294"/>
      <c r="AO18" s="1294"/>
      <c r="AP18" s="1294"/>
      <c r="AQ18" s="1294"/>
      <c r="AR18" s="1294"/>
      <c r="AS18" s="1294"/>
      <c r="AT18" s="1294"/>
      <c r="AU18" s="1294"/>
      <c r="AV18" s="1294"/>
      <c r="AW18" s="1294"/>
      <c r="AX18" s="1294"/>
      <c r="AY18" s="1294"/>
      <c r="AZ18" s="1294"/>
      <c r="BA18" s="1294"/>
      <c r="BB18" s="1294"/>
      <c r="BC18" s="1294"/>
      <c r="BD18" s="1294"/>
      <c r="BE18" s="1294"/>
      <c r="BF18" s="1294"/>
      <c r="BG18" s="1294"/>
      <c r="BH18" s="1294"/>
      <c r="BI18" s="1294"/>
      <c r="BJ18" s="1294"/>
      <c r="BK18" s="1294"/>
      <c r="BL18" s="1294"/>
      <c r="BM18" s="1294"/>
      <c r="BN18" s="1294"/>
      <c r="BO18" s="1294"/>
      <c r="BP18" s="1294"/>
      <c r="BQ18" s="1294"/>
      <c r="BR18" s="1294"/>
      <c r="BS18" s="1294"/>
      <c r="BT18" s="1294"/>
      <c r="BU18" s="1295"/>
      <c r="BV18" s="111"/>
      <c r="BY18" s="555"/>
      <c r="BZ18" s="71" t="str">
        <f>+HLOOKUP($AU$3,$CC$21:$CO$34,14,0)</f>
        <v>MIXTO (VER DETALLE)</v>
      </c>
      <c r="CA18"/>
      <c r="CB18"/>
      <c r="CC18" s="71" t="s">
        <v>510</v>
      </c>
      <c r="CD18" s="71" t="s">
        <v>118</v>
      </c>
      <c r="CE18"/>
      <c r="CF18" s="71">
        <v>4</v>
      </c>
      <c r="CG18"/>
      <c r="CH18"/>
      <c r="CI18" s="71">
        <f>+IF(AV3=0,0,VLOOKUP(AV3,CC6:CI17,7,0))</f>
        <v>0</v>
      </c>
      <c r="CJ18" s="71" t="str">
        <f t="shared" si="0"/>
        <v>SITIO</v>
      </c>
      <c r="CK18"/>
      <c r="CL18"/>
      <c r="CM18" s="71" t="e">
        <f>VLOOKUP(AV3,CJ6:CK17,2,0)</f>
        <v>#N/A</v>
      </c>
      <c r="CN18" s="71">
        <f>VLOOKUP($AU$3,$CC$6:$CM$17,11,0)</f>
        <v>1</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
      <c r="B19" s="1141"/>
      <c r="C19" s="1141"/>
      <c r="D19" s="1296"/>
      <c r="E19" s="1297"/>
      <c r="F19" s="1297"/>
      <c r="G19" s="1297"/>
      <c r="H19" s="1297"/>
      <c r="I19" s="1297"/>
      <c r="J19" s="1297"/>
      <c r="K19" s="1297"/>
      <c r="L19" s="1297"/>
      <c r="M19" s="1297"/>
      <c r="N19" s="1297"/>
      <c r="O19" s="1297"/>
      <c r="P19" s="1297"/>
      <c r="Q19" s="1297"/>
      <c r="R19" s="1297"/>
      <c r="S19" s="1297"/>
      <c r="T19" s="1297"/>
      <c r="U19" s="1297"/>
      <c r="V19" s="1297"/>
      <c r="W19" s="1297"/>
      <c r="X19" s="1297"/>
      <c r="Y19" s="1297"/>
      <c r="Z19" s="1297"/>
      <c r="AA19" s="1297"/>
      <c r="AB19" s="1297"/>
      <c r="AC19" s="1297"/>
      <c r="AD19" s="1297"/>
      <c r="AE19" s="1297"/>
      <c r="AF19" s="1297"/>
      <c r="AG19" s="1297"/>
      <c r="AH19" s="1297"/>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8"/>
      <c r="BV19" s="111"/>
      <c r="BY19" s="555"/>
      <c r="BZ19" s="71" t="str">
        <f>+HLOOKUP($AU$3,$CC$21:$CO$34,14,0)</f>
        <v>MIXTO (VER DETALLE)</v>
      </c>
      <c r="CA19"/>
      <c r="CB19"/>
      <c r="CC19" s="71" t="s">
        <v>512</v>
      </c>
      <c r="CD19"/>
      <c r="CE19" s="71" t="s">
        <v>513</v>
      </c>
      <c r="CF19" s="71">
        <v>1</v>
      </c>
      <c r="CG19"/>
      <c r="CH19"/>
      <c r="CI19"/>
      <c r="CJ19" s="71"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
      <c r="B20" s="1141"/>
      <c r="C20" s="1141"/>
      <c r="D20" s="1299"/>
      <c r="E20" s="1300"/>
      <c r="F20" s="1300"/>
      <c r="G20" s="1300"/>
      <c r="H20" s="1300"/>
      <c r="I20" s="1300"/>
      <c r="J20" s="1300"/>
      <c r="K20" s="1300"/>
      <c r="L20" s="1300"/>
      <c r="M20" s="1300"/>
      <c r="N20" s="1300"/>
      <c r="O20" s="1300"/>
      <c r="P20" s="1300"/>
      <c r="Q20" s="1300"/>
      <c r="R20" s="1300"/>
      <c r="S20" s="1300"/>
      <c r="T20" s="1300"/>
      <c r="U20" s="1300"/>
      <c r="V20" s="1300"/>
      <c r="W20" s="1300"/>
      <c r="X20" s="1300"/>
      <c r="Y20" s="1300"/>
      <c r="Z20" s="1300"/>
      <c r="AA20" s="1300"/>
      <c r="AB20" s="1300"/>
      <c r="AC20" s="1300"/>
      <c r="AD20" s="1300"/>
      <c r="AE20" s="1300"/>
      <c r="AF20" s="1300"/>
      <c r="AG20" s="1300"/>
      <c r="AH20" s="1300"/>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1"/>
      <c r="BV20" s="111"/>
      <c r="BY20" s="555"/>
      <c r="BZ20" s="71" t="str">
        <f>+HLOOKUP($AU$3,$CC$21:$CO$34,14,0)</f>
        <v>MIXTO (VER DETALLE)</v>
      </c>
      <c r="CA20"/>
      <c r="CB20"/>
      <c r="CC20"/>
      <c r="CD20"/>
      <c r="CE20"/>
      <c r="CF20"/>
      <c r="CG20"/>
      <c r="CH20"/>
      <c r="CI20"/>
      <c r="CJ20"/>
      <c r="CK20"/>
      <c r="CL20"/>
      <c r="CM20"/>
      <c r="CN20"/>
      <c r="CO20"/>
      <c r="CP20"/>
      <c r="CQ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
      <c r="A21" s="112"/>
      <c r="B21" s="1302" t="s">
        <v>515</v>
      </c>
      <c r="C21" s="1302"/>
      <c r="D21" s="1302"/>
      <c r="E21" s="1302"/>
      <c r="F21" s="1302"/>
      <c r="G21" s="1302"/>
      <c r="H21" s="1302"/>
      <c r="I21" s="1302"/>
      <c r="J21" s="1302"/>
      <c r="K21" s="1302"/>
      <c r="L21" s="1302"/>
      <c r="M21" s="433" t="s">
        <v>1072</v>
      </c>
      <c r="N21" s="433"/>
      <c r="O21" s="433"/>
      <c r="P21" s="433"/>
      <c r="Q21" s="433"/>
      <c r="R21" s="433"/>
      <c r="S21" s="433"/>
      <c r="T21" s="433"/>
      <c r="U21" s="433"/>
      <c r="V21" s="433"/>
      <c r="W21" s="433"/>
      <c r="X21" s="433"/>
      <c r="Y21" s="433"/>
      <c r="Z21" s="433"/>
      <c r="AA21" s="1149" t="s">
        <v>1581</v>
      </c>
      <c r="AB21" s="1149"/>
      <c r="AC21" s="1149"/>
      <c r="AD21" s="431" t="str">
        <f>CONCATENATE("de la comuna de ", AU8)</f>
        <v>de la comuna de Estación Central</v>
      </c>
      <c r="AG21" s="431"/>
      <c r="AH21" s="431"/>
      <c r="AI21" s="431"/>
      <c r="AJ21" s="431"/>
      <c r="AK21" s="431"/>
      <c r="AL21" s="431"/>
      <c r="AM21" s="431"/>
      <c r="AN21" s="431"/>
      <c r="AO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431"/>
      <c r="BM21" s="431"/>
      <c r="BN21" s="431"/>
      <c r="BO21" s="431"/>
      <c r="BP21" s="431"/>
      <c r="BQ21" s="431"/>
      <c r="BR21" s="431"/>
      <c r="BS21" s="431"/>
      <c r="BT21" s="431"/>
      <c r="BU21" s="432"/>
      <c r="BV21" s="111"/>
      <c r="BY21" s="555"/>
      <c r="BZ21"/>
      <c r="CA21"/>
      <c r="CB21"/>
      <c r="CC21" s="71" t="s">
        <v>472</v>
      </c>
      <c r="CD21" s="71" t="s">
        <v>479</v>
      </c>
      <c r="CE21" s="71" t="s">
        <v>486</v>
      </c>
      <c r="CF21" s="71" t="s">
        <v>493</v>
      </c>
      <c r="CG21" s="71" t="s">
        <v>497</v>
      </c>
      <c r="CH21" s="71" t="s">
        <v>499</v>
      </c>
      <c r="CI21" s="71" t="s">
        <v>502</v>
      </c>
      <c r="CJ21" s="71" t="s">
        <v>514</v>
      </c>
      <c r="CK21" s="71" t="s">
        <v>505</v>
      </c>
      <c r="CL21" s="71" t="s">
        <v>507</v>
      </c>
      <c r="CM21" s="71" t="s">
        <v>509</v>
      </c>
      <c r="CN21" s="71" t="s">
        <v>510</v>
      </c>
      <c r="CO21" s="71" t="s">
        <v>512</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25">
      <c r="B22" s="1156" t="s">
        <v>520</v>
      </c>
      <c r="C22" s="1157"/>
      <c r="D22" s="1157"/>
      <c r="E22" s="87" t="s">
        <v>462</v>
      </c>
      <c r="F22" s="1204" t="str">
        <f>VLOOKUP(CE3,Zonificacion!A2:Z1125,4)</f>
        <v>Medio</v>
      </c>
      <c r="G22" s="1204"/>
      <c r="H22" s="1204"/>
      <c r="I22" s="1204"/>
      <c r="J22" s="1204"/>
      <c r="K22" s="1204"/>
      <c r="L22" s="1204"/>
      <c r="M22" s="1142" t="s">
        <v>521</v>
      </c>
      <c r="N22" s="1142"/>
      <c r="O22" s="1142"/>
      <c r="P22" s="1142"/>
      <c r="Q22" s="1142"/>
      <c r="R22" s="86" t="s">
        <v>462</v>
      </c>
      <c r="S22" s="1204" t="str">
        <f>VLOOKUP(CE3,Zonificacion!A2:Z1125,10)</f>
        <v>Habitacional</v>
      </c>
      <c r="T22" s="1204"/>
      <c r="U22" s="1204"/>
      <c r="V22" s="1204"/>
      <c r="W22" s="1204"/>
      <c r="X22" s="1204"/>
      <c r="Y22" s="1204"/>
      <c r="Z22" s="1142" t="s">
        <v>522</v>
      </c>
      <c r="AA22" s="1142"/>
      <c r="AB22" s="1142"/>
      <c r="AC22" s="1142"/>
      <c r="AD22" s="86" t="s">
        <v>462</v>
      </c>
      <c r="AE22" s="1204" t="s">
        <v>699</v>
      </c>
      <c r="AF22" s="1204"/>
      <c r="AG22" s="1204"/>
      <c r="AH22" s="1204"/>
      <c r="AI22" s="1204"/>
      <c r="AJ22" s="1204"/>
      <c r="AK22" s="441" t="s">
        <v>523</v>
      </c>
      <c r="AL22" s="504"/>
      <c r="AM22" s="504"/>
      <c r="AN22" s="504"/>
      <c r="AO22" s="505"/>
      <c r="AP22" s="505"/>
      <c r="AQ22" s="504"/>
      <c r="AR22" s="113"/>
      <c r="AS22" s="113"/>
      <c r="AT22" s="113"/>
      <c r="AU22" s="113"/>
      <c r="AV22" s="506"/>
      <c r="AW22" s="507"/>
      <c r="AX22" s="507"/>
      <c r="AY22" s="507"/>
      <c r="AZ22" s="508"/>
      <c r="BA22" s="114"/>
      <c r="BB22" s="1150" t="s">
        <v>483</v>
      </c>
      <c r="BC22" s="1151"/>
      <c r="BD22" s="1151"/>
      <c r="BE22" s="1151"/>
      <c r="BF22" s="1151"/>
      <c r="BG22" s="1151"/>
      <c r="BH22" s="1151"/>
      <c r="BI22" s="1151"/>
      <c r="BJ22" s="1151"/>
      <c r="BK22" s="1151"/>
      <c r="BL22" s="1151"/>
      <c r="BM22" s="1151"/>
      <c r="BN22" s="1151"/>
      <c r="BO22" s="1151"/>
      <c r="BP22" s="1151"/>
      <c r="BQ22" s="1151"/>
      <c r="BR22" s="1151"/>
      <c r="BS22" s="1151"/>
      <c r="BT22" s="1151"/>
      <c r="BU22" s="1151"/>
      <c r="BV22" s="111"/>
      <c r="BY22" s="555"/>
      <c r="BZ22"/>
      <c r="CA22"/>
      <c r="CB22"/>
      <c r="CC22" s="71" t="s">
        <v>516</v>
      </c>
      <c r="CD22" s="71" t="s">
        <v>516</v>
      </c>
      <c r="CE22" s="71" t="s">
        <v>516</v>
      </c>
      <c r="CF22" s="71" t="s">
        <v>516</v>
      </c>
      <c r="CG22" s="71" t="s">
        <v>516</v>
      </c>
      <c r="CH22" s="71" t="s">
        <v>517</v>
      </c>
      <c r="CI22" s="71" t="s">
        <v>516</v>
      </c>
      <c r="CJ22" s="71" t="s">
        <v>516</v>
      </c>
      <c r="CK22" s="71" t="s">
        <v>516</v>
      </c>
      <c r="CL22" s="71" t="s">
        <v>516</v>
      </c>
      <c r="CM22" s="71" t="s">
        <v>518</v>
      </c>
      <c r="CN22" s="71" t="s">
        <v>516</v>
      </c>
      <c r="CO22" s="71" t="s">
        <v>519</v>
      </c>
      <c r="CQ22"/>
      <c r="CR22"/>
      <c r="CS22"/>
      <c r="CT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71" customFormat="1" ht="12" customHeight="1" x14ac:dyDescent="0.25">
      <c r="A23"/>
      <c r="B23" s="1116" t="s">
        <v>529</v>
      </c>
      <c r="C23" s="1117"/>
      <c r="D23" s="1117"/>
      <c r="E23" s="99" t="s">
        <v>462</v>
      </c>
      <c r="F23" s="1158" t="str">
        <f>VLOOKUP(CE3,Zonificacion!A2:Z1125,5)</f>
        <v>Estable</v>
      </c>
      <c r="G23" s="1158"/>
      <c r="H23" s="1158"/>
      <c r="I23" s="1158"/>
      <c r="J23" s="1158"/>
      <c r="K23" s="1158"/>
      <c r="L23" s="1158"/>
      <c r="M23" s="1117" t="s">
        <v>530</v>
      </c>
      <c r="N23" s="1117"/>
      <c r="O23" s="1117"/>
      <c r="P23" s="1117"/>
      <c r="Q23" s="1117"/>
      <c r="R23" s="98" t="s">
        <v>462</v>
      </c>
      <c r="S23" s="1158" t="str">
        <f>VLOOKUP(CE3,Zonificacion!A2:Z1125,11)</f>
        <v>Urbana</v>
      </c>
      <c r="T23" s="1158"/>
      <c r="U23" s="1158"/>
      <c r="V23" s="1158"/>
      <c r="W23" s="1158"/>
      <c r="X23" s="1158"/>
      <c r="Y23" s="1158"/>
      <c r="Z23" s="1117" t="s">
        <v>531</v>
      </c>
      <c r="AA23" s="1117"/>
      <c r="AB23" s="1117"/>
      <c r="AC23" s="1117"/>
      <c r="AD23" s="98" t="s">
        <v>462</v>
      </c>
      <c r="AE23" s="1158" t="str">
        <f>VLOOKUP(CE3,Zonificacion!A2:Z1125,16)</f>
        <v>Red Aérea</v>
      </c>
      <c r="AF23" s="1158"/>
      <c r="AG23" s="1158"/>
      <c r="AH23" s="1158"/>
      <c r="AI23" s="1158"/>
      <c r="AJ23" s="1158"/>
      <c r="AK23" s="1117" t="s">
        <v>532</v>
      </c>
      <c r="AL23" s="1117"/>
      <c r="AM23" s="1117"/>
      <c r="AN23" s="1117"/>
      <c r="AO23" s="1117"/>
      <c r="AP23" s="1123">
        <v>45</v>
      </c>
      <c r="AQ23" s="1123"/>
      <c r="AR23" s="116" t="s">
        <v>533</v>
      </c>
      <c r="AS23" s="1163" t="s">
        <v>534</v>
      </c>
      <c r="AT23" s="1163"/>
      <c r="AU23" s="1163"/>
      <c r="AV23" s="1163"/>
      <c r="AW23" s="1163"/>
      <c r="AX23" s="1123">
        <v>5</v>
      </c>
      <c r="AY23" s="1123"/>
      <c r="AZ23" s="118" t="s">
        <v>533</v>
      </c>
      <c r="BA23"/>
      <c r="BB23" s="1352" t="s">
        <v>488</v>
      </c>
      <c r="BC23" s="1352"/>
      <c r="BD23" s="1352"/>
      <c r="BE23" s="1352"/>
      <c r="BF23" s="1352"/>
      <c r="BG23" s="1352"/>
      <c r="BH23" s="1352"/>
      <c r="BI23" s="1352"/>
      <c r="BJ23" s="106" t="s">
        <v>462</v>
      </c>
      <c r="BK23" s="1329" t="s">
        <v>489</v>
      </c>
      <c r="BL23" s="1329"/>
      <c r="BM23" s="1329"/>
      <c r="BN23" s="1329"/>
      <c r="BO23" s="1329"/>
      <c r="BP23" s="1329"/>
      <c r="BQ23" s="1329"/>
      <c r="BR23" s="1329"/>
      <c r="BS23" s="1329"/>
      <c r="BT23" s="1329"/>
      <c r="BU23" s="1330"/>
      <c r="BV23" s="115"/>
      <c r="BW23" s="236"/>
      <c r="BX23" s="236"/>
      <c r="BY23" s="555"/>
      <c r="CC23" s="71" t="s">
        <v>524</v>
      </c>
      <c r="CD23" s="71" t="s">
        <v>524</v>
      </c>
      <c r="CE23" s="71" t="s">
        <v>524</v>
      </c>
      <c r="CF23" s="71" t="s">
        <v>524</v>
      </c>
      <c r="CG23" s="71" t="s">
        <v>525</v>
      </c>
      <c r="CH23" s="71" t="s">
        <v>526</v>
      </c>
      <c r="CI23" s="71" t="s">
        <v>524</v>
      </c>
      <c r="CJ23" s="71" t="s">
        <v>524</v>
      </c>
      <c r="CK23" s="71" t="s">
        <v>524</v>
      </c>
      <c r="CL23" s="71" t="s">
        <v>524</v>
      </c>
      <c r="CM23" s="71" t="s">
        <v>527</v>
      </c>
      <c r="CN23" s="71" t="s">
        <v>525</v>
      </c>
      <c r="CO23" s="71" t="s">
        <v>528</v>
      </c>
    </row>
    <row r="24" spans="1:1027" ht="12" customHeight="1" x14ac:dyDescent="0.25">
      <c r="B24" s="1116" t="s">
        <v>541</v>
      </c>
      <c r="C24" s="1117"/>
      <c r="D24" s="1117"/>
      <c r="E24" s="99" t="s">
        <v>462</v>
      </c>
      <c r="F24" s="1158" t="str">
        <f>VLOOKUP(CE3,Zonificacion!A2:Z1125,6)</f>
        <v>Media</v>
      </c>
      <c r="G24" s="1158"/>
      <c r="H24" s="1158"/>
      <c r="I24" s="1158"/>
      <c r="J24" s="1158"/>
      <c r="K24" s="1158"/>
      <c r="L24" s="1158"/>
      <c r="M24" s="1117" t="s">
        <v>542</v>
      </c>
      <c r="N24" s="1117"/>
      <c r="O24" s="1117"/>
      <c r="P24" s="1117"/>
      <c r="Q24" s="1117"/>
      <c r="R24" s="98" t="s">
        <v>462</v>
      </c>
      <c r="S24" s="1158" t="str">
        <f>VLOOKUP(CE3,Zonificacion!A2:Z1125,12)</f>
        <v>Hormigón</v>
      </c>
      <c r="T24" s="1158"/>
      <c r="U24" s="1158"/>
      <c r="V24" s="1158"/>
      <c r="W24" s="1158"/>
      <c r="X24" s="1158"/>
      <c r="Y24" s="1158"/>
      <c r="Z24" s="1117" t="s">
        <v>543</v>
      </c>
      <c r="AA24" s="1117"/>
      <c r="AB24" s="1117"/>
      <c r="AC24" s="1117"/>
      <c r="AD24" s="98" t="s">
        <v>462</v>
      </c>
      <c r="AE24" s="1158" t="str">
        <f>VLOOKUP(CE3,Zonificacion!A2:Z1125,17)</f>
        <v>Matriz Pública</v>
      </c>
      <c r="AF24" s="1158"/>
      <c r="AG24" s="1158"/>
      <c r="AH24" s="1158"/>
      <c r="AI24" s="1158"/>
      <c r="AJ24" s="1158"/>
      <c r="AK24" s="1117" t="s">
        <v>508</v>
      </c>
      <c r="AL24" s="1117"/>
      <c r="AM24" s="1117"/>
      <c r="AN24" s="1117"/>
      <c r="AO24" s="1117"/>
      <c r="AP24" s="1356">
        <v>10</v>
      </c>
      <c r="AQ24" s="1356"/>
      <c r="AR24" s="116" t="s">
        <v>533</v>
      </c>
      <c r="AS24" s="1163" t="s">
        <v>544</v>
      </c>
      <c r="AT24" s="1163"/>
      <c r="AU24" s="1163"/>
      <c r="AV24" s="1163"/>
      <c r="AW24" s="1163"/>
      <c r="AX24" s="1123">
        <v>15</v>
      </c>
      <c r="AY24" s="1123"/>
      <c r="AZ24" s="118" t="s">
        <v>533</v>
      </c>
      <c r="BB24" s="1201" t="s">
        <v>495</v>
      </c>
      <c r="BC24" s="1201"/>
      <c r="BD24" s="1201"/>
      <c r="BE24" s="1201"/>
      <c r="BF24" s="1201"/>
      <c r="BG24" s="1201"/>
      <c r="BH24" s="1201"/>
      <c r="BI24" s="1201"/>
      <c r="BJ24" s="449" t="s">
        <v>462</v>
      </c>
      <c r="BK24" s="1202" t="s">
        <v>699</v>
      </c>
      <c r="BL24" s="1202"/>
      <c r="BM24" s="1202"/>
      <c r="BN24" s="1202"/>
      <c r="BO24" s="1202"/>
      <c r="BP24" s="1202"/>
      <c r="BQ24" s="1202"/>
      <c r="BR24" s="1202"/>
      <c r="BS24" s="1202"/>
      <c r="BT24" s="1202"/>
      <c r="BU24" s="1202"/>
      <c r="BV24" s="111"/>
      <c r="BW24" s="111"/>
      <c r="BX24" s="111"/>
      <c r="BY24" s="921" t="s">
        <v>1809</v>
      </c>
      <c r="BZ24" s="71" t="str">
        <f>+CONCATENATE(AU4," ",UPPER(AY4)," N° ",BR4,IF(AP5=0,"",CONCATENATE((", "),UPPER(AP5)," ",AU5,)))</f>
        <v>Coronel Souper N° 4060  N° , DEPTO. N°2502 B</v>
      </c>
      <c r="CA24"/>
      <c r="CB24"/>
      <c r="CC24" s="71" t="s">
        <v>535</v>
      </c>
      <c r="CD24" s="71" t="s">
        <v>535</v>
      </c>
      <c r="CE24" s="71" t="s">
        <v>535</v>
      </c>
      <c r="CF24" s="71" t="s">
        <v>536</v>
      </c>
      <c r="CG24" s="71" t="s">
        <v>537</v>
      </c>
      <c r="CH24" s="71" t="s">
        <v>538</v>
      </c>
      <c r="CI24" s="71" t="s">
        <v>486</v>
      </c>
      <c r="CJ24" s="71" t="s">
        <v>486</v>
      </c>
      <c r="CK24" s="71" t="s">
        <v>486</v>
      </c>
      <c r="CL24" s="71" t="s">
        <v>535</v>
      </c>
      <c r="CM24" s="71" t="s">
        <v>539</v>
      </c>
      <c r="CN24" s="71" t="s">
        <v>537</v>
      </c>
      <c r="CO24" s="71" t="s">
        <v>540</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25">
      <c r="B25" s="1116" t="s">
        <v>550</v>
      </c>
      <c r="C25" s="1117"/>
      <c r="D25" s="1117"/>
      <c r="E25" s="99" t="s">
        <v>462</v>
      </c>
      <c r="F25" s="1158" t="s">
        <v>1054</v>
      </c>
      <c r="G25" s="1158"/>
      <c r="H25" s="1158"/>
      <c r="I25" s="1158"/>
      <c r="J25" s="1158"/>
      <c r="K25" s="1158"/>
      <c r="L25" s="1158"/>
      <c r="M25" s="1117" t="s">
        <v>551</v>
      </c>
      <c r="N25" s="1117"/>
      <c r="O25" s="1117"/>
      <c r="P25" s="1117"/>
      <c r="Q25" s="1117"/>
      <c r="R25" s="98" t="s">
        <v>462</v>
      </c>
      <c r="S25" s="1158" t="str">
        <f>VLOOKUP(CE3,Zonificacion!A2:Z1125,13)</f>
        <v>Pastelón</v>
      </c>
      <c r="T25" s="1158"/>
      <c r="U25" s="1158"/>
      <c r="V25" s="1158"/>
      <c r="W25" s="1158"/>
      <c r="X25" s="1158"/>
      <c r="Y25" s="1158"/>
      <c r="Z25" s="1117" t="s">
        <v>552</v>
      </c>
      <c r="AA25" s="1117"/>
      <c r="AB25" s="1117"/>
      <c r="AC25" s="1117"/>
      <c r="AD25" s="98" t="s">
        <v>462</v>
      </c>
      <c r="AE25" s="1158" t="s">
        <v>2727</v>
      </c>
      <c r="AF25" s="1158"/>
      <c r="AG25" s="1158"/>
      <c r="AH25" s="1158"/>
      <c r="AI25" s="1158"/>
      <c r="AJ25" s="1158"/>
      <c r="AK25" s="1117" t="s">
        <v>553</v>
      </c>
      <c r="AL25" s="1117"/>
      <c r="AM25" s="1117"/>
      <c r="AN25" s="1117"/>
      <c r="AO25" s="1117"/>
      <c r="AP25" s="1356"/>
      <c r="AQ25" s="1356"/>
      <c r="AR25" s="116" t="s">
        <v>533</v>
      </c>
      <c r="AS25" s="1163" t="s">
        <v>554</v>
      </c>
      <c r="AT25" s="1163"/>
      <c r="AU25" s="1163"/>
      <c r="AV25" s="1163"/>
      <c r="AW25" s="1163"/>
      <c r="AX25" s="1123"/>
      <c r="AY25" s="1123"/>
      <c r="AZ25" s="118" t="s">
        <v>533</v>
      </c>
      <c r="BB25" s="1351" t="s">
        <v>490</v>
      </c>
      <c r="BC25" s="1351"/>
      <c r="BD25" s="1351"/>
      <c r="BE25" s="1351"/>
      <c r="BF25" s="1351"/>
      <c r="BG25" s="1351"/>
      <c r="BH25" s="1351"/>
      <c r="BI25" s="1351"/>
      <c r="BJ25" s="1351"/>
      <c r="BK25" s="448" t="s">
        <v>462</v>
      </c>
      <c r="BL25" s="1152" t="s">
        <v>588</v>
      </c>
      <c r="BM25" s="1153"/>
      <c r="BN25" s="1153"/>
      <c r="BO25" s="1153"/>
      <c r="BP25" s="1153"/>
      <c r="BQ25" s="1153"/>
      <c r="BR25" s="1153"/>
      <c r="BS25" s="1153"/>
      <c r="BT25" s="1153"/>
      <c r="BU25" s="1153"/>
      <c r="BY25" s="922" t="s">
        <v>1810</v>
      </c>
      <c r="BZ25"/>
      <c r="CA25"/>
      <c r="CB25"/>
      <c r="CC25" s="71" t="s">
        <v>486</v>
      </c>
      <c r="CD25" s="71" t="s">
        <v>486</v>
      </c>
      <c r="CE25" s="71" t="s">
        <v>486</v>
      </c>
      <c r="CF25" s="71" t="s">
        <v>486</v>
      </c>
      <c r="CG25" s="71" t="s">
        <v>545</v>
      </c>
      <c r="CH25" s="71" t="s">
        <v>546</v>
      </c>
      <c r="CI25" s="71" t="s">
        <v>547</v>
      </c>
      <c r="CJ25" s="71" t="s">
        <v>547</v>
      </c>
      <c r="CK25" s="71" t="s">
        <v>547</v>
      </c>
      <c r="CL25" s="71" t="s">
        <v>486</v>
      </c>
      <c r="CM25" s="71" t="s">
        <v>548</v>
      </c>
      <c r="CN25" s="71" t="s">
        <v>545</v>
      </c>
      <c r="CO25" s="71" t="s">
        <v>549</v>
      </c>
      <c r="CP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25">
      <c r="B26" s="1116" t="s">
        <v>557</v>
      </c>
      <c r="C26" s="1117"/>
      <c r="D26" s="1117"/>
      <c r="E26" s="99" t="s">
        <v>462</v>
      </c>
      <c r="F26" s="509" t="str">
        <f>VLOOKUP(CE3,Zonificacion!A2:Z1125,8)</f>
        <v>NO</v>
      </c>
      <c r="G26" s="509" t="s">
        <v>1075</v>
      </c>
      <c r="H26" s="1158" t="str">
        <f>VLOOKUP(CE3,Zonificacion!A2:Z1125,9)</f>
        <v>No Homogéneo</v>
      </c>
      <c r="I26" s="1158"/>
      <c r="J26" s="1158"/>
      <c r="K26" s="1158"/>
      <c r="L26" s="1158"/>
      <c r="M26" s="1163" t="s">
        <v>558</v>
      </c>
      <c r="N26" s="1163"/>
      <c r="O26" s="1163"/>
      <c r="P26" s="1163"/>
      <c r="Q26" s="1163"/>
      <c r="R26" s="109" t="s">
        <v>462</v>
      </c>
      <c r="S26" s="1158" t="str">
        <f>VLOOKUP(CE3,Zonificacion!A2:Z1125,14)</f>
        <v>Solera</v>
      </c>
      <c r="T26" s="1158"/>
      <c r="U26" s="1158"/>
      <c r="V26" s="1158"/>
      <c r="W26" s="1158"/>
      <c r="X26" s="1158"/>
      <c r="Y26" s="1158"/>
      <c r="Z26" s="1117" t="s">
        <v>559</v>
      </c>
      <c r="AA26" s="1117"/>
      <c r="AB26" s="1117"/>
      <c r="AC26" s="1117"/>
      <c r="AD26" s="98" t="s">
        <v>462</v>
      </c>
      <c r="AE26" s="1158" t="s">
        <v>2728</v>
      </c>
      <c r="AF26" s="1158"/>
      <c r="AG26" s="1158"/>
      <c r="AH26" s="1158"/>
      <c r="AI26" s="1158"/>
      <c r="AJ26" s="1158"/>
      <c r="AK26" s="1117" t="s">
        <v>560</v>
      </c>
      <c r="AL26" s="1117"/>
      <c r="AM26" s="1117"/>
      <c r="AN26" s="1117"/>
      <c r="AO26" s="1117"/>
      <c r="AP26" s="1356">
        <v>15</v>
      </c>
      <c r="AQ26" s="1356"/>
      <c r="AR26" s="116" t="s">
        <v>533</v>
      </c>
      <c r="AS26" s="1163" t="s">
        <v>561</v>
      </c>
      <c r="AT26" s="1163"/>
      <c r="AU26" s="1163"/>
      <c r="AV26" s="1163"/>
      <c r="AW26" s="1163"/>
      <c r="AX26" s="1331">
        <f>100-(AP23+AP24+AP25+AP26+AX23+AX24+AX25)</f>
        <v>10</v>
      </c>
      <c r="AY26" s="1331"/>
      <c r="AZ26" s="118" t="s">
        <v>533</v>
      </c>
      <c r="BB26" s="1355" t="s">
        <v>496</v>
      </c>
      <c r="BC26" s="1355"/>
      <c r="BD26" s="1355"/>
      <c r="BE26" s="1355"/>
      <c r="BF26" s="1355"/>
      <c r="BG26" s="1355"/>
      <c r="BH26" s="1355"/>
      <c r="BI26" s="108"/>
      <c r="BJ26" s="109"/>
      <c r="BK26" s="110" t="s">
        <v>462</v>
      </c>
      <c r="BL26" s="1154" t="s">
        <v>1523</v>
      </c>
      <c r="BM26" s="1155"/>
      <c r="BN26" s="1155"/>
      <c r="BO26" s="1155"/>
      <c r="BP26" s="1155"/>
      <c r="BQ26" s="1155"/>
      <c r="BR26" s="1155"/>
      <c r="BS26" s="1155"/>
      <c r="BT26" s="1155"/>
      <c r="BU26" s="1155"/>
      <c r="BV26" s="75"/>
      <c r="BW26" s="75"/>
      <c r="BX26" s="75"/>
      <c r="BY26" s="75"/>
      <c r="BZ26" s="1353" t="b">
        <f>+OR(Impresion!AZ15="SI")</f>
        <v>0</v>
      </c>
      <c r="CA26" s="1353"/>
      <c r="CB26"/>
      <c r="CC26" s="71" t="s">
        <v>547</v>
      </c>
      <c r="CD26" s="71" t="s">
        <v>547</v>
      </c>
      <c r="CE26" s="71" t="s">
        <v>547</v>
      </c>
      <c r="CF26" s="71" t="s">
        <v>547</v>
      </c>
      <c r="CG26" s="71" t="s">
        <v>555</v>
      </c>
      <c r="CH26" s="71" t="s">
        <v>556</v>
      </c>
      <c r="CI26" s="71" t="s">
        <v>47</v>
      </c>
      <c r="CJ26" s="71" t="s">
        <v>47</v>
      </c>
      <c r="CK26" s="71" t="s">
        <v>47</v>
      </c>
      <c r="CL26" s="71" t="s">
        <v>547</v>
      </c>
      <c r="CM26"/>
      <c r="CN26" s="71" t="s">
        <v>555</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
      <c r="B27" s="121"/>
      <c r="C27" s="112"/>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22"/>
      <c r="BB27" s="119" t="str">
        <f>+IF(BZ26,"Afecta Valor Com.","")</f>
        <v/>
      </c>
      <c r="BC27" s="120"/>
      <c r="BD27" s="120"/>
      <c r="BE27" s="120"/>
      <c r="BF27" s="120"/>
      <c r="BG27" s="120"/>
      <c r="BV27" s="420"/>
      <c r="BW27" s="120"/>
      <c r="BX27" s="120"/>
      <c r="BY27" s="120"/>
      <c r="BZ27"/>
      <c r="CA27"/>
      <c r="CB27"/>
      <c r="CC27" s="71" t="s">
        <v>47</v>
      </c>
      <c r="CD27" s="71" t="s">
        <v>47</v>
      </c>
      <c r="CE27" s="71" t="s">
        <v>47</v>
      </c>
      <c r="CF27" s="71" t="s">
        <v>47</v>
      </c>
      <c r="CG27" s="71" t="s">
        <v>562</v>
      </c>
      <c r="CH27" s="71" t="s">
        <v>563</v>
      </c>
      <c r="CI27" s="71" t="s">
        <v>564</v>
      </c>
      <c r="CJ27" s="71" t="s">
        <v>564</v>
      </c>
      <c r="CK27" s="71" t="s">
        <v>564</v>
      </c>
      <c r="CL27" s="71" t="s">
        <v>47</v>
      </c>
      <c r="CM27"/>
      <c r="CN27" s="71" t="s">
        <v>562</v>
      </c>
      <c r="CO27"/>
      <c r="CP27"/>
      <c r="CQ27"/>
      <c r="CR27"/>
      <c r="CS27"/>
      <c r="CT27"/>
      <c r="CU27"/>
      <c r="CV27"/>
      <c r="CW27"/>
      <c r="CX27"/>
      <c r="CY27"/>
      <c r="CZ27"/>
      <c r="DA27"/>
      <c r="DB27" s="1107" t="s">
        <v>2708</v>
      </c>
      <c r="DC27" s="1107"/>
      <c r="DD27" s="1107"/>
      <c r="DE27" s="1107"/>
      <c r="DF27" s="110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5">
      <c r="B28" s="123" t="s">
        <v>567</v>
      </c>
      <c r="C28" s="123"/>
      <c r="D28" s="123"/>
      <c r="E28" s="123"/>
      <c r="F28" s="123"/>
      <c r="G28" s="124"/>
      <c r="H28" s="125" t="s">
        <v>568</v>
      </c>
      <c r="I28" s="1161" t="s">
        <v>569</v>
      </c>
      <c r="J28" s="1161"/>
      <c r="K28" s="1161"/>
      <c r="L28" s="1161"/>
      <c r="M28" s="1161"/>
      <c r="N28" s="1161"/>
      <c r="O28" s="1161"/>
      <c r="P28" s="1161"/>
      <c r="Q28" s="1161"/>
      <c r="R28" s="1161"/>
      <c r="S28" s="1161"/>
      <c r="T28" s="1161"/>
      <c r="U28" s="1161"/>
      <c r="V28" s="1161"/>
      <c r="W28" s="1161"/>
      <c r="X28" s="1161" t="s">
        <v>570</v>
      </c>
      <c r="Y28" s="1161"/>
      <c r="Z28" s="1161"/>
      <c r="AA28" s="1161" t="s">
        <v>571</v>
      </c>
      <c r="AB28" s="1161"/>
      <c r="AC28" s="1161"/>
      <c r="AD28" s="126" t="s">
        <v>572</v>
      </c>
      <c r="AE28" s="126"/>
      <c r="AF28" s="126"/>
      <c r="AG28" s="127"/>
      <c r="AH28" s="126" t="s">
        <v>573</v>
      </c>
      <c r="AI28" s="127"/>
      <c r="AJ28" s="127"/>
      <c r="AK28" s="127"/>
      <c r="AL28" s="127"/>
      <c r="AM28" s="126" t="s">
        <v>574</v>
      </c>
      <c r="AN28" s="128"/>
      <c r="AO28" s="127"/>
      <c r="AP28" s="127"/>
      <c r="AQ28" s="127"/>
      <c r="AR28" s="129" t="s">
        <v>575</v>
      </c>
      <c r="AS28" s="130"/>
      <c r="AT28" s="131"/>
      <c r="AU28" s="132" t="s">
        <v>576</v>
      </c>
      <c r="AV28" s="131"/>
      <c r="AW28" s="131"/>
      <c r="AX28" s="132" t="s">
        <v>577</v>
      </c>
      <c r="AY28" s="131"/>
      <c r="AZ28" s="131"/>
      <c r="BB28" s="1354" t="s">
        <v>1198</v>
      </c>
      <c r="BC28" s="1354"/>
      <c r="BD28" s="1354"/>
      <c r="BE28" s="1354"/>
      <c r="BF28" s="1354"/>
      <c r="BG28" s="1354"/>
      <c r="BH28" s="1354"/>
      <c r="BI28" s="1354"/>
      <c r="BJ28" s="1354"/>
      <c r="BK28" s="1354"/>
      <c r="BL28" s="1354"/>
      <c r="BM28" s="1354"/>
      <c r="BN28" s="1354"/>
      <c r="BO28" s="1354"/>
      <c r="BP28" s="1354"/>
      <c r="BQ28" s="1354"/>
      <c r="BR28" s="1354"/>
      <c r="BS28" s="1354"/>
      <c r="BT28" s="1354"/>
      <c r="BU28" s="1354"/>
      <c r="BV28" s="956" t="s">
        <v>1930</v>
      </c>
      <c r="BY28" s="556"/>
      <c r="BZ28"/>
      <c r="CA28"/>
      <c r="CB28"/>
      <c r="CC28" s="71" t="s">
        <v>564</v>
      </c>
      <c r="CD28" s="71" t="s">
        <v>564</v>
      </c>
      <c r="CE28" s="71" t="s">
        <v>564</v>
      </c>
      <c r="CF28" s="71" t="s">
        <v>564</v>
      </c>
      <c r="CG28" s="71" t="s">
        <v>565</v>
      </c>
      <c r="CH28" s="71" t="s">
        <v>566</v>
      </c>
      <c r="CI28" s="71" t="s">
        <v>505</v>
      </c>
      <c r="CJ28" s="71" t="s">
        <v>505</v>
      </c>
      <c r="CK28" s="71" t="s">
        <v>505</v>
      </c>
      <c r="CL28" s="71" t="s">
        <v>564</v>
      </c>
      <c r="CM28"/>
      <c r="CN28" s="71" t="s">
        <v>565</v>
      </c>
      <c r="CO28"/>
      <c r="CP28"/>
      <c r="CQ28"/>
      <c r="CR28"/>
      <c r="CS28"/>
      <c r="CT28"/>
      <c r="CU28"/>
      <c r="CV28"/>
      <c r="CW28"/>
      <c r="CX28"/>
      <c r="CY28"/>
      <c r="CZ28"/>
      <c r="DA28"/>
      <c r="DB28" s="1051"/>
      <c r="DC28" s="1052" t="s">
        <v>2704</v>
      </c>
      <c r="DD28" s="1052" t="s">
        <v>1522</v>
      </c>
      <c r="DE28" s="1052" t="s">
        <v>2705</v>
      </c>
      <c r="DF28" s="1052" t="s">
        <v>2706</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ht="13.5" x14ac:dyDescent="0.25">
      <c r="B29" s="133">
        <v>1</v>
      </c>
      <c r="C29" s="1183">
        <f>G85</f>
        <v>46154</v>
      </c>
      <c r="D29" s="1278"/>
      <c r="E29" s="1279"/>
      <c r="F29" s="1280" t="s">
        <v>584</v>
      </c>
      <c r="G29" s="1281"/>
      <c r="H29" s="1282" t="s">
        <v>2740</v>
      </c>
      <c r="I29" s="1283"/>
      <c r="J29" s="1283"/>
      <c r="K29" s="1283"/>
      <c r="L29" s="1283"/>
      <c r="M29" s="1283"/>
      <c r="N29" s="1283"/>
      <c r="O29" s="1283"/>
      <c r="P29" s="1283"/>
      <c r="Q29" s="1283"/>
      <c r="R29" s="1283"/>
      <c r="S29" s="1283"/>
      <c r="T29" s="1283"/>
      <c r="U29" s="1283"/>
      <c r="V29" s="1283"/>
      <c r="W29" s="1175"/>
      <c r="X29" s="1284">
        <v>2017</v>
      </c>
      <c r="Y29" s="1285"/>
      <c r="Z29" s="1286"/>
      <c r="AA29" s="1284" t="s">
        <v>2741</v>
      </c>
      <c r="AB29" s="1285"/>
      <c r="AC29" s="1286"/>
      <c r="AD29" s="1135">
        <v>1490</v>
      </c>
      <c r="AE29" s="1136"/>
      <c r="AF29" s="1136"/>
      <c r="AG29" s="1137"/>
      <c r="AH29" s="1132"/>
      <c r="AI29" s="1133"/>
      <c r="AJ29" s="1133"/>
      <c r="AK29" s="1133"/>
      <c r="AL29" s="1134"/>
      <c r="AM29" s="1132">
        <v>45</v>
      </c>
      <c r="AN29" s="1133"/>
      <c r="AO29" s="1133"/>
      <c r="AP29" s="1133"/>
      <c r="AQ29" s="1134"/>
      <c r="AR29" s="1135"/>
      <c r="AS29" s="1136"/>
      <c r="AT29" s="1137"/>
      <c r="AU29" s="1132"/>
      <c r="AV29" s="1133"/>
      <c r="AW29" s="1134"/>
      <c r="AX29" s="1287">
        <f>+IF(AM29=0,0,((AD29-(AU29*AH29)-AR29)/AM29))</f>
        <v>33.111111111111114</v>
      </c>
      <c r="AY29" s="1288"/>
      <c r="AZ29" s="1289"/>
      <c r="BB29" s="1333" t="str">
        <f>IF(OR(BL25&lt;&gt;CA33,BL25&lt;&gt;CA34),"De acuerdo al " &amp; BL25 &amp; IF(BL25=CA29,", se adjunta en anexo,",) &amp; " de la Municipalidad de " &amp;  AU8  &amp; " la propiedad " &amp; BK24 &amp; " cuenta con expropiación.")</f>
        <v>De acuerdo al DOM, Plano Catastro de la Municipalidad de Estación Central la propiedad NO cuenta con expropiación.</v>
      </c>
      <c r="BC29" s="1334"/>
      <c r="BD29" s="1334"/>
      <c r="BE29" s="1334"/>
      <c r="BF29" s="1334"/>
      <c r="BG29" s="1334"/>
      <c r="BH29" s="1334"/>
      <c r="BI29" s="1334"/>
      <c r="BJ29" s="1334"/>
      <c r="BK29" s="1334"/>
      <c r="BL29" s="1334"/>
      <c r="BM29" s="1334"/>
      <c r="BN29" s="1334"/>
      <c r="BO29" s="1334"/>
      <c r="BP29" s="1334"/>
      <c r="BQ29" s="1334"/>
      <c r="BR29" s="1334"/>
      <c r="BS29" s="1334"/>
      <c r="BT29" s="1334"/>
      <c r="BU29" s="1335"/>
      <c r="BV29" s="957" t="s">
        <v>2739</v>
      </c>
      <c r="BY29" s="555"/>
      <c r="BZ29"/>
      <c r="CA29" s="71" t="s">
        <v>578</v>
      </c>
      <c r="CB29"/>
      <c r="CC29" s="71" t="s">
        <v>579</v>
      </c>
      <c r="CD29" s="71" t="s">
        <v>579</v>
      </c>
      <c r="CE29" s="71" t="s">
        <v>579</v>
      </c>
      <c r="CF29" s="71" t="s">
        <v>579</v>
      </c>
      <c r="CG29" s="71" t="s">
        <v>580</v>
      </c>
      <c r="CH29" s="71" t="s">
        <v>581</v>
      </c>
      <c r="CI29" s="71" t="s">
        <v>582</v>
      </c>
      <c r="CJ29" s="71" t="s">
        <v>582</v>
      </c>
      <c r="CK29" s="71" t="s">
        <v>582</v>
      </c>
      <c r="CL29" s="71" t="s">
        <v>583</v>
      </c>
      <c r="CM29"/>
      <c r="CN29" s="71" t="s">
        <v>580</v>
      </c>
      <c r="CO29"/>
      <c r="CP29"/>
      <c r="CQ29"/>
      <c r="CR29"/>
      <c r="CS29"/>
      <c r="CT29"/>
      <c r="CU29"/>
      <c r="CV29"/>
      <c r="CW29"/>
      <c r="CX29"/>
      <c r="CY29"/>
      <c r="CZ29"/>
      <c r="DA29"/>
      <c r="DB29" s="1053"/>
      <c r="DC29" s="1053">
        <v>1</v>
      </c>
      <c r="DD29" s="1053">
        <v>2</v>
      </c>
      <c r="DE29" s="1053">
        <v>1</v>
      </c>
      <c r="DF29" s="1053">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ht="13.5" x14ac:dyDescent="0.25">
      <c r="B30" s="133">
        <v>2</v>
      </c>
      <c r="C30" s="1183">
        <f>G85</f>
        <v>46154</v>
      </c>
      <c r="D30" s="1278"/>
      <c r="E30" s="1279"/>
      <c r="F30" s="1280" t="s">
        <v>584</v>
      </c>
      <c r="G30" s="1281"/>
      <c r="H30" s="1282" t="s">
        <v>2742</v>
      </c>
      <c r="I30" s="1283"/>
      <c r="J30" s="1283"/>
      <c r="K30" s="1283"/>
      <c r="L30" s="1283"/>
      <c r="M30" s="1283"/>
      <c r="N30" s="1283"/>
      <c r="O30" s="1283"/>
      <c r="P30" s="1283"/>
      <c r="Q30" s="1283"/>
      <c r="R30" s="1283"/>
      <c r="S30" s="1283"/>
      <c r="T30" s="1283"/>
      <c r="U30" s="1283"/>
      <c r="V30" s="1283"/>
      <c r="W30" s="1175"/>
      <c r="X30" s="1284">
        <v>2017</v>
      </c>
      <c r="Y30" s="1285"/>
      <c r="Z30" s="1286"/>
      <c r="AA30" s="1284" t="s">
        <v>2743</v>
      </c>
      <c r="AB30" s="1285"/>
      <c r="AC30" s="1286"/>
      <c r="AD30" s="1135">
        <v>1300</v>
      </c>
      <c r="AE30" s="1136"/>
      <c r="AF30" s="1136"/>
      <c r="AG30" s="1137"/>
      <c r="AH30" s="1132"/>
      <c r="AI30" s="1133"/>
      <c r="AJ30" s="1133"/>
      <c r="AK30" s="1133"/>
      <c r="AL30" s="1134"/>
      <c r="AM30" s="1132">
        <v>41</v>
      </c>
      <c r="AN30" s="1133"/>
      <c r="AO30" s="1133"/>
      <c r="AP30" s="1133"/>
      <c r="AQ30" s="1134"/>
      <c r="AR30" s="1135"/>
      <c r="AS30" s="1136"/>
      <c r="AT30" s="1137"/>
      <c r="AU30" s="1132"/>
      <c r="AV30" s="1133"/>
      <c r="AW30" s="1134"/>
      <c r="AX30" s="1287">
        <f>+IF(AM30=0,0,((AD30-(AU30*AH30)-AR30)/AM30))</f>
        <v>31.707317073170731</v>
      </c>
      <c r="AY30" s="1288"/>
      <c r="AZ30" s="1289"/>
      <c r="BB30" s="1336"/>
      <c r="BC30" s="1337"/>
      <c r="BD30" s="1337"/>
      <c r="BE30" s="1337"/>
      <c r="BF30" s="1337"/>
      <c r="BG30" s="1337"/>
      <c r="BH30" s="1337"/>
      <c r="BI30" s="1337"/>
      <c r="BJ30" s="1337"/>
      <c r="BK30" s="1337"/>
      <c r="BL30" s="1337"/>
      <c r="BM30" s="1337"/>
      <c r="BN30" s="1337"/>
      <c r="BO30" s="1337"/>
      <c r="BP30" s="1337"/>
      <c r="BQ30" s="1337"/>
      <c r="BR30" s="1337"/>
      <c r="BS30" s="1337"/>
      <c r="BT30" s="1337"/>
      <c r="BU30" s="1338"/>
      <c r="BV30" s="957" t="s">
        <v>2744</v>
      </c>
      <c r="BY30" s="555">
        <f>+IF($F29="ofert.",X29,"")</f>
        <v>2017</v>
      </c>
      <c r="BZ30" s="71">
        <f>+IF($F29="ofert.",Z29,"")</f>
        <v>0</v>
      </c>
      <c r="CA30" s="71" t="s">
        <v>491</v>
      </c>
      <c r="CB30" s="71">
        <f>+IF($F29="ofert.",AC29,"")</f>
        <v>0</v>
      </c>
      <c r="CC30" s="71" t="s">
        <v>585</v>
      </c>
      <c r="CD30" s="71" t="s">
        <v>585</v>
      </c>
      <c r="CE30" s="71" t="s">
        <v>585</v>
      </c>
      <c r="CF30" s="71" t="s">
        <v>585</v>
      </c>
      <c r="CG30" s="71" t="s">
        <v>505</v>
      </c>
      <c r="CH30" s="71" t="s">
        <v>586</v>
      </c>
      <c r="CI30"/>
      <c r="CJ30"/>
      <c r="CK30"/>
      <c r="CL30" s="71" t="s">
        <v>587</v>
      </c>
      <c r="CM30"/>
      <c r="CN30" s="71" t="s">
        <v>505</v>
      </c>
      <c r="CO30"/>
      <c r="CP30"/>
      <c r="CQ30"/>
      <c r="CR30"/>
      <c r="CS30"/>
      <c r="CT30"/>
      <c r="CU30"/>
      <c r="CV30"/>
      <c r="CW30"/>
      <c r="CX30"/>
      <c r="CY30"/>
      <c r="CZ30"/>
      <c r="DA30"/>
      <c r="DB30" s="1030"/>
      <c r="DC30" s="1030">
        <v>2</v>
      </c>
      <c r="DD30" s="1030">
        <v>2</v>
      </c>
      <c r="DE30" s="1030">
        <v>0</v>
      </c>
      <c r="DF30" s="1030">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4.25" thickBot="1" x14ac:dyDescent="0.3">
      <c r="B31" s="133">
        <v>3</v>
      </c>
      <c r="C31" s="1183">
        <f>G85</f>
        <v>46154</v>
      </c>
      <c r="D31" s="1278"/>
      <c r="E31" s="1279"/>
      <c r="F31" s="1280" t="s">
        <v>584</v>
      </c>
      <c r="G31" s="1281"/>
      <c r="H31" s="1282" t="s">
        <v>2740</v>
      </c>
      <c r="I31" s="1283"/>
      <c r="J31" s="1283"/>
      <c r="K31" s="1283"/>
      <c r="L31" s="1283"/>
      <c r="M31" s="1283"/>
      <c r="N31" s="1283"/>
      <c r="O31" s="1283"/>
      <c r="P31" s="1283"/>
      <c r="Q31" s="1283"/>
      <c r="R31" s="1283"/>
      <c r="S31" s="1283"/>
      <c r="T31" s="1283"/>
      <c r="U31" s="1283"/>
      <c r="V31" s="1283"/>
      <c r="W31" s="1175"/>
      <c r="X31" s="1284">
        <v>2017</v>
      </c>
      <c r="Y31" s="1285"/>
      <c r="Z31" s="1286"/>
      <c r="AA31" s="1284" t="s">
        <v>2748</v>
      </c>
      <c r="AB31" s="1285"/>
      <c r="AC31" s="1286"/>
      <c r="AD31" s="1135">
        <v>1675</v>
      </c>
      <c r="AE31" s="1136"/>
      <c r="AF31" s="1136"/>
      <c r="AG31" s="1137"/>
      <c r="AH31" s="1132"/>
      <c r="AI31" s="1133"/>
      <c r="AJ31" s="1133"/>
      <c r="AK31" s="1133"/>
      <c r="AL31" s="1134"/>
      <c r="AM31" s="1132">
        <v>42</v>
      </c>
      <c r="AN31" s="1133"/>
      <c r="AO31" s="1133"/>
      <c r="AP31" s="1133"/>
      <c r="AQ31" s="1134"/>
      <c r="AR31" s="1135"/>
      <c r="AS31" s="1136"/>
      <c r="AT31" s="1137"/>
      <c r="AU31" s="1132"/>
      <c r="AV31" s="1133"/>
      <c r="AW31" s="1134"/>
      <c r="AX31" s="1287">
        <f>+IF(AM31=0,0,((AD31-(AU31*AH31)-AR31)/AM31))</f>
        <v>39.88095238095238</v>
      </c>
      <c r="AY31" s="1288"/>
      <c r="AZ31" s="1289"/>
      <c r="BB31" s="1339"/>
      <c r="BC31" s="1340"/>
      <c r="BD31" s="1340"/>
      <c r="BE31" s="1340"/>
      <c r="BF31" s="1340"/>
      <c r="BG31" s="1340"/>
      <c r="BH31" s="1340"/>
      <c r="BI31" s="1340"/>
      <c r="BJ31" s="1340"/>
      <c r="BK31" s="1340"/>
      <c r="BL31" s="1340"/>
      <c r="BM31" s="1340"/>
      <c r="BN31" s="1340"/>
      <c r="BO31" s="1340"/>
      <c r="BP31" s="1340"/>
      <c r="BQ31" s="1340"/>
      <c r="BR31" s="1340"/>
      <c r="BS31" s="1340"/>
      <c r="BT31" s="1340"/>
      <c r="BU31" s="1341"/>
      <c r="BV31" s="957" t="s">
        <v>2747</v>
      </c>
      <c r="BY31" s="555" t="str">
        <f>+valAnoBase</f>
        <v>2018</v>
      </c>
      <c r="BZ31" s="71">
        <f>+IF($F30="ofert.",Z30,"")</f>
        <v>0</v>
      </c>
      <c r="CA31" s="71" t="s">
        <v>588</v>
      </c>
      <c r="CB31" s="71">
        <f>+IF($F30="ofert.",AC30,"")</f>
        <v>0</v>
      </c>
      <c r="CC31" s="71" t="s">
        <v>589</v>
      </c>
      <c r="CD31" s="71" t="s">
        <v>589</v>
      </c>
      <c r="CE31" s="71" t="s">
        <v>589</v>
      </c>
      <c r="CF31" s="71" t="s">
        <v>589</v>
      </c>
      <c r="CG31" s="71" t="s">
        <v>590</v>
      </c>
      <c r="CH31" s="71" t="s">
        <v>591</v>
      </c>
      <c r="CI31"/>
      <c r="CJ31"/>
      <c r="CK31"/>
      <c r="CL31" s="71" t="s">
        <v>592</v>
      </c>
      <c r="CM31"/>
      <c r="CN31" s="71" t="s">
        <v>590</v>
      </c>
      <c r="CO31"/>
      <c r="CP31"/>
      <c r="CQ31"/>
      <c r="CR31"/>
      <c r="CS31"/>
      <c r="CT31"/>
      <c r="CU31"/>
      <c r="CV31"/>
      <c r="CW31"/>
      <c r="CX31"/>
      <c r="CY31"/>
      <c r="CZ31"/>
      <c r="DA31"/>
      <c r="DB31" s="1030"/>
      <c r="DC31" s="1030">
        <v>3</v>
      </c>
      <c r="DD31" s="1030">
        <v>2</v>
      </c>
      <c r="DE31" s="1030">
        <v>0</v>
      </c>
      <c r="DF31" s="1030">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71"/>
      <c r="B32" s="133">
        <v>4</v>
      </c>
      <c r="C32" s="1183">
        <f>G85</f>
        <v>46154</v>
      </c>
      <c r="D32" s="1278"/>
      <c r="E32" s="1279"/>
      <c r="F32" s="1280" t="s">
        <v>584</v>
      </c>
      <c r="G32" s="1281"/>
      <c r="H32" s="1282" t="s">
        <v>2740</v>
      </c>
      <c r="I32" s="1283"/>
      <c r="J32" s="1283"/>
      <c r="K32" s="1283"/>
      <c r="L32" s="1283"/>
      <c r="M32" s="1283"/>
      <c r="N32" s="1283"/>
      <c r="O32" s="1283"/>
      <c r="P32" s="1283"/>
      <c r="Q32" s="1283"/>
      <c r="R32" s="1283"/>
      <c r="S32" s="1283"/>
      <c r="T32" s="1283"/>
      <c r="U32" s="1283"/>
      <c r="V32" s="1283"/>
      <c r="W32" s="1175"/>
      <c r="X32" s="1284">
        <v>2017</v>
      </c>
      <c r="Y32" s="1285"/>
      <c r="Z32" s="1286"/>
      <c r="AA32" s="1284" t="s">
        <v>2745</v>
      </c>
      <c r="AB32" s="1285"/>
      <c r="AC32" s="1286"/>
      <c r="AD32" s="1135">
        <v>1600</v>
      </c>
      <c r="AE32" s="1136"/>
      <c r="AF32" s="1136"/>
      <c r="AG32" s="1137"/>
      <c r="AH32" s="1132"/>
      <c r="AI32" s="1133"/>
      <c r="AJ32" s="1133"/>
      <c r="AK32" s="1133"/>
      <c r="AL32" s="1134"/>
      <c r="AM32" s="1132">
        <v>45</v>
      </c>
      <c r="AN32" s="1133"/>
      <c r="AO32" s="1133"/>
      <c r="AP32" s="1133"/>
      <c r="AQ32" s="1134"/>
      <c r="AR32" s="1135">
        <v>350</v>
      </c>
      <c r="AS32" s="1136"/>
      <c r="AT32" s="1137"/>
      <c r="AU32" s="1132"/>
      <c r="AV32" s="1133"/>
      <c r="AW32" s="1134"/>
      <c r="AX32" s="1287">
        <f>+IF(AM32=0,0,((AD32-(AU32*AH32)-AR32)/AM32))</f>
        <v>27.777777777777779</v>
      </c>
      <c r="AY32" s="1288"/>
      <c r="AZ32" s="1289"/>
      <c r="BB32" s="438" t="s">
        <v>1221</v>
      </c>
      <c r="BC32" s="436"/>
      <c r="BD32" s="436"/>
      <c r="BE32" s="436"/>
      <c r="BF32" s="436"/>
      <c r="BG32" s="436"/>
      <c r="BH32" s="436"/>
      <c r="BI32" s="436"/>
      <c r="BJ32" s="436"/>
      <c r="BK32" s="436"/>
      <c r="BL32" s="436"/>
      <c r="BM32" s="436"/>
      <c r="BN32" s="436"/>
      <c r="BO32" s="436"/>
      <c r="BP32" s="436"/>
      <c r="BQ32" s="436"/>
      <c r="BR32" s="436"/>
      <c r="BS32" s="436"/>
      <c r="BT32" s="436"/>
      <c r="BU32" s="437"/>
      <c r="BV32" s="957" t="s">
        <v>2746</v>
      </c>
      <c r="BY32" s="555">
        <f>+IF($F31="ofert.",X31,"")</f>
        <v>2017</v>
      </c>
      <c r="BZ32" s="71">
        <f>+IF($F31="ofert.",Z31,"")</f>
        <v>0</v>
      </c>
      <c r="CA32" s="71" t="s">
        <v>593</v>
      </c>
      <c r="CB32" s="71">
        <f>+IF($F31="ofert.",AC31,"")</f>
        <v>0</v>
      </c>
      <c r="CC32" s="71" t="s">
        <v>587</v>
      </c>
      <c r="CD32" s="71" t="s">
        <v>587</v>
      </c>
      <c r="CE32" s="71" t="s">
        <v>587</v>
      </c>
      <c r="CF32" s="71" t="s">
        <v>587</v>
      </c>
      <c r="CG32" s="71" t="s">
        <v>594</v>
      </c>
      <c r="CH32" s="71" t="s">
        <v>595</v>
      </c>
      <c r="CI32"/>
      <c r="CJ32"/>
      <c r="CK32"/>
      <c r="CL32" s="71" t="s">
        <v>505</v>
      </c>
      <c r="CM32"/>
      <c r="CN32" s="71" t="s">
        <v>594</v>
      </c>
      <c r="CO32"/>
      <c r="CP32"/>
      <c r="CQ32"/>
      <c r="CR32"/>
      <c r="CS32"/>
      <c r="CT32"/>
      <c r="CU32"/>
      <c r="CV32"/>
      <c r="CW32"/>
      <c r="CX32"/>
      <c r="CY32"/>
      <c r="CZ32"/>
      <c r="DA32"/>
      <c r="DB32" s="1030"/>
      <c r="DC32" s="1030">
        <v>3</v>
      </c>
      <c r="DD32" s="1030">
        <v>2</v>
      </c>
      <c r="DE32" s="1030">
        <v>2</v>
      </c>
      <c r="DF32" s="1030">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71"/>
      <c r="B33" s="133">
        <v>5</v>
      </c>
      <c r="C33" s="1183">
        <f>G85</f>
        <v>46154</v>
      </c>
      <c r="D33" s="1278"/>
      <c r="E33" s="1279"/>
      <c r="F33" s="1280" t="s">
        <v>584</v>
      </c>
      <c r="G33" s="1281"/>
      <c r="H33" s="1282" t="s">
        <v>2740</v>
      </c>
      <c r="I33" s="1283"/>
      <c r="J33" s="1283"/>
      <c r="K33" s="1283"/>
      <c r="L33" s="1283"/>
      <c r="M33" s="1283"/>
      <c r="N33" s="1283"/>
      <c r="O33" s="1283"/>
      <c r="P33" s="1283"/>
      <c r="Q33" s="1283"/>
      <c r="R33" s="1283"/>
      <c r="S33" s="1283"/>
      <c r="T33" s="1283"/>
      <c r="U33" s="1283"/>
      <c r="V33" s="1283"/>
      <c r="W33" s="1175"/>
      <c r="X33" s="1284">
        <v>2017</v>
      </c>
      <c r="Y33" s="1285"/>
      <c r="Z33" s="1286"/>
      <c r="AA33" s="1284" t="s">
        <v>2749</v>
      </c>
      <c r="AB33" s="1285"/>
      <c r="AC33" s="1286"/>
      <c r="AD33" s="1135">
        <v>1900</v>
      </c>
      <c r="AE33" s="1136"/>
      <c r="AF33" s="1136"/>
      <c r="AG33" s="1137"/>
      <c r="AH33" s="1132"/>
      <c r="AI33" s="1133"/>
      <c r="AJ33" s="1133"/>
      <c r="AK33" s="1133"/>
      <c r="AL33" s="1134"/>
      <c r="AM33" s="1132">
        <v>41</v>
      </c>
      <c r="AN33" s="1133"/>
      <c r="AO33" s="1133"/>
      <c r="AP33" s="1133"/>
      <c r="AQ33" s="1134"/>
      <c r="AR33" s="1135"/>
      <c r="AS33" s="1136"/>
      <c r="AT33" s="1137"/>
      <c r="AU33" s="1132"/>
      <c r="AV33" s="1133"/>
      <c r="AW33" s="1134"/>
      <c r="AX33" s="1287">
        <f>+IF(AM33=0,0,((AD33-(AU33*AH33)-AR33)/AM33))</f>
        <v>46.341463414634148</v>
      </c>
      <c r="AY33" s="1288"/>
      <c r="AZ33" s="1289"/>
      <c r="BB33" s="1342" t="str">
        <f>IF(AND(ClienteN=9,tipoPropiedad="Departamento"),CONCATENATE("El edificio no cuenta con la red de cañerías de gas y por lo anterior el departamento usa gas licuado de balón, visualmente se ve en buenas condiciones"," y operativo, se recomienda que el comprador tome conocimiento y"," que si le parece se realice las pruebas de hermeticidad a la instalación de Gas."),"")</f>
        <v/>
      </c>
      <c r="BC33" s="1343"/>
      <c r="BD33" s="1343"/>
      <c r="BE33" s="1343"/>
      <c r="BF33" s="1343"/>
      <c r="BG33" s="1343"/>
      <c r="BH33" s="1343"/>
      <c r="BI33" s="1343"/>
      <c r="BJ33" s="1343"/>
      <c r="BK33" s="1343"/>
      <c r="BL33" s="1343"/>
      <c r="BM33" s="1343"/>
      <c r="BN33" s="1343"/>
      <c r="BO33" s="1343"/>
      <c r="BP33" s="1343"/>
      <c r="BQ33" s="1343"/>
      <c r="BR33" s="1343"/>
      <c r="BS33" s="1343"/>
      <c r="BT33" s="1343"/>
      <c r="BU33" s="1344"/>
      <c r="BV33" s="957" t="s">
        <v>2750</v>
      </c>
      <c r="BY33" s="555">
        <f>+IF($F32="ofert.",X32,"")</f>
        <v>2017</v>
      </c>
      <c r="BZ33" s="71">
        <f>+IF($F32="ofert.",Z32,"")</f>
        <v>0</v>
      </c>
      <c r="CA33" s="71" t="s">
        <v>596</v>
      </c>
      <c r="CB33" s="71">
        <f>+IF($F32="ofert.",AC32,"")</f>
        <v>0</v>
      </c>
      <c r="CC33" s="71" t="s">
        <v>592</v>
      </c>
      <c r="CD33" s="71" t="s">
        <v>592</v>
      </c>
      <c r="CE33" s="71" t="s">
        <v>592</v>
      </c>
      <c r="CF33" s="71" t="s">
        <v>597</v>
      </c>
      <c r="CG33" s="71" t="s">
        <v>598</v>
      </c>
      <c r="CH33" s="71" t="s">
        <v>599</v>
      </c>
      <c r="CI33"/>
      <c r="CJ33"/>
      <c r="CK33"/>
      <c r="CL33" s="71" t="s">
        <v>582</v>
      </c>
      <c r="CM33"/>
      <c r="CN33" s="71" t="s">
        <v>598</v>
      </c>
      <c r="CO33"/>
      <c r="CP33"/>
      <c r="CQ33"/>
      <c r="CR33"/>
      <c r="CS33"/>
      <c r="CT33"/>
      <c r="CU33"/>
      <c r="CV33"/>
      <c r="CW33"/>
      <c r="CX33"/>
      <c r="CY33"/>
      <c r="CZ33"/>
      <c r="DA33"/>
      <c r="DB33" s="288"/>
      <c r="DC33" s="288"/>
      <c r="DD33" s="288"/>
      <c r="DE33" s="288"/>
      <c r="DF33" s="288"/>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71"/>
      <c r="B34" s="1179" t="s">
        <v>601</v>
      </c>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85">
        <f>+IF(COUNTIF(AD29:AG33,"&gt;0")=0,0,+SUM(AD29:AG33)/COUNTIF(AD29:AG33,"&gt;0"))</f>
        <v>1593</v>
      </c>
      <c r="AE34" s="1185"/>
      <c r="AF34" s="1185"/>
      <c r="AG34" s="1185"/>
      <c r="AH34" s="1185">
        <f>+IF(COUNTIF(AH29:AL33,"&gt;0")=0,0,+SUM(AH29:AL33)/COUNTIF(AH29:AL33,"&gt;0"))</f>
        <v>0</v>
      </c>
      <c r="AI34" s="1185"/>
      <c r="AJ34" s="1185"/>
      <c r="AK34" s="1185"/>
      <c r="AL34" s="1185"/>
      <c r="AM34" s="1188">
        <f>+IF(COUNTIF(AM29:AQ33,"&gt;0")=0,0,+SUM(AM29:AQ33)/COUNTIF(AM29:AQ33,"&gt;0"))</f>
        <v>42.8</v>
      </c>
      <c r="AN34" s="1189"/>
      <c r="AO34" s="1189"/>
      <c r="AP34" s="1189"/>
      <c r="AQ34" s="1190"/>
      <c r="AR34" s="1185">
        <f>+IF(COUNTIF(AR29:AT33,"&gt;0")=0,0,+SUM(AR29:AT33)/COUNTIF(AR29:AT33,"&gt;0"))</f>
        <v>350</v>
      </c>
      <c r="AS34" s="1185"/>
      <c r="AT34" s="1185"/>
      <c r="AU34" s="1277">
        <f>+IF(COUNTIF(AU29:AW33,"&gt;0")=0,0,+SUM(AU29:AW33)/COUNTIF(AU29:AW33,"&gt;0"))</f>
        <v>0</v>
      </c>
      <c r="AV34" s="1277"/>
      <c r="AW34" s="1277"/>
      <c r="AX34" s="1276">
        <f>+IF(COUNTIF(AX29:AZ33,"&gt;0")=0,0,+SUM(AX29:AZ33)/COUNTIF(AX29:AZ33,"&gt;0"))</f>
        <v>35.763724351529234</v>
      </c>
      <c r="AY34" s="1276"/>
      <c r="AZ34" s="1276"/>
      <c r="BB34" s="1345"/>
      <c r="BC34" s="1346"/>
      <c r="BD34" s="1346"/>
      <c r="BE34" s="1346"/>
      <c r="BF34" s="1346"/>
      <c r="BG34" s="1346"/>
      <c r="BH34" s="1346"/>
      <c r="BI34" s="1346"/>
      <c r="BJ34" s="1346"/>
      <c r="BK34" s="1346"/>
      <c r="BL34" s="1346"/>
      <c r="BM34" s="1346"/>
      <c r="BN34" s="1346"/>
      <c r="BO34" s="1346"/>
      <c r="BP34" s="1346"/>
      <c r="BQ34" s="1346"/>
      <c r="BR34" s="1346"/>
      <c r="BS34" s="1346"/>
      <c r="BT34" s="1346"/>
      <c r="BU34" s="1347"/>
      <c r="BV34" s="111"/>
      <c r="BY34" s="555">
        <f>+IF($F33="ofert.",X33,"")</f>
        <v>2017</v>
      </c>
      <c r="BZ34" s="71">
        <f>+IF($F33="ofert.",Z33,"")</f>
        <v>0</v>
      </c>
      <c r="CA34" s="71" t="s">
        <v>600</v>
      </c>
      <c r="CB34" s="71">
        <f>+IF($F33="ofert.",AC33,"")</f>
        <v>0</v>
      </c>
      <c r="CC34" s="71" t="s">
        <v>582</v>
      </c>
      <c r="CD34" s="71" t="s">
        <v>582</v>
      </c>
      <c r="CE34" s="71" t="s">
        <v>582</v>
      </c>
      <c r="CF34" s="71" t="s">
        <v>582</v>
      </c>
      <c r="CG34" s="71" t="s">
        <v>582</v>
      </c>
      <c r="CH34" s="71" t="s">
        <v>582</v>
      </c>
      <c r="CI34"/>
      <c r="CJ34"/>
      <c r="CK34"/>
      <c r="CL34"/>
      <c r="CM34"/>
      <c r="CN34" s="71" t="s">
        <v>582</v>
      </c>
      <c r="CO34"/>
      <c r="CP34"/>
      <c r="CQ34"/>
      <c r="CS34"/>
      <c r="CT34"/>
      <c r="CU34"/>
      <c r="CV34"/>
      <c r="CW34"/>
      <c r="CX34"/>
      <c r="CY34"/>
      <c r="CZ34"/>
      <c r="DA34"/>
      <c r="DB34" s="288"/>
      <c r="DC34" s="288"/>
      <c r="DD34" s="288"/>
      <c r="DE34" s="288"/>
      <c r="DF34" s="288"/>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71"/>
      <c r="B35" s="1179" t="s">
        <v>602</v>
      </c>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85">
        <f>+BI62</f>
        <v>1394</v>
      </c>
      <c r="AE35" s="1185"/>
      <c r="AF35" s="1185"/>
      <c r="AG35" s="1185"/>
      <c r="AH35" s="1185">
        <f>+AN61</f>
        <v>0</v>
      </c>
      <c r="AI35" s="1185"/>
      <c r="AJ35" s="1185"/>
      <c r="AK35" s="1185"/>
      <c r="AL35" s="1185"/>
      <c r="AM35" s="1188">
        <f>+AN59</f>
        <v>41</v>
      </c>
      <c r="AN35" s="1189"/>
      <c r="AO35" s="1189"/>
      <c r="AP35" s="1189"/>
      <c r="AQ35" s="1190"/>
      <c r="AR35" s="1185" t="str">
        <f>+BI60</f>
        <v>0,00</v>
      </c>
      <c r="AS35" s="1185"/>
      <c r="AT35" s="1185"/>
      <c r="AU35" s="1277">
        <f>+BD61</f>
        <v>0</v>
      </c>
      <c r="AV35" s="1277"/>
      <c r="AW35" s="1277"/>
      <c r="AX35" s="1276">
        <f>+BD59</f>
        <v>34</v>
      </c>
      <c r="AY35" s="1276"/>
      <c r="AZ35" s="1276"/>
      <c r="BB35" s="1348"/>
      <c r="BC35" s="1349"/>
      <c r="BD35" s="1349"/>
      <c r="BE35" s="1349"/>
      <c r="BF35" s="1349"/>
      <c r="BG35" s="1349"/>
      <c r="BH35" s="1349"/>
      <c r="BI35" s="1349"/>
      <c r="BJ35" s="1349"/>
      <c r="BK35" s="1349"/>
      <c r="BL35" s="1349"/>
      <c r="BM35" s="1349"/>
      <c r="BN35" s="1349"/>
      <c r="BO35" s="1349"/>
      <c r="BP35" s="1349"/>
      <c r="BQ35" s="1349"/>
      <c r="BR35" s="1349"/>
      <c r="BS35" s="1349"/>
      <c r="BT35" s="1349"/>
      <c r="BU35" s="1350"/>
      <c r="BV35" s="111"/>
      <c r="BY35" s="919" t="s">
        <v>1922</v>
      </c>
      <c r="CC35"/>
      <c r="CD35"/>
      <c r="CE35"/>
      <c r="CF35"/>
      <c r="CG35"/>
      <c r="CH35"/>
      <c r="CI35"/>
      <c r="CJ35"/>
      <c r="CK35"/>
      <c r="CL35"/>
      <c r="CM35"/>
      <c r="CN35"/>
      <c r="CO35"/>
      <c r="CP35"/>
      <c r="CQ35"/>
      <c r="CR35"/>
      <c r="CS35"/>
      <c r="CT35"/>
      <c r="CU35"/>
      <c r="CV35"/>
      <c r="CW35"/>
      <c r="CX35"/>
      <c r="CY35"/>
      <c r="CZ35"/>
      <c r="DA35"/>
      <c r="DB35" s="288"/>
      <c r="DC35" s="288"/>
      <c r="DD35" s="288"/>
      <c r="DE35" s="288"/>
      <c r="DF35" s="288"/>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71"/>
      <c r="B36" s="1179" t="s">
        <v>604</v>
      </c>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270"/>
      <c r="AE36" s="1270"/>
      <c r="AF36" s="1270"/>
      <c r="AG36" s="1270"/>
      <c r="AH36" s="1270"/>
      <c r="AI36" s="1270"/>
      <c r="AJ36" s="1270"/>
      <c r="AK36" s="1270"/>
      <c r="AL36" s="1270"/>
      <c r="AM36" s="1271"/>
      <c r="AN36" s="1272"/>
      <c r="AO36" s="1272"/>
      <c r="AP36" s="1272"/>
      <c r="AQ36" s="1273"/>
      <c r="AR36" s="1185"/>
      <c r="AS36" s="1185"/>
      <c r="AT36" s="1185"/>
      <c r="AU36" s="1275"/>
      <c r="AV36" s="1275"/>
      <c r="AW36" s="1275"/>
      <c r="AX36" s="1275">
        <f>+IF(AX34=0,0,AX35/AX34-1)</f>
        <v>-4.9316014579276257E-2</v>
      </c>
      <c r="AY36" s="1275"/>
      <c r="AZ36" s="1275"/>
      <c r="BB36" s="83" t="s">
        <v>605</v>
      </c>
      <c r="BV36" s="111"/>
      <c r="BY36" s="919" t="s">
        <v>1923</v>
      </c>
      <c r="CC36"/>
      <c r="CD36" s="71" t="s">
        <v>603</v>
      </c>
      <c r="CE36"/>
      <c r="CF36"/>
      <c r="CG36"/>
      <c r="CH36"/>
      <c r="CI36"/>
      <c r="CJ36"/>
      <c r="CK36"/>
      <c r="CL36"/>
      <c r="CM36"/>
      <c r="CN36"/>
      <c r="CO36"/>
      <c r="CP36"/>
      <c r="CQ36"/>
      <c r="CR36"/>
      <c r="CS36"/>
      <c r="CT36"/>
      <c r="CU36"/>
      <c r="CV36"/>
      <c r="CW36"/>
      <c r="CX36"/>
      <c r="CY36"/>
      <c r="CZ36"/>
      <c r="DA36"/>
      <c r="DB36" s="1108" t="s">
        <v>2709</v>
      </c>
      <c r="DC36" s="1108"/>
      <c r="DD36" s="1108"/>
      <c r="DE36" s="1108"/>
      <c r="DF36" s="1108"/>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3">
      <c r="A37" s="71"/>
      <c r="B37" s="134" t="s">
        <v>606</v>
      </c>
      <c r="C37" s="134"/>
      <c r="D37" s="134"/>
      <c r="E37" s="134"/>
      <c r="F37" s="134"/>
      <c r="G37" s="135"/>
      <c r="H37" s="125" t="s">
        <v>568</v>
      </c>
      <c r="I37" s="1161" t="s">
        <v>569</v>
      </c>
      <c r="J37" s="1161"/>
      <c r="K37" s="1161"/>
      <c r="L37" s="1161"/>
      <c r="M37" s="1161"/>
      <c r="N37" s="1161"/>
      <c r="O37" s="1161"/>
      <c r="P37" s="1161"/>
      <c r="Q37" s="1161"/>
      <c r="R37" s="1161"/>
      <c r="S37" s="1161"/>
      <c r="T37" s="1161"/>
      <c r="U37" s="1161"/>
      <c r="V37" s="1161"/>
      <c r="W37" s="1161"/>
      <c r="X37" s="1161" t="s">
        <v>570</v>
      </c>
      <c r="Y37" s="1161"/>
      <c r="Z37" s="1161"/>
      <c r="AA37" s="1161" t="s">
        <v>607</v>
      </c>
      <c r="AB37" s="1161"/>
      <c r="AC37" s="1161"/>
      <c r="AD37" s="126" t="s">
        <v>572</v>
      </c>
      <c r="AE37" s="126"/>
      <c r="AF37" s="126"/>
      <c r="AG37" s="127"/>
      <c r="AH37" s="126" t="s">
        <v>573</v>
      </c>
      <c r="AI37" s="127"/>
      <c r="AJ37" s="127"/>
      <c r="AK37" s="127"/>
      <c r="AL37" s="127"/>
      <c r="AM37" s="126" t="s">
        <v>574</v>
      </c>
      <c r="AN37" s="128"/>
      <c r="AO37" s="127"/>
      <c r="AP37" s="127"/>
      <c r="AQ37" s="127"/>
      <c r="AR37" s="129" t="s">
        <v>575</v>
      </c>
      <c r="AS37" s="130"/>
      <c r="AT37" s="131"/>
      <c r="AU37" s="132" t="s">
        <v>576</v>
      </c>
      <c r="AV37" s="131"/>
      <c r="AW37" s="131"/>
      <c r="AX37" s="132" t="s">
        <v>577</v>
      </c>
      <c r="AY37" s="131"/>
      <c r="AZ37" s="131"/>
      <c r="BB37" s="136" t="s">
        <v>2589</v>
      </c>
      <c r="BC37" s="137"/>
      <c r="BD37" s="138"/>
      <c r="BE37" s="137"/>
      <c r="BF37" s="137"/>
      <c r="BG37" s="139"/>
      <c r="BH37" s="140"/>
      <c r="BI37" s="141"/>
      <c r="BJ37" s="1196">
        <f>+IF(VALUE(T52)&lt;1970,40,IF(VALUE(T52)&lt;1980,45,IF(VALUE(T52)&lt;1990,50,IF(VALUE(T52)&lt;2000,55,IF(VALUE(T52)&lt;2010,60,IF(VALUE(T52)&lt;2018,65,IF(VALUE(T52)&lt;2070,70)))))))</f>
        <v>40</v>
      </c>
      <c r="BK37" s="1196"/>
      <c r="BL37" s="1196"/>
      <c r="BM37" s="1196"/>
      <c r="BN37" s="1196"/>
      <c r="BO37" s="1196"/>
      <c r="BP37" s="1196"/>
      <c r="BQ37" s="1196"/>
      <c r="BR37" s="1196"/>
      <c r="BS37" s="1196"/>
      <c r="BT37" s="1196"/>
      <c r="BU37" s="1196"/>
      <c r="BV37" s="111"/>
      <c r="BY37" s="919" t="s">
        <v>1924</v>
      </c>
      <c r="CC37" s="71">
        <f t="shared" ref="CC37:CC44" si="1">+AN51*AT51</f>
        <v>1394</v>
      </c>
      <c r="CD37" s="71">
        <f ca="1">SUMIF(B51:D58,"Edificación",CC37:CC44)</f>
        <v>1394</v>
      </c>
      <c r="CE37"/>
      <c r="CF37"/>
      <c r="CG37"/>
      <c r="CH37"/>
      <c r="CI37"/>
      <c r="CJ37"/>
      <c r="CK37"/>
      <c r="CL37"/>
      <c r="CM37"/>
      <c r="CN37"/>
      <c r="CO37"/>
      <c r="CP37"/>
      <c r="CQ37"/>
      <c r="CR37"/>
      <c r="CS37"/>
      <c r="CT37"/>
      <c r="CU37"/>
      <c r="CV37"/>
      <c r="CW37"/>
      <c r="CX37"/>
      <c r="CY37"/>
      <c r="CZ37"/>
      <c r="DA37"/>
      <c r="DB37" s="1053"/>
      <c r="DC37" s="1052" t="s">
        <v>2704</v>
      </c>
      <c r="DD37" s="1052" t="s">
        <v>1522</v>
      </c>
      <c r="DE37" s="1052" t="s">
        <v>2705</v>
      </c>
      <c r="DF37" s="1052" t="s">
        <v>2706</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25">
      <c r="A38" s="142"/>
      <c r="B38" s="101">
        <v>6</v>
      </c>
      <c r="C38" s="1183">
        <v>45383</v>
      </c>
      <c r="D38" s="1183"/>
      <c r="E38" s="1183"/>
      <c r="F38" s="1174" t="s">
        <v>608</v>
      </c>
      <c r="G38" s="1174"/>
      <c r="H38" s="1175" t="s">
        <v>2759</v>
      </c>
      <c r="I38" s="1175"/>
      <c r="J38" s="1175"/>
      <c r="K38" s="1175"/>
      <c r="L38" s="1175"/>
      <c r="M38" s="1175"/>
      <c r="N38" s="1175"/>
      <c r="O38" s="1175"/>
      <c r="P38" s="1175"/>
      <c r="Q38" s="1175"/>
      <c r="R38" s="1175"/>
      <c r="S38" s="1175"/>
      <c r="T38" s="1175"/>
      <c r="U38" s="1175"/>
      <c r="V38" s="1175"/>
      <c r="W38" s="1175"/>
      <c r="X38" s="1186">
        <v>2017</v>
      </c>
      <c r="Y38" s="1186"/>
      <c r="Z38" s="1186"/>
      <c r="AA38" s="1187" t="s">
        <v>2761</v>
      </c>
      <c r="AB38" s="1187"/>
      <c r="AC38" s="1187"/>
      <c r="AD38" s="1160">
        <v>1640</v>
      </c>
      <c r="AE38" s="1160"/>
      <c r="AF38" s="1160"/>
      <c r="AG38" s="1160"/>
      <c r="AH38" s="1131"/>
      <c r="AI38" s="1131"/>
      <c r="AJ38" s="1131"/>
      <c r="AK38" s="1131"/>
      <c r="AL38" s="1131"/>
      <c r="AM38" s="1132">
        <v>40</v>
      </c>
      <c r="AN38" s="1133"/>
      <c r="AO38" s="1133"/>
      <c r="AP38" s="1133"/>
      <c r="AQ38" s="1134"/>
      <c r="AR38" s="1160">
        <v>70</v>
      </c>
      <c r="AS38" s="1160"/>
      <c r="AT38" s="1160"/>
      <c r="AU38" s="1159"/>
      <c r="AV38" s="1159"/>
      <c r="AW38" s="1159"/>
      <c r="AX38" s="1127">
        <f>+IF(AM38=0,0,((AD38-(AU38*AH38)-AR38)/AM38))</f>
        <v>39.25</v>
      </c>
      <c r="AY38" s="1127"/>
      <c r="AZ38" s="1127"/>
      <c r="BA38" s="75"/>
      <c r="BB38" s="136" t="s">
        <v>609</v>
      </c>
      <c r="BC38" s="137"/>
      <c r="BD38" s="138"/>
      <c r="BE38" s="137"/>
      <c r="BF38" s="137"/>
      <c r="BG38" s="143"/>
      <c r="BH38" s="140"/>
      <c r="BI38" s="141"/>
      <c r="BJ38" s="1197">
        <v>320000</v>
      </c>
      <c r="BK38" s="1198"/>
      <c r="BL38" s="1198"/>
      <c r="BM38" s="1198"/>
      <c r="BN38" s="1198"/>
      <c r="BO38" s="1198"/>
      <c r="BP38" s="1198"/>
      <c r="BQ38" s="1198"/>
      <c r="BR38" s="1198"/>
      <c r="BS38" s="1198"/>
      <c r="BT38" s="1198"/>
      <c r="BU38" s="1199"/>
      <c r="BV38" s="111"/>
      <c r="BY38" s="555" t="str">
        <f>+IF($E37="ofert.",X37,"")</f>
        <v/>
      </c>
      <c r="BZ38" s="71" t="str">
        <f>+IF($E37="ofert.",Z37,"")</f>
        <v/>
      </c>
      <c r="CA38" s="71" t="str">
        <f>+IF($E37="ofert.",AB37,"")</f>
        <v/>
      </c>
      <c r="CB38" s="71" t="str">
        <f>+IF($E37="ofert.",AC37,"")</f>
        <v/>
      </c>
      <c r="CC38" s="71">
        <f t="shared" si="1"/>
        <v>0</v>
      </c>
      <c r="CD38" s="71">
        <f ca="1">SUMIF(B51:D58,"Terreno",CC37:CC43)</f>
        <v>0</v>
      </c>
      <c r="CE38"/>
      <c r="CF38"/>
      <c r="CG38"/>
      <c r="CH38"/>
      <c r="CI38"/>
      <c r="CJ38"/>
      <c r="CK38"/>
      <c r="CL38"/>
      <c r="CM38"/>
      <c r="CN38"/>
      <c r="CO38"/>
      <c r="CP38"/>
      <c r="CQ38"/>
      <c r="CR38"/>
      <c r="CS38"/>
      <c r="CT38"/>
      <c r="CU38"/>
      <c r="CV38"/>
      <c r="CW38"/>
      <c r="CX38"/>
      <c r="CY38"/>
      <c r="CZ38"/>
      <c r="DA38"/>
      <c r="DB38" s="1030"/>
      <c r="DC38" s="1030">
        <v>1</v>
      </c>
      <c r="DD38" s="1030">
        <v>2</v>
      </c>
      <c r="DE38" s="1030">
        <v>3</v>
      </c>
      <c r="DF38" s="1030">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25">
      <c r="A39" s="142"/>
      <c r="B39" s="101">
        <v>7</v>
      </c>
      <c r="C39" s="1183">
        <v>45292</v>
      </c>
      <c r="D39" s="1183"/>
      <c r="E39" s="1183"/>
      <c r="F39" s="1174" t="s">
        <v>608</v>
      </c>
      <c r="G39" s="1174"/>
      <c r="H39" s="1175" t="s">
        <v>2760</v>
      </c>
      <c r="I39" s="1175"/>
      <c r="J39" s="1175"/>
      <c r="K39" s="1175"/>
      <c r="L39" s="1175"/>
      <c r="M39" s="1175"/>
      <c r="N39" s="1175"/>
      <c r="O39" s="1175"/>
      <c r="P39" s="1175"/>
      <c r="Q39" s="1175"/>
      <c r="R39" s="1175"/>
      <c r="S39" s="1175"/>
      <c r="T39" s="1175"/>
      <c r="U39" s="1175"/>
      <c r="V39" s="1175"/>
      <c r="W39" s="1175"/>
      <c r="X39" s="1186">
        <v>2017</v>
      </c>
      <c r="Y39" s="1186"/>
      <c r="Z39" s="1186"/>
      <c r="AA39" s="1187" t="s">
        <v>2762</v>
      </c>
      <c r="AB39" s="1187"/>
      <c r="AC39" s="1187"/>
      <c r="AD39" s="1160">
        <v>1100</v>
      </c>
      <c r="AE39" s="1160"/>
      <c r="AF39" s="1160"/>
      <c r="AG39" s="1160"/>
      <c r="AH39" s="1131"/>
      <c r="AI39" s="1131"/>
      <c r="AJ39" s="1131"/>
      <c r="AK39" s="1131"/>
      <c r="AL39" s="1131"/>
      <c r="AM39" s="1132">
        <v>40</v>
      </c>
      <c r="AN39" s="1133"/>
      <c r="AO39" s="1133"/>
      <c r="AP39" s="1133"/>
      <c r="AQ39" s="1134"/>
      <c r="AR39" s="1160"/>
      <c r="AS39" s="1160"/>
      <c r="AT39" s="1160"/>
      <c r="AU39" s="1159"/>
      <c r="AV39" s="1159"/>
      <c r="AW39" s="1159"/>
      <c r="AX39" s="1127">
        <f>+IF(AM39=0,0,((AD39-(AU39*AH39)-AR39)/AM39))</f>
        <v>27.5</v>
      </c>
      <c r="AY39" s="1127"/>
      <c r="AZ39" s="1127"/>
      <c r="BA39" s="75"/>
      <c r="BB39" s="136" t="s">
        <v>610</v>
      </c>
      <c r="BC39" s="137"/>
      <c r="BD39" s="138"/>
      <c r="BE39" s="137"/>
      <c r="BF39" s="137"/>
      <c r="BG39" s="143"/>
      <c r="BH39" s="140"/>
      <c r="BI39" s="141"/>
      <c r="BJ39" s="1193">
        <f>+IF(AQ71=0,0,BJ38/AQ71)</f>
        <v>7.9423248227186232</v>
      </c>
      <c r="BK39" s="1194"/>
      <c r="BL39" s="1194"/>
      <c r="BM39" s="1194"/>
      <c r="BN39" s="1194"/>
      <c r="BO39" s="1194"/>
      <c r="BP39" s="1194"/>
      <c r="BQ39" s="1194"/>
      <c r="BR39" s="1194"/>
      <c r="BS39" s="1194"/>
      <c r="BT39" s="1194"/>
      <c r="BU39" s="1195"/>
      <c r="BV39" s="111"/>
      <c r="BY39" s="555"/>
      <c r="CC39" s="71">
        <f t="shared" si="1"/>
        <v>0</v>
      </c>
      <c r="CD39" s="71">
        <f ca="1">SUMIF(B51:D58,"Box U/Goce",CC37:CC44)</f>
        <v>0</v>
      </c>
      <c r="CE39"/>
      <c r="CF39"/>
      <c r="CG39"/>
      <c r="CH39"/>
      <c r="CI39"/>
      <c r="CJ39"/>
      <c r="CK39"/>
      <c r="CL39"/>
      <c r="CM39"/>
      <c r="CN39"/>
      <c r="CO39"/>
      <c r="CP39"/>
      <c r="CQ39"/>
      <c r="CR39"/>
      <c r="CS39"/>
      <c r="CT39"/>
      <c r="CU39"/>
      <c r="CV39"/>
      <c r="CW39"/>
      <c r="CX39"/>
      <c r="CY39"/>
      <c r="CZ39"/>
      <c r="DA39"/>
      <c r="DB39" s="1049"/>
      <c r="DC39" s="1050"/>
      <c r="DD39" s="1050"/>
      <c r="DE39" s="1050"/>
      <c r="DF39" s="1050"/>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25">
      <c r="A40" s="142"/>
      <c r="B40" s="101">
        <v>8</v>
      </c>
      <c r="C40" s="1183"/>
      <c r="D40" s="1183"/>
      <c r="E40" s="1183"/>
      <c r="F40" s="1174" t="s">
        <v>608</v>
      </c>
      <c r="G40" s="1174"/>
      <c r="H40" s="1175"/>
      <c r="I40" s="1175"/>
      <c r="J40" s="1175"/>
      <c r="K40" s="1175"/>
      <c r="L40" s="1175"/>
      <c r="M40" s="1175"/>
      <c r="N40" s="1175"/>
      <c r="O40" s="1175"/>
      <c r="P40" s="1175"/>
      <c r="Q40" s="1175"/>
      <c r="R40" s="1175"/>
      <c r="S40" s="1175"/>
      <c r="T40" s="1175"/>
      <c r="U40" s="1175"/>
      <c r="V40" s="1175"/>
      <c r="W40" s="1175"/>
      <c r="X40" s="1186"/>
      <c r="Y40" s="1186"/>
      <c r="Z40" s="1186"/>
      <c r="AA40" s="1187"/>
      <c r="AB40" s="1187"/>
      <c r="AC40" s="1187"/>
      <c r="AD40" s="1160"/>
      <c r="AE40" s="1160"/>
      <c r="AF40" s="1160"/>
      <c r="AG40" s="1160"/>
      <c r="AH40" s="1131"/>
      <c r="AI40" s="1131"/>
      <c r="AJ40" s="1131"/>
      <c r="AK40" s="1131"/>
      <c r="AL40" s="1131"/>
      <c r="AM40" s="1132"/>
      <c r="AN40" s="1133"/>
      <c r="AO40" s="1133"/>
      <c r="AP40" s="1133"/>
      <c r="AQ40" s="1134"/>
      <c r="AR40" s="1160"/>
      <c r="AS40" s="1160"/>
      <c r="AT40" s="1160"/>
      <c r="AU40" s="1159"/>
      <c r="AV40" s="1159"/>
      <c r="AW40" s="1159"/>
      <c r="AX40" s="1127">
        <f>+IF(AM40=0,0,((AD40-(AU40*AH40)-AR40)/AM40))</f>
        <v>0</v>
      </c>
      <c r="AY40" s="1127"/>
      <c r="AZ40" s="1127"/>
      <c r="BA40" s="75"/>
      <c r="BB40" s="136" t="s">
        <v>611</v>
      </c>
      <c r="BC40" s="137"/>
      <c r="BD40" s="138"/>
      <c r="BE40" s="137"/>
      <c r="BF40" s="137"/>
      <c r="BG40" s="143"/>
      <c r="BH40" s="140"/>
      <c r="BI40" s="141"/>
      <c r="BJ40" s="1203">
        <f>+BJ38</f>
        <v>320000</v>
      </c>
      <c r="BK40" s="1203"/>
      <c r="BL40" s="1203"/>
      <c r="BM40" s="1203"/>
      <c r="BN40" s="1203"/>
      <c r="BO40" s="1203"/>
      <c r="BP40" s="1203"/>
      <c r="BQ40" s="1203"/>
      <c r="BR40" s="1203"/>
      <c r="BS40" s="1203"/>
      <c r="BT40" s="1203"/>
      <c r="BU40" s="1203"/>
      <c r="BV40" s="111"/>
      <c r="BY40" s="555"/>
      <c r="CC40" s="71">
        <f t="shared" si="1"/>
        <v>0</v>
      </c>
      <c r="CD40" s="71">
        <f ca="1">SUMIF(B51:D58,"Box Desc",CC37:CC44)</f>
        <v>0</v>
      </c>
      <c r="CE40"/>
      <c r="CF40"/>
      <c r="CG40"/>
      <c r="CH40"/>
      <c r="CI40"/>
      <c r="CJ40"/>
      <c r="CK40"/>
      <c r="CL40"/>
      <c r="CM40"/>
      <c r="CN40"/>
      <c r="CO40"/>
      <c r="CP40"/>
      <c r="CQ40"/>
      <c r="CR40"/>
      <c r="CS40"/>
      <c r="CT40"/>
      <c r="CU40"/>
      <c r="CV40"/>
      <c r="CW40"/>
      <c r="CX40"/>
      <c r="CY40"/>
      <c r="CZ40"/>
      <c r="DA40"/>
      <c r="DB40" s="930"/>
      <c r="DC40" s="930"/>
      <c r="DD40" s="930"/>
      <c r="DE40" s="930"/>
      <c r="DF40" s="93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1"/>
    </row>
    <row r="41" spans="1:1030" ht="12" customHeight="1" x14ac:dyDescent="0.25">
      <c r="A41" s="142"/>
      <c r="B41" s="101">
        <v>9</v>
      </c>
      <c r="C41" s="1183"/>
      <c r="D41" s="1183"/>
      <c r="E41" s="1183"/>
      <c r="F41" s="1174" t="s">
        <v>608</v>
      </c>
      <c r="G41" s="1174"/>
      <c r="H41" s="1175"/>
      <c r="I41" s="1175"/>
      <c r="J41" s="1175"/>
      <c r="K41" s="1175"/>
      <c r="L41" s="1175"/>
      <c r="M41" s="1175"/>
      <c r="N41" s="1175"/>
      <c r="O41" s="1175"/>
      <c r="P41" s="1175"/>
      <c r="Q41" s="1175"/>
      <c r="R41" s="1175"/>
      <c r="S41" s="1175"/>
      <c r="T41" s="1175"/>
      <c r="U41" s="1175"/>
      <c r="V41" s="1175"/>
      <c r="W41" s="1175"/>
      <c r="X41" s="1186"/>
      <c r="Y41" s="1186"/>
      <c r="Z41" s="1186"/>
      <c r="AA41" s="1187"/>
      <c r="AB41" s="1187"/>
      <c r="AC41" s="1187"/>
      <c r="AD41" s="1160"/>
      <c r="AE41" s="1160"/>
      <c r="AF41" s="1160"/>
      <c r="AG41" s="1160"/>
      <c r="AH41" s="1131"/>
      <c r="AI41" s="1131"/>
      <c r="AJ41" s="1131"/>
      <c r="AK41" s="1131"/>
      <c r="AL41" s="1131"/>
      <c r="AM41" s="1132"/>
      <c r="AN41" s="1133"/>
      <c r="AO41" s="1133"/>
      <c r="AP41" s="1133"/>
      <c r="AQ41" s="1134"/>
      <c r="AR41" s="1160"/>
      <c r="AS41" s="1160"/>
      <c r="AT41" s="1160"/>
      <c r="AU41" s="1159"/>
      <c r="AV41" s="1159"/>
      <c r="AW41" s="1159"/>
      <c r="AX41" s="1127">
        <f>+IF(AM41=0,0,((AD41-(AU41*AH41)-AR41)/AM41))</f>
        <v>0</v>
      </c>
      <c r="AY41" s="1127"/>
      <c r="AZ41" s="1127"/>
      <c r="BA41" s="75"/>
      <c r="BB41" s="136" t="s">
        <v>612</v>
      </c>
      <c r="BC41" s="137"/>
      <c r="BD41" s="138"/>
      <c r="BE41" s="137"/>
      <c r="BF41" s="137"/>
      <c r="BG41" s="143"/>
      <c r="BH41" s="140"/>
      <c r="BI41" s="141"/>
      <c r="BJ41" s="1122" t="str">
        <f>IF(OR('FICHA SOLIC'!K8="Unidad Leasing Habitacional",'FICHA SOLIC'!K8="ICGE Gestión Empresa",'FICHA SOLIC'!K8="Concreces",'FICHA SOLIC'!K8="ICGE Gestión Empresa",'FICHA SOLIC'!K8="Agencia Habitacional",'FICHA SOLIC'!K8="Credihome",'FICHA SOLIC'!K8="Másleasing",'FICHA SOLIC'!K8="TESSI"),"6,0%","4,5%")</f>
        <v>6,0%</v>
      </c>
      <c r="BK41" s="1122"/>
      <c r="BL41" s="1122"/>
      <c r="BM41" s="1122"/>
      <c r="BN41" s="1122"/>
      <c r="BO41" s="1122"/>
      <c r="BP41" s="1122"/>
      <c r="BQ41" s="1122"/>
      <c r="BR41" s="1122"/>
      <c r="BS41" s="1122"/>
      <c r="BT41" s="1122"/>
      <c r="BU41" s="1122"/>
      <c r="BV41" s="144"/>
      <c r="BW41" s="103"/>
      <c r="BX41" s="103"/>
      <c r="BY41" s="555" t="str">
        <f>+IF($E40="ofert.",X40,"")</f>
        <v/>
      </c>
      <c r="BZ41" s="71" t="str">
        <f>+IF($E40="ofert.",Z40,"")</f>
        <v/>
      </c>
      <c r="CA41" s="71" t="str">
        <f>+IF($E40="ofert.",AB40,"")</f>
        <v/>
      </c>
      <c r="CB41" s="71" t="str">
        <f>+IF($E40="ofert.",AC40,"")</f>
        <v/>
      </c>
      <c r="CC41" s="71">
        <f t="shared" si="1"/>
        <v>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25">
      <c r="A42" s="142"/>
      <c r="B42" s="1179" t="s">
        <v>601</v>
      </c>
      <c r="C42" s="1179"/>
      <c r="D42" s="1179"/>
      <c r="E42" s="1179"/>
      <c r="F42" s="1179"/>
      <c r="G42" s="1179"/>
      <c r="H42" s="1179"/>
      <c r="I42" s="1179"/>
      <c r="J42" s="1179"/>
      <c r="K42" s="1179"/>
      <c r="L42" s="1179"/>
      <c r="M42" s="1179"/>
      <c r="N42" s="1179"/>
      <c r="O42" s="1179"/>
      <c r="P42" s="1179"/>
      <c r="Q42" s="1179"/>
      <c r="R42" s="1179"/>
      <c r="S42" s="1179"/>
      <c r="T42" s="1179"/>
      <c r="U42" s="1179"/>
      <c r="V42" s="1179"/>
      <c r="W42" s="1179"/>
      <c r="X42" s="1179"/>
      <c r="Y42" s="1179"/>
      <c r="Z42" s="1179"/>
      <c r="AA42" s="1179"/>
      <c r="AB42" s="1179"/>
      <c r="AC42" s="1179"/>
      <c r="AD42" s="1185">
        <f>+IF(COUNTIF(AD38:AG41,"&gt;0")=0,0,+SUM(AD38:AG41)/COUNTIF(AD38:AG41,"&gt;0"))</f>
        <v>1370</v>
      </c>
      <c r="AE42" s="1185"/>
      <c r="AF42" s="1185"/>
      <c r="AG42" s="1185"/>
      <c r="AH42" s="1185">
        <f>+IF(COUNTIF(AH38:AL41,"&gt;0")=0,0,+SUM(AH38:AL41)/COUNTIF(AH38:AL41,"&gt;0"))</f>
        <v>0</v>
      </c>
      <c r="AI42" s="1185"/>
      <c r="AJ42" s="1185"/>
      <c r="AK42" s="1185"/>
      <c r="AL42" s="1185"/>
      <c r="AM42" s="1188">
        <f>+IF(COUNTIF(AM38:AQ41,"&gt;0")=0,0,+SUM(AM38:AQ41)/COUNTIF(AM38:AQ41,"&gt;0"))</f>
        <v>40</v>
      </c>
      <c r="AN42" s="1189"/>
      <c r="AO42" s="1189"/>
      <c r="AP42" s="1189"/>
      <c r="AQ42" s="1190"/>
      <c r="AR42" s="1185">
        <f>+IF(COUNTIF(AR38:AT41,"&gt;0")=0,0,+SUM(AR38:AT41)/COUNTIF(AR38:AT41,"&gt;0"))</f>
        <v>70</v>
      </c>
      <c r="AS42" s="1185"/>
      <c r="AT42" s="1185"/>
      <c r="AU42" s="1276">
        <f>+IF(COUNTIF(AU38:AW41,"&gt;0")=0,0,+SUM(AU38:AW41)/COUNTIF(AU38:AW41,"&gt;0"))</f>
        <v>0</v>
      </c>
      <c r="AV42" s="1276"/>
      <c r="AW42" s="1276"/>
      <c r="AX42" s="1276">
        <f>+IF(COUNTIF(AX38:AZ41,"&gt;0")=0,0,+SUM(AX38:AZ41)/COUNTIF(AX38:AZ41,"&gt;0"))</f>
        <v>33.375</v>
      </c>
      <c r="AY42" s="1276"/>
      <c r="AZ42" s="1276"/>
      <c r="BA42" s="75"/>
      <c r="BB42" s="136" t="s">
        <v>613</v>
      </c>
      <c r="BC42" s="137"/>
      <c r="BD42" s="138"/>
      <c r="BE42" s="137"/>
      <c r="BF42" s="137"/>
      <c r="BG42" s="143"/>
      <c r="BH42" s="140"/>
      <c r="BI42" s="141"/>
      <c r="BJ42" s="1196">
        <f>+BJ37-5</f>
        <v>35</v>
      </c>
      <c r="BK42" s="1196"/>
      <c r="BL42" s="1196"/>
      <c r="BM42" s="1196"/>
      <c r="BN42" s="1196"/>
      <c r="BO42" s="1196"/>
      <c r="BP42" s="1196"/>
      <c r="BQ42" s="1196"/>
      <c r="BR42" s="1196"/>
      <c r="BS42" s="1196"/>
      <c r="BT42" s="1196"/>
      <c r="BU42" s="1196"/>
      <c r="BV42" s="144"/>
      <c r="BW42" s="103"/>
      <c r="BX42" s="103"/>
      <c r="BY42" s="555"/>
      <c r="BZ42" s="71" t="str">
        <f>+IF($E41="ofert.",Z41,"")</f>
        <v/>
      </c>
      <c r="CA42" s="71" t="str">
        <f>+IF($E41="ofert.",AB41,"")</f>
        <v/>
      </c>
      <c r="CB42" s="71" t="str">
        <f>+IF($E41="ofert.",AC41,"")</f>
        <v/>
      </c>
      <c r="CC42" s="71">
        <f t="shared" si="1"/>
        <v>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25">
      <c r="A43" s="142"/>
      <c r="B43" s="1179" t="s">
        <v>602</v>
      </c>
      <c r="C43" s="1179"/>
      <c r="D43" s="1179"/>
      <c r="E43" s="1179"/>
      <c r="F43" s="1179"/>
      <c r="G43" s="1179"/>
      <c r="H43" s="1179"/>
      <c r="I43" s="1179"/>
      <c r="J43" s="1179"/>
      <c r="K43" s="1179"/>
      <c r="L43" s="1179"/>
      <c r="M43" s="1179"/>
      <c r="N43" s="1179"/>
      <c r="O43" s="1179"/>
      <c r="P43" s="1179"/>
      <c r="Q43" s="1179"/>
      <c r="R43" s="1179"/>
      <c r="S43" s="1179"/>
      <c r="T43" s="1179"/>
      <c r="U43" s="1179"/>
      <c r="V43" s="1179"/>
      <c r="W43" s="1179"/>
      <c r="X43" s="1179"/>
      <c r="Y43" s="1179"/>
      <c r="Z43" s="1179"/>
      <c r="AA43" s="1179"/>
      <c r="AB43" s="1179"/>
      <c r="AC43" s="1179"/>
      <c r="AD43" s="1185">
        <f>+BI62</f>
        <v>1394</v>
      </c>
      <c r="AE43" s="1185"/>
      <c r="AF43" s="1185"/>
      <c r="AG43" s="1185"/>
      <c r="AH43" s="1185">
        <f>+AN61</f>
        <v>0</v>
      </c>
      <c r="AI43" s="1185"/>
      <c r="AJ43" s="1185"/>
      <c r="AK43" s="1185"/>
      <c r="AL43" s="1185"/>
      <c r="AM43" s="1188">
        <f>+AN59</f>
        <v>41</v>
      </c>
      <c r="AN43" s="1189"/>
      <c r="AO43" s="1189"/>
      <c r="AP43" s="1189"/>
      <c r="AQ43" s="1190"/>
      <c r="AR43" s="1185" t="str">
        <f>+BI60</f>
        <v>0,00</v>
      </c>
      <c r="AS43" s="1185"/>
      <c r="AT43" s="1185"/>
      <c r="AU43" s="1276">
        <f>+BD61</f>
        <v>0</v>
      </c>
      <c r="AV43" s="1276"/>
      <c r="AW43" s="1276"/>
      <c r="AX43" s="1276">
        <f>+BD59</f>
        <v>34</v>
      </c>
      <c r="AY43" s="1276"/>
      <c r="AZ43" s="1276"/>
      <c r="BA43" s="75"/>
      <c r="BB43" s="145" t="s">
        <v>1921</v>
      </c>
      <c r="BC43" s="146"/>
      <c r="BD43" s="147"/>
      <c r="BE43" s="146"/>
      <c r="BF43" s="146"/>
      <c r="BG43" s="148"/>
      <c r="BH43" s="149"/>
      <c r="BI43" s="150"/>
      <c r="BJ43" s="1274">
        <f>BJ38*12-BJ40</f>
        <v>3520000</v>
      </c>
      <c r="BK43" s="1274"/>
      <c r="BL43" s="1274"/>
      <c r="BM43" s="1274"/>
      <c r="BN43" s="1274"/>
      <c r="BO43" s="1274"/>
      <c r="BP43" s="1274"/>
      <c r="BQ43" s="1274"/>
      <c r="BR43" s="1274"/>
      <c r="BS43" s="1274"/>
      <c r="BT43" s="1274"/>
      <c r="BU43" s="1274"/>
      <c r="BV43" s="144"/>
      <c r="BW43" s="103"/>
      <c r="BX43" s="103"/>
      <c r="BY43" s="555"/>
      <c r="BZ43"/>
      <c r="CA43"/>
      <c r="CB43"/>
      <c r="CC43" s="71">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25">
      <c r="A44" s="142"/>
      <c r="B44" s="1179" t="s">
        <v>604</v>
      </c>
      <c r="C44" s="1179"/>
      <c r="D44" s="1179"/>
      <c r="E44" s="1179"/>
      <c r="F44" s="1179"/>
      <c r="G44" s="1179"/>
      <c r="H44" s="1179"/>
      <c r="I44" s="1179"/>
      <c r="J44" s="1179"/>
      <c r="K44" s="1179"/>
      <c r="L44" s="1179"/>
      <c r="M44" s="1179"/>
      <c r="N44" s="1179"/>
      <c r="O44" s="1179"/>
      <c r="P44" s="1179"/>
      <c r="Q44" s="1179"/>
      <c r="R44" s="1179"/>
      <c r="S44" s="1179"/>
      <c r="T44" s="1179"/>
      <c r="U44" s="1179"/>
      <c r="V44" s="1179"/>
      <c r="W44" s="1179"/>
      <c r="X44" s="1179"/>
      <c r="Y44" s="1179"/>
      <c r="Z44" s="1179"/>
      <c r="AA44" s="1179"/>
      <c r="AB44" s="1179"/>
      <c r="AC44" s="1179"/>
      <c r="AD44" s="1270"/>
      <c r="AE44" s="1270"/>
      <c r="AF44" s="1270"/>
      <c r="AG44" s="1270"/>
      <c r="AH44" s="1270"/>
      <c r="AI44" s="1270"/>
      <c r="AJ44" s="1270"/>
      <c r="AK44" s="1270"/>
      <c r="AL44" s="1270"/>
      <c r="AM44" s="1271"/>
      <c r="AN44" s="1272"/>
      <c r="AO44" s="1272"/>
      <c r="AP44" s="1272"/>
      <c r="AQ44" s="1273"/>
      <c r="AR44" s="1185"/>
      <c r="AS44" s="1185"/>
      <c r="AT44" s="1185"/>
      <c r="AU44" s="1275"/>
      <c r="AV44" s="1275"/>
      <c r="AW44" s="1275"/>
      <c r="AX44" s="1275">
        <f>+IF(AX42=0,0,AX43/AX42-1)</f>
        <v>1.8726591760299671E-2</v>
      </c>
      <c r="AY44" s="1275"/>
      <c r="AZ44" s="1275"/>
      <c r="BA44" s="75"/>
      <c r="BB44" s="145" t="s">
        <v>614</v>
      </c>
      <c r="BC44" s="146"/>
      <c r="BD44" s="147"/>
      <c r="BE44" s="146"/>
      <c r="BF44" s="146"/>
      <c r="BG44" s="148"/>
      <c r="BH44" s="149"/>
      <c r="BI44" s="150"/>
      <c r="BJ44" s="1274">
        <f>IF(BJ41=0,0,BJ43/BJ41)</f>
        <v>58666666.666666672</v>
      </c>
      <c r="BK44" s="1274"/>
      <c r="BL44" s="1274"/>
      <c r="BM44" s="1274"/>
      <c r="BN44" s="1274"/>
      <c r="BO44" s="1274"/>
      <c r="BP44" s="1274"/>
      <c r="BQ44" s="1274"/>
      <c r="BR44" s="1274"/>
      <c r="BS44" s="1274"/>
      <c r="BT44" s="1274"/>
      <c r="BU44" s="1274"/>
      <c r="BV44" s="144"/>
      <c r="BW44" s="103"/>
      <c r="BX44" s="103"/>
      <c r="BY44" s="1015" t="s">
        <v>2607</v>
      </c>
      <c r="BZ44"/>
      <c r="CA44"/>
      <c r="CB44"/>
      <c r="CC44" s="71">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25">
      <c r="A45" s="142"/>
      <c r="B45" s="83" t="s">
        <v>1371</v>
      </c>
      <c r="C45" s="103"/>
      <c r="D45" s="103"/>
      <c r="E45" s="103"/>
      <c r="F45" s="103"/>
      <c r="G45" s="103"/>
      <c r="H45" s="103"/>
      <c r="I45" s="103"/>
      <c r="J45" s="103"/>
      <c r="K45" s="103"/>
      <c r="L45" s="103"/>
      <c r="BA45" s="75"/>
      <c r="BV45" s="151"/>
      <c r="BW45" s="859"/>
      <c r="BX45" s="859"/>
      <c r="BY45" s="1016" t="str">
        <f>+IF(valRolBase=rolPropiedad,"OK","ERROR")</f>
        <v>OK</v>
      </c>
      <c r="BZ45"/>
      <c r="CA45"/>
      <c r="CB45" s="71">
        <f>SUMIF(AE51:AF58,"M",BI51:BM58)</f>
        <v>0</v>
      </c>
      <c r="CC45" s="71">
        <f>SUM(CC37:CC44)</f>
        <v>1394</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
      <c r="A46" s="142"/>
      <c r="B46" s="1143" t="s">
        <v>2606</v>
      </c>
      <c r="C46" s="1144"/>
      <c r="D46" s="1144"/>
      <c r="E46" s="1144"/>
      <c r="F46" s="1144"/>
      <c r="G46" s="1144"/>
      <c r="H46" s="1144"/>
      <c r="I46" s="1144"/>
      <c r="J46" s="1144"/>
      <c r="K46" s="1144"/>
      <c r="L46" s="1144"/>
      <c r="M46" s="1144"/>
      <c r="N46" s="1144"/>
      <c r="O46" s="1144"/>
      <c r="P46" s="1144"/>
      <c r="Q46" s="1144"/>
      <c r="R46" s="1144"/>
      <c r="S46" s="1144"/>
      <c r="T46" s="1144"/>
      <c r="U46" s="1144"/>
      <c r="V46" s="1144"/>
      <c r="W46" s="1144"/>
      <c r="X46" s="1144"/>
      <c r="Y46" s="1144"/>
      <c r="Z46" s="1144"/>
      <c r="AA46" s="1144"/>
      <c r="AB46" s="1144"/>
      <c r="AC46" s="1144"/>
      <c r="AD46" s="1144"/>
      <c r="AE46" s="1144"/>
      <c r="AF46" s="1144"/>
      <c r="AG46" s="1144"/>
      <c r="AH46" s="1144"/>
      <c r="AI46" s="1144"/>
      <c r="AJ46" s="1144"/>
      <c r="AK46" s="1144"/>
      <c r="AL46" s="1144"/>
      <c r="AM46" s="1144"/>
      <c r="AN46" s="1144"/>
      <c r="AO46" s="1144"/>
      <c r="AP46" s="1144"/>
      <c r="AQ46" s="1144"/>
      <c r="AR46" s="1144"/>
      <c r="AS46" s="1144"/>
      <c r="AT46" s="1144"/>
      <c r="AU46" s="1144"/>
      <c r="AV46" s="1144"/>
      <c r="AW46" s="1144"/>
      <c r="AX46" s="1144"/>
      <c r="AY46" s="1144"/>
      <c r="AZ46" s="1144"/>
      <c r="BA46" s="1144"/>
      <c r="BB46" s="1144"/>
      <c r="BC46" s="1144"/>
      <c r="BD46" s="1144"/>
      <c r="BE46" s="1144"/>
      <c r="BF46" s="1144"/>
      <c r="BG46" s="1144"/>
      <c r="BH46" s="1144"/>
      <c r="BI46" s="1144"/>
      <c r="BJ46" s="1144"/>
      <c r="BK46" s="1144"/>
      <c r="BL46" s="1144"/>
      <c r="BM46" s="1144"/>
      <c r="BN46" s="1144"/>
      <c r="BO46" s="1144"/>
      <c r="BP46" s="1144"/>
      <c r="BQ46" s="1144"/>
      <c r="BR46" s="1144"/>
      <c r="BS46" s="1144"/>
      <c r="BT46" s="1144"/>
      <c r="BU46" s="1144"/>
      <c r="BV46" s="152"/>
      <c r="BW46" s="859"/>
      <c r="BX46" s="859"/>
      <c r="BY46" s="557"/>
      <c r="BZ46"/>
      <c r="CA46"/>
      <c r="CB46" s="71">
        <f>SUMIF(AG51:AI58,"M",BI51:BM58)</f>
        <v>0</v>
      </c>
      <c r="CC46" s="71">
        <f ca="1">+CC45-CD37-CD38-CD39-CD40</f>
        <v>0</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2">
      <c r="A47" s="142"/>
      <c r="B47" s="1145"/>
      <c r="C47" s="1146"/>
      <c r="D47" s="1146"/>
      <c r="E47" s="1146"/>
      <c r="F47" s="1146"/>
      <c r="G47" s="1146"/>
      <c r="H47" s="1146"/>
      <c r="I47" s="1146"/>
      <c r="J47" s="1146"/>
      <c r="K47" s="1146"/>
      <c r="L47" s="1146"/>
      <c r="M47" s="1146"/>
      <c r="N47" s="1146"/>
      <c r="O47" s="1146"/>
      <c r="P47" s="1146"/>
      <c r="Q47" s="1146"/>
      <c r="R47" s="1146"/>
      <c r="S47" s="1146"/>
      <c r="T47" s="1146"/>
      <c r="U47" s="1146"/>
      <c r="V47" s="1146"/>
      <c r="W47" s="1146"/>
      <c r="X47" s="1146"/>
      <c r="Y47" s="1146"/>
      <c r="Z47" s="1146"/>
      <c r="AA47" s="1146"/>
      <c r="AB47" s="1146"/>
      <c r="AC47" s="1146"/>
      <c r="AD47" s="1146"/>
      <c r="AE47" s="1146"/>
      <c r="AF47" s="1146"/>
      <c r="AG47" s="1146"/>
      <c r="AH47" s="1146"/>
      <c r="AI47" s="1146"/>
      <c r="AJ47" s="1146"/>
      <c r="AK47" s="1146"/>
      <c r="AL47" s="1146"/>
      <c r="AM47" s="1146"/>
      <c r="AN47" s="1146"/>
      <c r="AO47" s="1146"/>
      <c r="AP47" s="1146"/>
      <c r="AQ47" s="1146"/>
      <c r="AR47" s="1146"/>
      <c r="AS47" s="1146"/>
      <c r="AT47" s="1146"/>
      <c r="AU47" s="1146"/>
      <c r="AV47" s="1146"/>
      <c r="AW47" s="1146"/>
      <c r="AX47" s="1146"/>
      <c r="AY47" s="1146"/>
      <c r="AZ47" s="1146"/>
      <c r="BA47" s="1146"/>
      <c r="BB47" s="1146"/>
      <c r="BC47" s="1146"/>
      <c r="BD47" s="1146"/>
      <c r="BE47" s="1146"/>
      <c r="BF47" s="1146"/>
      <c r="BG47" s="1146"/>
      <c r="BH47" s="1146"/>
      <c r="BI47" s="1146"/>
      <c r="BJ47" s="1146"/>
      <c r="BK47" s="1146"/>
      <c r="BL47" s="1146"/>
      <c r="BM47" s="1146"/>
      <c r="BN47" s="1146"/>
      <c r="BO47" s="1146"/>
      <c r="BP47" s="1146"/>
      <c r="BQ47" s="1146"/>
      <c r="BR47" s="1146"/>
      <c r="BS47" s="1146"/>
      <c r="BT47" s="1146"/>
      <c r="BU47" s="1146"/>
      <c r="BV47" s="153"/>
      <c r="BW47" s="859"/>
      <c r="BX47" s="859"/>
      <c r="BY47" s="557"/>
      <c r="BZ47"/>
      <c r="CA47"/>
      <c r="CB47" s="71">
        <f ca="1">SUMIF(Y51:AD58,"S/Reg, No Regularizable",BI51:BM58)</f>
        <v>0</v>
      </c>
      <c r="CC47" s="71">
        <f ca="1">SUMIF(Y51:AD58,"S/Reg, Regularizable",BI51:BM58)</f>
        <v>0</v>
      </c>
      <c r="CD47"/>
      <c r="CE47"/>
      <c r="CF47" s="154" t="s">
        <v>615</v>
      </c>
      <c r="CG47" s="155"/>
      <c r="CH47"/>
      <c r="CI47"/>
      <c r="CJ47"/>
      <c r="CK47"/>
      <c r="CL47"/>
      <c r="CM47"/>
      <c r="CN47"/>
      <c r="CO47"/>
      <c r="CP47"/>
      <c r="CQ47"/>
      <c r="CR47"/>
      <c r="CS47"/>
      <c r="CT47"/>
      <c r="CU47"/>
      <c r="CV47"/>
      <c r="CW47"/>
      <c r="CX47"/>
      <c r="CY47"/>
      <c r="CZ47"/>
      <c r="DA47" s="988" t="s">
        <v>2594</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 customHeight="1" x14ac:dyDescent="0.2">
      <c r="A48" s="142"/>
      <c r="B48" s="1147"/>
      <c r="C48" s="1148"/>
      <c r="D48" s="1148"/>
      <c r="E48" s="1148"/>
      <c r="F48" s="1148"/>
      <c r="G48" s="1148"/>
      <c r="H48" s="1148"/>
      <c r="I48" s="1148"/>
      <c r="J48" s="1148"/>
      <c r="K48" s="1148"/>
      <c r="L48" s="1148"/>
      <c r="M48" s="1148"/>
      <c r="N48" s="1148"/>
      <c r="O48" s="1148"/>
      <c r="P48" s="1148"/>
      <c r="Q48" s="1148"/>
      <c r="R48" s="1148"/>
      <c r="S48" s="1148"/>
      <c r="T48" s="1148"/>
      <c r="U48" s="1148"/>
      <c r="V48" s="1148"/>
      <c r="W48" s="1148"/>
      <c r="X48" s="1148"/>
      <c r="Y48" s="1148"/>
      <c r="Z48" s="1148"/>
      <c r="AA48" s="1148"/>
      <c r="AB48" s="1148"/>
      <c r="AC48" s="1148"/>
      <c r="AD48" s="1148"/>
      <c r="AE48" s="1148"/>
      <c r="AF48" s="1148"/>
      <c r="AG48" s="1148"/>
      <c r="AH48" s="1148"/>
      <c r="AI48" s="1148"/>
      <c r="AJ48" s="1148"/>
      <c r="AK48" s="1148"/>
      <c r="AL48" s="1148"/>
      <c r="AM48" s="1148"/>
      <c r="AN48" s="1148"/>
      <c r="AO48" s="1148"/>
      <c r="AP48" s="1148"/>
      <c r="AQ48" s="1148"/>
      <c r="AR48" s="1148"/>
      <c r="AS48" s="1148"/>
      <c r="AT48" s="1148"/>
      <c r="AU48" s="1148"/>
      <c r="AV48" s="1148"/>
      <c r="AW48" s="1148"/>
      <c r="AX48" s="1148"/>
      <c r="AY48" s="1148"/>
      <c r="AZ48" s="1148"/>
      <c r="BA48" s="1148"/>
      <c r="BB48" s="1148"/>
      <c r="BC48" s="1148"/>
      <c r="BD48" s="1148"/>
      <c r="BE48" s="1148"/>
      <c r="BF48" s="1148"/>
      <c r="BG48" s="1148"/>
      <c r="BH48" s="1148"/>
      <c r="BI48" s="1148"/>
      <c r="BJ48" s="1148"/>
      <c r="BK48" s="1148"/>
      <c r="BL48" s="1148"/>
      <c r="BM48" s="1148"/>
      <c r="BN48" s="1148"/>
      <c r="BO48" s="1148"/>
      <c r="BP48" s="1148"/>
      <c r="BQ48" s="1148"/>
      <c r="BR48" s="1148"/>
      <c r="BS48" s="1148"/>
      <c r="BT48" s="1148"/>
      <c r="BU48" s="1148"/>
      <c r="BV48" s="156"/>
      <c r="BW48" s="860"/>
      <c r="BX48" s="860"/>
      <c r="BY48" s="557" t="s">
        <v>2593</v>
      </c>
      <c r="BZ48"/>
      <c r="CA48"/>
      <c r="CB48" s="71">
        <f ca="1">SUM(CB45:CB47)</f>
        <v>0</v>
      </c>
      <c r="CC48"/>
      <c r="CD48"/>
      <c r="CE48"/>
      <c r="CF48" s="157" t="s">
        <v>616</v>
      </c>
      <c r="CG48" s="15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2">
      <c r="A49" s="71"/>
      <c r="B49" s="160" t="s">
        <v>619</v>
      </c>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c r="BH49" s="160"/>
      <c r="BI49" s="160"/>
      <c r="BJ49" s="160"/>
      <c r="BK49" s="160"/>
      <c r="BL49" s="160"/>
      <c r="BM49" s="160"/>
      <c r="BN49" s="160"/>
      <c r="BO49" s="160"/>
      <c r="BP49" s="160"/>
      <c r="BQ49" s="160"/>
      <c r="BR49" s="160"/>
      <c r="BS49" s="160"/>
      <c r="BT49" s="160"/>
      <c r="BU49" s="160"/>
      <c r="BV49" s="144"/>
      <c r="BW49" s="103"/>
      <c r="BX49" s="103"/>
      <c r="BY49" s="555"/>
      <c r="BZ49"/>
      <c r="CA49"/>
      <c r="CC49"/>
      <c r="CD49"/>
      <c r="CE49"/>
      <c r="CF49" s="157" t="s">
        <v>618</v>
      </c>
      <c r="CG49" s="158"/>
      <c r="CH49"/>
      <c r="CI49"/>
      <c r="CJ49"/>
      <c r="CK49"/>
      <c r="CL49"/>
      <c r="CM49"/>
      <c r="CN49"/>
      <c r="CO49"/>
      <c r="CP49"/>
      <c r="CQ49"/>
      <c r="CR49"/>
      <c r="CS49"/>
      <c r="CT49"/>
      <c r="CU49"/>
      <c r="CV49"/>
      <c r="CW49"/>
      <c r="CX49"/>
      <c r="CY49"/>
      <c r="CZ49"/>
      <c r="DA49"/>
      <c r="DB49" s="902" t="s">
        <v>1874</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61" customFormat="1" ht="12.95" customHeight="1" x14ac:dyDescent="0.3">
      <c r="A50" s="164"/>
      <c r="B50" s="1269" t="s">
        <v>621</v>
      </c>
      <c r="C50" s="1269"/>
      <c r="D50" s="1269"/>
      <c r="E50" s="1269"/>
      <c r="F50" s="165" t="s">
        <v>622</v>
      </c>
      <c r="G50" s="1184" t="s">
        <v>623</v>
      </c>
      <c r="H50" s="1184"/>
      <c r="I50" s="1184"/>
      <c r="J50" s="1184"/>
      <c r="K50" s="1184"/>
      <c r="L50" s="1184"/>
      <c r="M50" s="1184"/>
      <c r="N50" s="1184"/>
      <c r="O50" s="1128" t="s">
        <v>624</v>
      </c>
      <c r="P50" s="1129"/>
      <c r="Q50" s="1129"/>
      <c r="R50" s="1129"/>
      <c r="S50" s="1130"/>
      <c r="T50" s="1184" t="s">
        <v>570</v>
      </c>
      <c r="U50" s="1184"/>
      <c r="V50" s="1184" t="s">
        <v>625</v>
      </c>
      <c r="W50" s="1184"/>
      <c r="X50" s="1184"/>
      <c r="Y50" s="1184" t="s">
        <v>626</v>
      </c>
      <c r="Z50" s="1184"/>
      <c r="AA50" s="1184"/>
      <c r="AB50" s="1184"/>
      <c r="AC50" s="1184"/>
      <c r="AD50" s="1184"/>
      <c r="AE50" s="1126" t="s">
        <v>627</v>
      </c>
      <c r="AF50" s="1267"/>
      <c r="AG50" s="1184" t="s">
        <v>628</v>
      </c>
      <c r="AH50" s="1184"/>
      <c r="AI50" s="1184"/>
      <c r="AJ50" s="1184" t="s">
        <v>629</v>
      </c>
      <c r="AK50" s="1184"/>
      <c r="AL50" s="1184"/>
      <c r="AM50" s="1184"/>
      <c r="AN50" s="1126" t="s">
        <v>630</v>
      </c>
      <c r="AO50" s="1268"/>
      <c r="AP50" s="1268"/>
      <c r="AQ50" s="1268"/>
      <c r="AR50" s="1268"/>
      <c r="AS50" s="1267"/>
      <c r="AT50" s="1184" t="s">
        <v>631</v>
      </c>
      <c r="AU50" s="1184"/>
      <c r="AV50" s="1184"/>
      <c r="AW50" s="1184"/>
      <c r="AX50" s="1125" t="s">
        <v>632</v>
      </c>
      <c r="AY50" s="1125"/>
      <c r="AZ50" s="1125"/>
      <c r="BA50" s="1125" t="s">
        <v>633</v>
      </c>
      <c r="BB50" s="1125"/>
      <c r="BC50" s="1125"/>
      <c r="BD50" s="1125" t="s">
        <v>634</v>
      </c>
      <c r="BE50" s="1125"/>
      <c r="BF50" s="1125"/>
      <c r="BG50" s="1125"/>
      <c r="BH50" s="1124" t="s">
        <v>635</v>
      </c>
      <c r="BI50" s="1124"/>
      <c r="BJ50" s="1124"/>
      <c r="BK50" s="1124"/>
      <c r="BL50" s="1124"/>
      <c r="BM50" s="1124"/>
      <c r="BN50" s="1125" t="s">
        <v>1857</v>
      </c>
      <c r="BO50" s="1125"/>
      <c r="BP50" s="1125"/>
      <c r="BQ50" s="1125"/>
      <c r="BR50" s="1125"/>
      <c r="BS50" s="1125"/>
      <c r="BT50" s="1125"/>
      <c r="BU50" s="1126"/>
      <c r="BV50" s="873" t="s">
        <v>1856</v>
      </c>
      <c r="BW50"/>
      <c r="BX50"/>
      <c r="BY50" s="558"/>
      <c r="BZ50" s="154" t="s">
        <v>617</v>
      </c>
      <c r="CA50" s="159"/>
      <c r="CB50" s="155"/>
      <c r="CC50"/>
      <c r="CF50" s="162" t="s">
        <v>620</v>
      </c>
      <c r="CG50" s="163"/>
      <c r="DB50" s="902" t="s">
        <v>1873</v>
      </c>
    </row>
    <row r="51" spans="1:1027" ht="12.95" customHeight="1" x14ac:dyDescent="0.25">
      <c r="A51" s="71"/>
      <c r="B51" s="1180" t="s">
        <v>2722</v>
      </c>
      <c r="C51" s="1180"/>
      <c r="D51" s="1180"/>
      <c r="E51" s="1180"/>
      <c r="F51" s="604">
        <f>IF(B51="","",(COUNTIF($B$51:E51,B51)))</f>
        <v>1</v>
      </c>
      <c r="G51" s="1180" t="s">
        <v>2755</v>
      </c>
      <c r="H51" s="1180"/>
      <c r="I51" s="1180"/>
      <c r="J51" s="1180"/>
      <c r="K51" s="1180"/>
      <c r="L51" s="1180"/>
      <c r="M51" s="1180"/>
      <c r="N51" s="1180"/>
      <c r="O51" s="1164" t="s">
        <v>2718</v>
      </c>
      <c r="P51" s="1165"/>
      <c r="Q51" s="1165"/>
      <c r="R51" s="1165"/>
      <c r="S51" s="1166"/>
      <c r="T51" s="1181" t="str">
        <f>anoPropiedad</f>
        <v>2018</v>
      </c>
      <c r="U51" s="1181"/>
      <c r="V51" s="1181" t="s">
        <v>1520</v>
      </c>
      <c r="W51" s="1181"/>
      <c r="X51" s="1181"/>
      <c r="Y51" s="1182" t="s">
        <v>616</v>
      </c>
      <c r="Z51" s="1182"/>
      <c r="AA51" s="1182"/>
      <c r="AB51" s="1182"/>
      <c r="AC51" s="1182"/>
      <c r="AD51" s="1182"/>
      <c r="AE51" s="1170" t="s">
        <v>1178</v>
      </c>
      <c r="AF51" s="1172"/>
      <c r="AG51" s="1191" t="s">
        <v>2723</v>
      </c>
      <c r="AH51" s="1191"/>
      <c r="AI51" s="1191"/>
      <c r="AJ51" s="1182" t="s">
        <v>2729</v>
      </c>
      <c r="AK51" s="1182"/>
      <c r="AL51" s="1182"/>
      <c r="AM51" s="1182"/>
      <c r="AN51" s="1176">
        <v>41</v>
      </c>
      <c r="AO51" s="1177"/>
      <c r="AP51" s="1177"/>
      <c r="AQ51" s="1177"/>
      <c r="AR51" s="1177"/>
      <c r="AS51" s="1178"/>
      <c r="AT51" s="1113">
        <v>34</v>
      </c>
      <c r="AU51" s="1113"/>
      <c r="AV51" s="1113"/>
      <c r="AW51" s="1113"/>
      <c r="AX51" s="1113">
        <v>1</v>
      </c>
      <c r="AY51" s="1113"/>
      <c r="AZ51" s="1113"/>
      <c r="BA51" s="1114">
        <v>1</v>
      </c>
      <c r="BB51" s="1114"/>
      <c r="BC51" s="1114"/>
      <c r="BD51" s="1115">
        <f>+BA51*AX51*AT51</f>
        <v>34</v>
      </c>
      <c r="BE51" s="1115"/>
      <c r="BF51" s="1115"/>
      <c r="BG51" s="1115"/>
      <c r="BH51" s="168" t="str">
        <f t="shared" ref="BH51:BH58" si="2">+IF(BI51&gt;0,"UF",0)</f>
        <v>UF</v>
      </c>
      <c r="BI51" s="1121">
        <f>+BD51*AN51</f>
        <v>1394</v>
      </c>
      <c r="BJ51" s="1121"/>
      <c r="BK51" s="1121"/>
      <c r="BL51" s="1121"/>
      <c r="BM51" s="1121"/>
      <c r="BN51" s="169" t="str">
        <f>+IF(BO51&gt;0,"UF",0)</f>
        <v>UF</v>
      </c>
      <c r="BO51" s="1119">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1394</v>
      </c>
      <c r="BP51" s="1120"/>
      <c r="BQ51" s="1120"/>
      <c r="BR51" s="1120"/>
      <c r="BS51" s="1120"/>
      <c r="BT51" s="1120"/>
      <c r="BU51" s="1120"/>
      <c r="BV51" s="856">
        <f>IF(Y51="S/Reg, No Regularizable","0,00",BI51*$AU$78)</f>
        <v>1150.05</v>
      </c>
      <c r="BW51" s="861"/>
      <c r="BX51" s="861"/>
      <c r="BY51" s="932">
        <f t="shared" ref="BY51:BY58" si="4">+AN51*BA51*AX51*AT51</f>
        <v>1394</v>
      </c>
      <c r="BZ51" s="933" t="b">
        <f t="shared" ref="BZ51:BZ58" si="5">+IF(OR(Y51="S/Reg, No Regularizable",AE51="M",AG51="D"),1)</f>
        <v>0</v>
      </c>
      <c r="CA51" s="933" t="b">
        <f t="shared" ref="CA51:CA58" si="6">+IF(BZ51=1,BI51)</f>
        <v>0</v>
      </c>
      <c r="CB51" s="934" t="str">
        <f t="shared" ref="CB51:CB58" si="7">+IF(BZ51=1,CONCATENATE(B51," ",G51)," -")</f>
        <v xml:space="preserve"> -</v>
      </c>
      <c r="CC51" s="935"/>
      <c r="CD51"/>
      <c r="CE51"/>
      <c r="CF51"/>
      <c r="CG51"/>
      <c r="CH51"/>
      <c r="CI51"/>
      <c r="CJ51"/>
      <c r="CK51"/>
      <c r="CL51"/>
      <c r="CM51"/>
      <c r="CN51"/>
      <c r="CO51"/>
      <c r="CP51"/>
      <c r="CQ51"/>
      <c r="CR51"/>
      <c r="CS51"/>
      <c r="CT51"/>
      <c r="CU51"/>
      <c r="CV51"/>
      <c r="CW51"/>
      <c r="CX51"/>
      <c r="CY51"/>
      <c r="CZ51"/>
      <c r="DA51"/>
      <c r="DB51" s="888">
        <f>+BO51/BI51</f>
        <v>1</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2.95" customHeight="1" x14ac:dyDescent="0.25">
      <c r="B52" s="1180"/>
      <c r="C52" s="1180"/>
      <c r="D52" s="1180"/>
      <c r="E52" s="1180"/>
      <c r="F52" s="604" t="str">
        <f>IF(B52="","",(COUNTIF($B$51:E52,B52)))</f>
        <v/>
      </c>
      <c r="G52" s="1180"/>
      <c r="H52" s="1180"/>
      <c r="I52" s="1180"/>
      <c r="J52" s="1180"/>
      <c r="K52" s="1180"/>
      <c r="L52" s="1180"/>
      <c r="M52" s="1180"/>
      <c r="N52" s="1180"/>
      <c r="O52" s="1164"/>
      <c r="P52" s="1165"/>
      <c r="Q52" s="1165"/>
      <c r="R52" s="1165"/>
      <c r="S52" s="1166"/>
      <c r="T52" s="1181"/>
      <c r="U52" s="1181"/>
      <c r="V52" s="1181"/>
      <c r="W52" s="1181"/>
      <c r="X52" s="1181"/>
      <c r="Y52" s="1182"/>
      <c r="Z52" s="1182"/>
      <c r="AA52" s="1182"/>
      <c r="AB52" s="1182"/>
      <c r="AC52" s="1182"/>
      <c r="AD52" s="1182"/>
      <c r="AE52" s="1170"/>
      <c r="AF52" s="1172"/>
      <c r="AG52" s="1191"/>
      <c r="AH52" s="1191"/>
      <c r="AI52" s="1191"/>
      <c r="AJ52" s="1182"/>
      <c r="AK52" s="1182"/>
      <c r="AL52" s="1182"/>
      <c r="AM52" s="1182"/>
      <c r="AN52" s="1176"/>
      <c r="AO52" s="1177"/>
      <c r="AP52" s="1177"/>
      <c r="AQ52" s="1177"/>
      <c r="AR52" s="1177"/>
      <c r="AS52" s="1178"/>
      <c r="AT52" s="1113"/>
      <c r="AU52" s="1113"/>
      <c r="AV52" s="1113"/>
      <c r="AW52" s="1113"/>
      <c r="AX52" s="1113"/>
      <c r="AY52" s="1113"/>
      <c r="AZ52" s="1113"/>
      <c r="BA52" s="1114"/>
      <c r="BB52" s="1114"/>
      <c r="BC52" s="1114"/>
      <c r="BD52" s="1115">
        <f t="shared" ref="BD52:BD58" si="8">+BA52*AX52*AT52</f>
        <v>0</v>
      </c>
      <c r="BE52" s="1115"/>
      <c r="BF52" s="1115"/>
      <c r="BG52" s="1115"/>
      <c r="BH52" s="168">
        <f t="shared" si="2"/>
        <v>0</v>
      </c>
      <c r="BI52" s="1121">
        <f>IF( AND(G52 = "Terraza", AU3 = "Departamento"), +BD52*AN52, +BD52*AN52)</f>
        <v>0</v>
      </c>
      <c r="BJ52" s="1121"/>
      <c r="BK52" s="1121"/>
      <c r="BL52" s="1121"/>
      <c r="BM52" s="1121"/>
      <c r="BN52" s="169">
        <f t="shared" ref="BN52:BN57" si="9">+IF(BO52&gt;0,"UF",0)</f>
        <v>0</v>
      </c>
      <c r="BO52" s="1119">
        <f t="shared" si="3"/>
        <v>0</v>
      </c>
      <c r="BP52" s="1120"/>
      <c r="BQ52" s="1120"/>
      <c r="BR52" s="1120"/>
      <c r="BS52" s="1120"/>
      <c r="BT52" s="1120"/>
      <c r="BU52" s="1120"/>
      <c r="BV52" s="856">
        <f t="shared" ref="BV52:BV58" si="10">IF(Y52="S/Reg, No Regularizable","0,00",BI52*$AU$78)</f>
        <v>0</v>
      </c>
      <c r="BW52" s="862"/>
      <c r="BX52" s="862"/>
      <c r="BY52" s="932">
        <f t="shared" si="4"/>
        <v>0</v>
      </c>
      <c r="BZ52" s="933" t="b">
        <f t="shared" si="5"/>
        <v>0</v>
      </c>
      <c r="CA52" s="933" t="b">
        <f t="shared" si="6"/>
        <v>0</v>
      </c>
      <c r="CB52" s="934" t="str">
        <f t="shared" si="7"/>
        <v xml:space="preserve"> -</v>
      </c>
      <c r="CC52" s="935"/>
      <c r="CD52"/>
      <c r="CE52"/>
      <c r="CF52"/>
      <c r="CG52"/>
      <c r="CH52"/>
      <c r="CI52"/>
      <c r="CJ52"/>
      <c r="CK52"/>
      <c r="CL52"/>
      <c r="CM52"/>
      <c r="CN52"/>
      <c r="CO52"/>
      <c r="CP52"/>
      <c r="CQ52"/>
      <c r="CR52"/>
      <c r="CS52"/>
      <c r="CT52"/>
      <c r="CU52"/>
      <c r="CV52"/>
      <c r="CW52"/>
      <c r="CX52"/>
      <c r="CY52"/>
      <c r="CZ52"/>
      <c r="DA52"/>
      <c r="DB52" s="888" t="e">
        <f>+BO52/BI52</f>
        <v>#DIV/0!</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2.95" customHeight="1" x14ac:dyDescent="0.25">
      <c r="B53" s="1180"/>
      <c r="C53" s="1180"/>
      <c r="D53" s="1180"/>
      <c r="E53" s="1180"/>
      <c r="F53" s="604" t="str">
        <f>IF(B53="","",(COUNTIF($B$51:E53,B53)))</f>
        <v/>
      </c>
      <c r="G53" s="1180"/>
      <c r="H53" s="1180"/>
      <c r="I53" s="1180"/>
      <c r="J53" s="1180"/>
      <c r="K53" s="1180"/>
      <c r="L53" s="1180"/>
      <c r="M53" s="1180"/>
      <c r="N53" s="1180"/>
      <c r="O53" s="1167"/>
      <c r="P53" s="1168"/>
      <c r="Q53" s="1168"/>
      <c r="R53" s="1168"/>
      <c r="S53" s="1169"/>
      <c r="T53" s="1170"/>
      <c r="U53" s="1172"/>
      <c r="V53" s="1181"/>
      <c r="W53" s="1181"/>
      <c r="X53" s="1181"/>
      <c r="Y53" s="1182"/>
      <c r="Z53" s="1182"/>
      <c r="AA53" s="1182"/>
      <c r="AB53" s="1182"/>
      <c r="AC53" s="1182"/>
      <c r="AD53" s="1182"/>
      <c r="AE53" s="1170"/>
      <c r="AF53" s="1172"/>
      <c r="AG53" s="1191"/>
      <c r="AH53" s="1191"/>
      <c r="AI53" s="1191"/>
      <c r="AJ53" s="1182"/>
      <c r="AK53" s="1182"/>
      <c r="AL53" s="1182"/>
      <c r="AM53" s="1182"/>
      <c r="AN53" s="1176"/>
      <c r="AO53" s="1177"/>
      <c r="AP53" s="1177"/>
      <c r="AQ53" s="1177"/>
      <c r="AR53" s="1177"/>
      <c r="AS53" s="1178"/>
      <c r="AT53" s="1113"/>
      <c r="AU53" s="1113"/>
      <c r="AV53" s="1113"/>
      <c r="AW53" s="1113"/>
      <c r="AX53" s="1113"/>
      <c r="AY53" s="1113"/>
      <c r="AZ53" s="1113"/>
      <c r="BA53" s="1114"/>
      <c r="BB53" s="1114"/>
      <c r="BC53" s="1114"/>
      <c r="BD53" s="1115">
        <f t="shared" si="8"/>
        <v>0</v>
      </c>
      <c r="BE53" s="1115"/>
      <c r="BF53" s="1115"/>
      <c r="BG53" s="1115"/>
      <c r="BH53" s="168">
        <f t="shared" si="2"/>
        <v>0</v>
      </c>
      <c r="BI53" s="1121">
        <f>IF(Y53="S/Reg, No Regularizable","0,00",BD53*AN53)</f>
        <v>0</v>
      </c>
      <c r="BJ53" s="1121"/>
      <c r="BK53" s="1121"/>
      <c r="BL53" s="1121"/>
      <c r="BM53" s="1121"/>
      <c r="BN53" s="169">
        <f t="shared" si="9"/>
        <v>0</v>
      </c>
      <c r="BO53" s="1119">
        <f t="shared" si="3"/>
        <v>0</v>
      </c>
      <c r="BP53" s="1120"/>
      <c r="BQ53" s="1120"/>
      <c r="BR53" s="1120"/>
      <c r="BS53" s="1120"/>
      <c r="BT53" s="1120"/>
      <c r="BU53" s="1120"/>
      <c r="BV53" s="856">
        <f t="shared" si="10"/>
        <v>0</v>
      </c>
      <c r="BW53" s="863"/>
      <c r="BX53" s="863"/>
      <c r="BY53" s="932">
        <f t="shared" si="4"/>
        <v>0</v>
      </c>
      <c r="BZ53" s="933" t="b">
        <f t="shared" si="5"/>
        <v>0</v>
      </c>
      <c r="CA53" s="933" t="b">
        <f t="shared" si="6"/>
        <v>0</v>
      </c>
      <c r="CB53" s="934" t="str">
        <f t="shared" si="7"/>
        <v xml:space="preserve"> -</v>
      </c>
      <c r="CC53" s="935"/>
      <c r="CD53"/>
      <c r="CE53" t="e">
        <f ca="1">OFFSET(Zonificacion!$C$1,MATCH(INDIRECT(ADDRESS(CELL("row"),CELL("col")+2)),Zonificacion!$B:$B,0)-1,0,COUNTIF(Zonificacion!$B:$B,INDIRECT(ADDRESS(CELL("row"),CELL("col")+2))),1)</f>
        <v>#N/A</v>
      </c>
      <c r="CF53" t="s">
        <v>416</v>
      </c>
      <c r="CG53" t="s">
        <v>416</v>
      </c>
      <c r="CH53"/>
      <c r="CI53"/>
      <c r="CJ53"/>
      <c r="CK53"/>
      <c r="CL53"/>
      <c r="CM53"/>
      <c r="CN53"/>
      <c r="CO53"/>
      <c r="CP53"/>
      <c r="CQ53"/>
      <c r="CR53"/>
      <c r="CS53"/>
      <c r="CT53"/>
      <c r="CU53"/>
      <c r="CV53"/>
      <c r="CW53"/>
      <c r="CX53"/>
      <c r="CY53"/>
      <c r="CZ53"/>
      <c r="DA53"/>
      <c r="DB53" s="888" t="e">
        <f t="shared" ref="DB53:DB58" si="11">+BO53/BI53</f>
        <v>#DIV/0!</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2.95" customHeight="1" x14ac:dyDescent="0.25">
      <c r="B54" s="1180"/>
      <c r="C54" s="1180"/>
      <c r="D54" s="1180"/>
      <c r="E54" s="1180"/>
      <c r="F54" s="604" t="str">
        <f>IF(B54="","",(COUNTIF($B$51:E54,B54)))</f>
        <v/>
      </c>
      <c r="G54" s="1180"/>
      <c r="H54" s="1180"/>
      <c r="I54" s="1180"/>
      <c r="J54" s="1180"/>
      <c r="K54" s="1180"/>
      <c r="L54" s="1180"/>
      <c r="M54" s="1180"/>
      <c r="N54" s="1180"/>
      <c r="O54" s="1167"/>
      <c r="P54" s="1168"/>
      <c r="Q54" s="1168"/>
      <c r="R54" s="1168"/>
      <c r="S54" s="1169"/>
      <c r="T54" s="1170"/>
      <c r="U54" s="1172"/>
      <c r="V54" s="1181"/>
      <c r="W54" s="1181"/>
      <c r="X54" s="1181"/>
      <c r="Y54" s="1182"/>
      <c r="Z54" s="1182"/>
      <c r="AA54" s="1182"/>
      <c r="AB54" s="1182"/>
      <c r="AC54" s="1182"/>
      <c r="AD54" s="1182"/>
      <c r="AE54" s="1170"/>
      <c r="AF54" s="1172"/>
      <c r="AG54" s="1191"/>
      <c r="AH54" s="1191"/>
      <c r="AI54" s="1191"/>
      <c r="AJ54" s="1182"/>
      <c r="AK54" s="1182"/>
      <c r="AL54" s="1182"/>
      <c r="AM54" s="1182"/>
      <c r="AN54" s="1176"/>
      <c r="AO54" s="1177"/>
      <c r="AP54" s="1177"/>
      <c r="AQ54" s="1177"/>
      <c r="AR54" s="1177"/>
      <c r="AS54" s="1178"/>
      <c r="AT54" s="1113"/>
      <c r="AU54" s="1113"/>
      <c r="AV54" s="1113"/>
      <c r="AW54" s="1113"/>
      <c r="AX54" s="1113"/>
      <c r="AY54" s="1113"/>
      <c r="AZ54" s="1113"/>
      <c r="BA54" s="1114"/>
      <c r="BB54" s="1114"/>
      <c r="BC54" s="1114"/>
      <c r="BD54" s="1115">
        <f t="shared" si="8"/>
        <v>0</v>
      </c>
      <c r="BE54" s="1115"/>
      <c r="BF54" s="1115"/>
      <c r="BG54" s="1115"/>
      <c r="BH54" s="168">
        <f t="shared" si="2"/>
        <v>0</v>
      </c>
      <c r="BI54" s="1121">
        <f t="shared" ref="BI54:BI58" si="12">IF(Y54="S/Reg, No Regularizable","0,00",BD54*AN54)</f>
        <v>0</v>
      </c>
      <c r="BJ54" s="1121"/>
      <c r="BK54" s="1121"/>
      <c r="BL54" s="1121"/>
      <c r="BM54" s="1121"/>
      <c r="BN54" s="169">
        <f t="shared" si="9"/>
        <v>0</v>
      </c>
      <c r="BO54" s="1119">
        <f t="shared" si="3"/>
        <v>0</v>
      </c>
      <c r="BP54" s="1120"/>
      <c r="BQ54" s="1120"/>
      <c r="BR54" s="1120"/>
      <c r="BS54" s="1120"/>
      <c r="BT54" s="1120"/>
      <c r="BU54" s="1120"/>
      <c r="BV54" s="856">
        <f t="shared" si="10"/>
        <v>0</v>
      </c>
      <c r="BW54" s="863"/>
      <c r="BX54" s="863"/>
      <c r="BY54" s="932">
        <f t="shared" si="4"/>
        <v>0</v>
      </c>
      <c r="BZ54" s="933" t="b">
        <f t="shared" si="5"/>
        <v>0</v>
      </c>
      <c r="CA54" s="933" t="b">
        <f t="shared" si="6"/>
        <v>0</v>
      </c>
      <c r="CB54" s="934" t="str">
        <f t="shared" si="7"/>
        <v xml:space="preserve"> -</v>
      </c>
      <c r="CC54" s="935"/>
      <c r="CD54"/>
      <c r="CE54"/>
      <c r="CF54"/>
      <c r="CG54"/>
      <c r="CH54"/>
      <c r="CI54"/>
      <c r="CJ54"/>
      <c r="CK54"/>
      <c r="CL54"/>
      <c r="CM54"/>
      <c r="CN54"/>
      <c r="CO54"/>
      <c r="CP54"/>
      <c r="CQ54"/>
      <c r="CR54"/>
      <c r="CS54"/>
      <c r="CT54"/>
      <c r="CU54"/>
      <c r="CV54"/>
      <c r="CW54"/>
      <c r="CX54"/>
      <c r="CY54"/>
      <c r="CZ54"/>
      <c r="DA54"/>
      <c r="DB54" s="888" t="e">
        <f t="shared" si="11"/>
        <v>#DIV/0!</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2.95" customHeight="1" x14ac:dyDescent="0.25">
      <c r="B55" s="1180"/>
      <c r="C55" s="1180"/>
      <c r="D55" s="1180"/>
      <c r="E55" s="1180"/>
      <c r="F55" s="167" t="str">
        <f>IF(B55="","",(COUNTIF($B$51:E55,B55)))</f>
        <v/>
      </c>
      <c r="G55" s="1182"/>
      <c r="H55" s="1182"/>
      <c r="I55" s="1182"/>
      <c r="J55" s="1182"/>
      <c r="K55" s="1182"/>
      <c r="L55" s="1182"/>
      <c r="M55" s="1182"/>
      <c r="N55" s="1182"/>
      <c r="O55" s="1170"/>
      <c r="P55" s="1171"/>
      <c r="Q55" s="1171"/>
      <c r="R55" s="1171"/>
      <c r="S55" s="1172"/>
      <c r="T55" s="1170"/>
      <c r="U55" s="1172"/>
      <c r="V55" s="1181"/>
      <c r="W55" s="1181"/>
      <c r="X55" s="1181"/>
      <c r="Y55" s="1182"/>
      <c r="Z55" s="1182"/>
      <c r="AA55" s="1182"/>
      <c r="AB55" s="1182"/>
      <c r="AC55" s="1182"/>
      <c r="AD55" s="1182"/>
      <c r="AE55" s="1170"/>
      <c r="AF55" s="1172"/>
      <c r="AG55" s="1191"/>
      <c r="AH55" s="1191"/>
      <c r="AI55" s="1191"/>
      <c r="AJ55" s="1182"/>
      <c r="AK55" s="1182"/>
      <c r="AL55" s="1182"/>
      <c r="AM55" s="1182"/>
      <c r="AN55" s="1176"/>
      <c r="AO55" s="1177"/>
      <c r="AP55" s="1177"/>
      <c r="AQ55" s="1177"/>
      <c r="AR55" s="1177"/>
      <c r="AS55" s="1178"/>
      <c r="AT55" s="1113"/>
      <c r="AU55" s="1113"/>
      <c r="AV55" s="1113"/>
      <c r="AW55" s="1113"/>
      <c r="AX55" s="1113"/>
      <c r="AY55" s="1113"/>
      <c r="AZ55" s="1113"/>
      <c r="BA55" s="1114"/>
      <c r="BB55" s="1114"/>
      <c r="BC55" s="1114"/>
      <c r="BD55" s="1115">
        <f t="shared" si="8"/>
        <v>0</v>
      </c>
      <c r="BE55" s="1115"/>
      <c r="BF55" s="1115"/>
      <c r="BG55" s="1115"/>
      <c r="BH55" s="168">
        <f t="shared" si="2"/>
        <v>0</v>
      </c>
      <c r="BI55" s="1121">
        <f t="shared" si="12"/>
        <v>0</v>
      </c>
      <c r="BJ55" s="1121"/>
      <c r="BK55" s="1121"/>
      <c r="BL55" s="1121"/>
      <c r="BM55" s="1121"/>
      <c r="BN55" s="169">
        <f t="shared" si="9"/>
        <v>0</v>
      </c>
      <c r="BO55" s="1119">
        <f t="shared" si="3"/>
        <v>0</v>
      </c>
      <c r="BP55" s="1120"/>
      <c r="BQ55" s="1120"/>
      <c r="BR55" s="1120"/>
      <c r="BS55" s="1120"/>
      <c r="BT55" s="1120"/>
      <c r="BU55" s="1120"/>
      <c r="BV55" s="856">
        <f t="shared" si="10"/>
        <v>0</v>
      </c>
      <c r="BW55" s="863"/>
      <c r="BX55" s="863"/>
      <c r="BY55" s="932">
        <f t="shared" si="4"/>
        <v>0</v>
      </c>
      <c r="BZ55" s="933" t="b">
        <f t="shared" si="5"/>
        <v>0</v>
      </c>
      <c r="CA55" s="933" t="b">
        <f t="shared" si="6"/>
        <v>0</v>
      </c>
      <c r="CB55" s="934" t="str">
        <f t="shared" si="7"/>
        <v xml:space="preserve"> -</v>
      </c>
      <c r="CC55" s="935"/>
      <c r="CD55"/>
      <c r="CE55"/>
      <c r="CF55"/>
      <c r="CG55"/>
      <c r="CH55"/>
      <c r="CI55"/>
      <c r="CJ55"/>
      <c r="CK55"/>
      <c r="CL55"/>
      <c r="CM55"/>
      <c r="CN55"/>
      <c r="CO55"/>
      <c r="CP55"/>
      <c r="CQ55"/>
      <c r="CR55"/>
      <c r="CS55"/>
      <c r="CT55"/>
      <c r="CU55"/>
      <c r="CV55"/>
      <c r="CW55"/>
      <c r="CX55"/>
      <c r="CY55"/>
      <c r="CZ55"/>
      <c r="DA55"/>
      <c r="DB55" s="888" t="e">
        <f t="shared" si="11"/>
        <v>#DIV/0!</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2.95" customHeight="1" x14ac:dyDescent="0.25">
      <c r="B56" s="1180"/>
      <c r="C56" s="1180"/>
      <c r="D56" s="1180"/>
      <c r="E56" s="1180"/>
      <c r="F56" s="167" t="str">
        <f>IF(B56="","",(COUNTIF($B$51:E56,B56)))</f>
        <v/>
      </c>
      <c r="G56" s="1182"/>
      <c r="H56" s="1182"/>
      <c r="I56" s="1182"/>
      <c r="J56" s="1182"/>
      <c r="K56" s="1182"/>
      <c r="L56" s="1182"/>
      <c r="M56" s="1182"/>
      <c r="N56" s="1182"/>
      <c r="O56" s="1170"/>
      <c r="P56" s="1171"/>
      <c r="Q56" s="1171"/>
      <c r="R56" s="1171"/>
      <c r="S56" s="1172"/>
      <c r="T56" s="1170"/>
      <c r="U56" s="1172"/>
      <c r="V56" s="1181"/>
      <c r="W56" s="1181"/>
      <c r="X56" s="1181"/>
      <c r="Y56" s="1182"/>
      <c r="Z56" s="1182"/>
      <c r="AA56" s="1182"/>
      <c r="AB56" s="1182"/>
      <c r="AC56" s="1182"/>
      <c r="AD56" s="1182"/>
      <c r="AE56" s="1170"/>
      <c r="AF56" s="1172"/>
      <c r="AG56" s="1191"/>
      <c r="AH56" s="1191"/>
      <c r="AI56" s="1191"/>
      <c r="AJ56" s="1182"/>
      <c r="AK56" s="1182"/>
      <c r="AL56" s="1182"/>
      <c r="AM56" s="1182"/>
      <c r="AN56" s="1176"/>
      <c r="AO56" s="1177"/>
      <c r="AP56" s="1177"/>
      <c r="AQ56" s="1177"/>
      <c r="AR56" s="1177"/>
      <c r="AS56" s="1178"/>
      <c r="AT56" s="1113"/>
      <c r="AU56" s="1113"/>
      <c r="AV56" s="1113"/>
      <c r="AW56" s="1113"/>
      <c r="AX56" s="1113"/>
      <c r="AY56" s="1113"/>
      <c r="AZ56" s="1113"/>
      <c r="BA56" s="1114"/>
      <c r="BB56" s="1114"/>
      <c r="BC56" s="1114"/>
      <c r="BD56" s="1115">
        <f t="shared" si="8"/>
        <v>0</v>
      </c>
      <c r="BE56" s="1115"/>
      <c r="BF56" s="1115"/>
      <c r="BG56" s="1115"/>
      <c r="BH56" s="168">
        <f t="shared" si="2"/>
        <v>0</v>
      </c>
      <c r="BI56" s="1121">
        <f t="shared" si="12"/>
        <v>0</v>
      </c>
      <c r="BJ56" s="1121"/>
      <c r="BK56" s="1121"/>
      <c r="BL56" s="1121"/>
      <c r="BM56" s="1121"/>
      <c r="BN56" s="169">
        <f t="shared" si="9"/>
        <v>0</v>
      </c>
      <c r="BO56" s="1119">
        <f t="shared" si="3"/>
        <v>0</v>
      </c>
      <c r="BP56" s="1120"/>
      <c r="BQ56" s="1120"/>
      <c r="BR56" s="1120"/>
      <c r="BS56" s="1120"/>
      <c r="BT56" s="1120"/>
      <c r="BU56" s="1120"/>
      <c r="BV56" s="856">
        <f t="shared" si="10"/>
        <v>0</v>
      </c>
      <c r="BW56" s="863"/>
      <c r="BX56" s="863"/>
      <c r="BY56" s="932">
        <f t="shared" si="4"/>
        <v>0</v>
      </c>
      <c r="BZ56" s="933" t="b">
        <f t="shared" si="5"/>
        <v>0</v>
      </c>
      <c r="CA56" s="933" t="b">
        <f t="shared" si="6"/>
        <v>0</v>
      </c>
      <c r="CB56" s="934" t="str">
        <f t="shared" si="7"/>
        <v xml:space="preserve"> -</v>
      </c>
      <c r="CC56" s="935"/>
      <c r="CD56"/>
      <c r="CE56"/>
      <c r="CF56"/>
      <c r="CG56"/>
      <c r="CH56"/>
      <c r="CI56"/>
      <c r="CJ56"/>
      <c r="CK56"/>
      <c r="CL56"/>
      <c r="CM56"/>
      <c r="CN56"/>
      <c r="CO56"/>
      <c r="CP56"/>
      <c r="CQ56"/>
      <c r="CR56"/>
      <c r="CS56"/>
      <c r="CT56"/>
      <c r="CU56"/>
      <c r="CV56"/>
      <c r="CW56"/>
      <c r="CX56"/>
      <c r="CY56"/>
      <c r="CZ56"/>
      <c r="DA56"/>
      <c r="DB56" s="888" t="e">
        <f t="shared" si="11"/>
        <v>#DIV/0!</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2.95" customHeight="1" x14ac:dyDescent="0.25">
      <c r="B57" s="1180"/>
      <c r="C57" s="1180"/>
      <c r="D57" s="1180"/>
      <c r="E57" s="1180"/>
      <c r="F57" s="167" t="str">
        <f>IF(B57="","",(COUNTIF($B$51:E57,B57)))</f>
        <v/>
      </c>
      <c r="G57" s="1182"/>
      <c r="H57" s="1182"/>
      <c r="I57" s="1182"/>
      <c r="J57" s="1182"/>
      <c r="K57" s="1182"/>
      <c r="L57" s="1182"/>
      <c r="M57" s="1182"/>
      <c r="N57" s="1182"/>
      <c r="O57" s="1170"/>
      <c r="P57" s="1171"/>
      <c r="Q57" s="1171"/>
      <c r="R57" s="1171"/>
      <c r="S57" s="1172"/>
      <c r="T57" s="1170"/>
      <c r="U57" s="1172"/>
      <c r="V57" s="1181"/>
      <c r="W57" s="1181"/>
      <c r="X57" s="1181"/>
      <c r="Y57" s="1182"/>
      <c r="Z57" s="1182"/>
      <c r="AA57" s="1182"/>
      <c r="AB57" s="1182"/>
      <c r="AC57" s="1182"/>
      <c r="AD57" s="1182"/>
      <c r="AE57" s="1170"/>
      <c r="AF57" s="1172"/>
      <c r="AG57" s="1191"/>
      <c r="AH57" s="1191"/>
      <c r="AI57" s="1191"/>
      <c r="AJ57" s="1182"/>
      <c r="AK57" s="1182"/>
      <c r="AL57" s="1182"/>
      <c r="AM57" s="1182"/>
      <c r="AN57" s="1176"/>
      <c r="AO57" s="1177"/>
      <c r="AP57" s="1177"/>
      <c r="AQ57" s="1177"/>
      <c r="AR57" s="1177"/>
      <c r="AS57" s="1178"/>
      <c r="AT57" s="1113"/>
      <c r="AU57" s="1113"/>
      <c r="AV57" s="1113"/>
      <c r="AW57" s="1113"/>
      <c r="AX57" s="1113"/>
      <c r="AY57" s="1113"/>
      <c r="AZ57" s="1113"/>
      <c r="BA57" s="1114"/>
      <c r="BB57" s="1114"/>
      <c r="BC57" s="1114"/>
      <c r="BD57" s="1115">
        <f t="shared" si="8"/>
        <v>0</v>
      </c>
      <c r="BE57" s="1115"/>
      <c r="BF57" s="1115"/>
      <c r="BG57" s="1115"/>
      <c r="BH57" s="168">
        <f t="shared" si="2"/>
        <v>0</v>
      </c>
      <c r="BI57" s="1121">
        <f t="shared" si="12"/>
        <v>0</v>
      </c>
      <c r="BJ57" s="1121"/>
      <c r="BK57" s="1121"/>
      <c r="BL57" s="1121"/>
      <c r="BM57" s="1121"/>
      <c r="BN57" s="169">
        <f t="shared" si="9"/>
        <v>0</v>
      </c>
      <c r="BO57" s="1119">
        <f t="shared" si="3"/>
        <v>0</v>
      </c>
      <c r="BP57" s="1120"/>
      <c r="BQ57" s="1120"/>
      <c r="BR57" s="1120"/>
      <c r="BS57" s="1120"/>
      <c r="BT57" s="1120"/>
      <c r="BU57" s="1120"/>
      <c r="BV57" s="856">
        <f t="shared" si="10"/>
        <v>0</v>
      </c>
      <c r="BW57" s="863"/>
      <c r="BX57" s="863"/>
      <c r="BY57" s="932">
        <f t="shared" si="4"/>
        <v>0</v>
      </c>
      <c r="BZ57" s="933" t="b">
        <f t="shared" si="5"/>
        <v>0</v>
      </c>
      <c r="CA57" s="933" t="b">
        <f t="shared" si="6"/>
        <v>0</v>
      </c>
      <c r="CB57" s="934" t="str">
        <f t="shared" si="7"/>
        <v xml:space="preserve"> -</v>
      </c>
      <c r="CC57" s="935"/>
      <c r="CD57"/>
      <c r="CE57"/>
      <c r="CF57"/>
      <c r="CG57"/>
      <c r="CH57"/>
      <c r="CI57"/>
      <c r="CJ57"/>
      <c r="CK57"/>
      <c r="CL57"/>
      <c r="CM57"/>
      <c r="CN57"/>
      <c r="CO57"/>
      <c r="CP57"/>
      <c r="CQ57"/>
      <c r="CR57"/>
      <c r="CS57"/>
      <c r="CT57"/>
      <c r="CU57"/>
      <c r="CV57"/>
      <c r="CW57"/>
      <c r="CX57"/>
      <c r="CY57"/>
      <c r="CZ57"/>
      <c r="DA57"/>
      <c r="DB57" s="888" t="e">
        <f t="shared" si="11"/>
        <v>#DIV/0!</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B58" s="1180"/>
      <c r="C58" s="1180"/>
      <c r="D58" s="1180"/>
      <c r="E58" s="1180"/>
      <c r="F58" s="167" t="str">
        <f>IF(B58="","",(COUNTIF($B$51:E58,B58)))</f>
        <v/>
      </c>
      <c r="G58" s="1182"/>
      <c r="H58" s="1182"/>
      <c r="I58" s="1182"/>
      <c r="J58" s="1182"/>
      <c r="K58" s="1182"/>
      <c r="L58" s="1182"/>
      <c r="M58" s="1182"/>
      <c r="N58" s="1182"/>
      <c r="O58" s="1170"/>
      <c r="P58" s="1171"/>
      <c r="Q58" s="1171"/>
      <c r="R58" s="1171"/>
      <c r="S58" s="1172"/>
      <c r="T58" s="1170"/>
      <c r="U58" s="1172"/>
      <c r="V58" s="1181"/>
      <c r="W58" s="1181"/>
      <c r="X58" s="1181"/>
      <c r="Y58" s="1182"/>
      <c r="Z58" s="1182"/>
      <c r="AA58" s="1182"/>
      <c r="AB58" s="1182"/>
      <c r="AC58" s="1182"/>
      <c r="AD58" s="1182"/>
      <c r="AE58" s="1170"/>
      <c r="AF58" s="1172"/>
      <c r="AG58" s="1191"/>
      <c r="AH58" s="1191"/>
      <c r="AI58" s="1191"/>
      <c r="AJ58" s="1182"/>
      <c r="AK58" s="1182"/>
      <c r="AL58" s="1182"/>
      <c r="AM58" s="1182"/>
      <c r="AN58" s="1213"/>
      <c r="AO58" s="1214"/>
      <c r="AP58" s="1214"/>
      <c r="AQ58" s="1214"/>
      <c r="AR58" s="1214"/>
      <c r="AS58" s="1215"/>
      <c r="AT58" s="1113"/>
      <c r="AU58" s="1113"/>
      <c r="AV58" s="1113"/>
      <c r="AW58" s="1113"/>
      <c r="AX58" s="1113"/>
      <c r="AY58" s="1113"/>
      <c r="AZ58" s="1113"/>
      <c r="BA58" s="1114"/>
      <c r="BB58" s="1114"/>
      <c r="BC58" s="1114"/>
      <c r="BD58" s="1115">
        <f t="shared" si="8"/>
        <v>0</v>
      </c>
      <c r="BE58" s="1115"/>
      <c r="BF58" s="1115"/>
      <c r="BG58" s="1115"/>
      <c r="BH58" s="167">
        <f t="shared" si="2"/>
        <v>0</v>
      </c>
      <c r="BI58" s="1121">
        <f t="shared" si="12"/>
        <v>0</v>
      </c>
      <c r="BJ58" s="1121"/>
      <c r="BK58" s="1121"/>
      <c r="BL58" s="1121"/>
      <c r="BM58" s="1121"/>
      <c r="BN58" s="171">
        <f>+IF(BO58&gt;0,"$",0)</f>
        <v>0</v>
      </c>
      <c r="BO58" s="1119">
        <f t="shared" si="3"/>
        <v>0</v>
      </c>
      <c r="BP58" s="1120"/>
      <c r="BQ58" s="1120"/>
      <c r="BR58" s="1120"/>
      <c r="BS58" s="1120"/>
      <c r="BT58" s="1120"/>
      <c r="BU58" s="1120"/>
      <c r="BV58" s="856">
        <f t="shared" si="10"/>
        <v>0</v>
      </c>
      <c r="BW58" s="865"/>
      <c r="BX58" s="864"/>
      <c r="BY58" s="932">
        <f t="shared" si="4"/>
        <v>0</v>
      </c>
      <c r="BZ58" s="933" t="b">
        <f t="shared" si="5"/>
        <v>0</v>
      </c>
      <c r="CA58" s="933" t="b">
        <f t="shared" si="6"/>
        <v>0</v>
      </c>
      <c r="CB58" s="934" t="str">
        <f t="shared" si="7"/>
        <v xml:space="preserve"> -</v>
      </c>
      <c r="CC58" s="936"/>
      <c r="CD58"/>
      <c r="CE58"/>
      <c r="CF58"/>
      <c r="CG58"/>
      <c r="CH58"/>
      <c r="CI58"/>
      <c r="CJ58"/>
      <c r="CK58"/>
      <c r="CL58"/>
      <c r="CM58"/>
      <c r="CN58"/>
      <c r="CO58"/>
      <c r="CP58"/>
      <c r="CQ58"/>
      <c r="CR58"/>
      <c r="CS58"/>
      <c r="CT58"/>
      <c r="CU58"/>
      <c r="CV58"/>
      <c r="CW58"/>
      <c r="CX58"/>
      <c r="CY58"/>
      <c r="CZ58"/>
      <c r="DA58"/>
      <c r="DB58" s="888" t="e">
        <f t="shared" si="11"/>
        <v>#DIV/0!</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25">
      <c r="B59" s="172" t="s">
        <v>636</v>
      </c>
      <c r="C59" s="173"/>
      <c r="D59" s="173"/>
      <c r="E59" s="173"/>
      <c r="F59" s="173"/>
      <c r="G59" s="173"/>
      <c r="H59" s="173"/>
      <c r="I59" s="174"/>
      <c r="J59" s="174"/>
      <c r="K59" s="174"/>
      <c r="L59" s="174"/>
      <c r="M59" s="174"/>
      <c r="N59" s="175"/>
      <c r="O59" s="1244"/>
      <c r="P59" s="1245"/>
      <c r="Q59" s="1245"/>
      <c r="R59" s="1245"/>
      <c r="S59" s="1246"/>
      <c r="T59" s="1247">
        <f>+MIN(T51:U58)</f>
        <v>0</v>
      </c>
      <c r="U59" s="1248"/>
      <c r="V59" s="176"/>
      <c r="W59" s="176"/>
      <c r="X59" s="176"/>
      <c r="Y59" s="176"/>
      <c r="Z59" s="176"/>
      <c r="AA59" s="176"/>
      <c r="AB59" s="176"/>
      <c r="AC59" s="177"/>
      <c r="AD59" s="178"/>
      <c r="AE59" s="421"/>
      <c r="AF59" s="174"/>
      <c r="AG59" s="1242">
        <f>COUNTIF($B$51:$D$58,"Edificación")</f>
        <v>1</v>
      </c>
      <c r="AH59" s="1242"/>
      <c r="AI59" s="1242"/>
      <c r="AJ59" s="1242"/>
      <c r="AK59" s="1242"/>
      <c r="AL59" s="1242"/>
      <c r="AM59" s="175"/>
      <c r="AN59" s="1206">
        <f>SUMIF(B51:D58,"Edificación",AN51:AS58)+SUMIF(B51:D58,"Ampl No Reg.",AN51:AS58)</f>
        <v>41</v>
      </c>
      <c r="AO59" s="1207"/>
      <c r="AP59" s="1207"/>
      <c r="AQ59" s="1207"/>
      <c r="AR59" s="1207"/>
      <c r="AS59" s="1208"/>
      <c r="AT59" s="1209">
        <f ca="1">+IF(AN59=0,0,CC70/AN59)</f>
        <v>34</v>
      </c>
      <c r="AU59" s="1209"/>
      <c r="AV59" s="1209"/>
      <c r="AW59" s="1209"/>
      <c r="AX59" s="1210">
        <f ca="1">+IF(AT59=0,0,BD59/AT59)</f>
        <v>1</v>
      </c>
      <c r="AY59" s="1210"/>
      <c r="AZ59" s="1210"/>
      <c r="BA59" s="1210"/>
      <c r="BB59" s="1210"/>
      <c r="BC59" s="1210"/>
      <c r="BD59" s="1209">
        <f>+IF(AN59=0,0,BI59/AN59)</f>
        <v>34</v>
      </c>
      <c r="BE59" s="1209"/>
      <c r="BF59" s="1209"/>
      <c r="BG59" s="1209"/>
      <c r="BH59" s="180" t="str">
        <f>+IF(BI59&gt;0,"UF","")</f>
        <v>UF</v>
      </c>
      <c r="BI59" s="1211">
        <f>SUMIF(B51:D58,"Edificación",BI51:BM58)+SUMIF(B51:D58,"Ampl No Reg.",BI51:BM58)</f>
        <v>1394</v>
      </c>
      <c r="BJ59" s="1211"/>
      <c r="BK59" s="1211"/>
      <c r="BL59" s="1211"/>
      <c r="BM59" s="1211"/>
      <c r="BN59" s="181" t="str">
        <f ca="1">+IF(BO59&gt;0,"UF","")</f>
        <v>UF</v>
      </c>
      <c r="BO59" s="1212">
        <f ca="1">IF(SUMIF(B51:D58,"Edificación",BO51:BO58)&gt;0,SUMIF(B51:D58,"Edificación",BO51:BO58),"0,00")+IF(SUMIF(B51:D58,"Ampl No Reg.",BO51:BO58)&gt;0,SUMIF(B51:D58,"Ampl No Reg.",BO51:BO58),"0,00")</f>
        <v>1394</v>
      </c>
      <c r="BP59" s="1212"/>
      <c r="BQ59" s="1212"/>
      <c r="BR59" s="1212"/>
      <c r="BS59" s="1212"/>
      <c r="BT59" s="1212"/>
      <c r="BU59" s="1212"/>
      <c r="BV59" s="883">
        <f ca="1">IF(SUMIF(B51:D58,"Edificación",BV51:BV58)&gt;0,SUMIF(B51:D58,"Edificación",BV51:BV58),"0,00")+IF(SUMIF(B51:D58,"Ampl No Reg.",BV51:BV58)&gt;0,SUMIF(B51:D58,"Ampl No Reg.",BV51:BV58),"0,00")</f>
        <v>1150.05</v>
      </c>
      <c r="BW59" s="865"/>
      <c r="BX59" s="865"/>
      <c r="BY59" s="1109" t="str">
        <f>IF(AND(COUNTIF(O51:O58,rolPropiedad)&gt;0,rolPropiedad&lt;&gt;""),"","No se encuentra el rol de la FICHA SOLIC")</f>
        <v/>
      </c>
      <c r="BZ59" s="937"/>
      <c r="CA59" s="938">
        <f>SUM(CA51:CA58)</f>
        <v>0</v>
      </c>
      <c r="CB59" s="939"/>
      <c r="CC59" s="936"/>
      <c r="CD59"/>
      <c r="CE59"/>
      <c r="CF59"/>
      <c r="CG59"/>
      <c r="CH59"/>
      <c r="CI59"/>
      <c r="CJ59"/>
      <c r="CK59"/>
      <c r="CL59"/>
      <c r="CM59"/>
      <c r="CN59"/>
      <c r="CO59"/>
      <c r="CP59"/>
      <c r="CQ59"/>
      <c r="CR59"/>
      <c r="CS59"/>
      <c r="CT59"/>
      <c r="CU59"/>
      <c r="CV59"/>
      <c r="CW59"/>
      <c r="CX59"/>
      <c r="CY59"/>
      <c r="CZ59"/>
      <c r="DA59"/>
      <c r="DB59" s="1111"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25">
      <c r="B60" s="172" t="s">
        <v>639</v>
      </c>
      <c r="C60" s="173"/>
      <c r="D60" s="173"/>
      <c r="E60" s="173"/>
      <c r="F60" s="173"/>
      <c r="G60" s="173"/>
      <c r="H60" s="173"/>
      <c r="I60" s="173"/>
      <c r="J60" s="173"/>
      <c r="K60" s="173"/>
      <c r="L60" s="183"/>
      <c r="M60" s="183"/>
      <c r="N60" s="184"/>
      <c r="O60" s="184"/>
      <c r="P60" s="184"/>
      <c r="Q60" s="184"/>
      <c r="R60" s="184"/>
      <c r="S60" s="184"/>
      <c r="T60" s="184"/>
      <c r="U60" s="185"/>
      <c r="V60" s="185"/>
      <c r="W60" s="185"/>
      <c r="X60" s="185"/>
      <c r="Y60" s="185"/>
      <c r="Z60" s="185"/>
      <c r="AB60" s="179"/>
      <c r="AC60" s="179"/>
      <c r="AD60" s="179"/>
      <c r="AE60" s="179"/>
      <c r="AF60" s="173"/>
      <c r="AG60" s="1242">
        <f>COUNTIF(F51:F58,"&gt;0")-AG59-AG61</f>
        <v>0</v>
      </c>
      <c r="AH60" s="1242"/>
      <c r="AI60" s="1242"/>
      <c r="AJ60" s="173"/>
      <c r="AK60" s="173"/>
      <c r="AL60" s="173"/>
      <c r="AM60" s="186"/>
      <c r="AN60" s="1206">
        <f>SUM(AN51:AS58)-AN59-AN61</f>
        <v>0</v>
      </c>
      <c r="AO60" s="1207"/>
      <c r="AP60" s="1207"/>
      <c r="AQ60" s="1207"/>
      <c r="AR60" s="1207"/>
      <c r="AS60" s="1208"/>
      <c r="AT60" s="1209">
        <f>+IF(AN60=0,,(BI60/AN60))</f>
        <v>0</v>
      </c>
      <c r="AU60" s="1209"/>
      <c r="AV60" s="1209"/>
      <c r="AW60" s="1209"/>
      <c r="AX60" s="1210"/>
      <c r="AY60" s="1210"/>
      <c r="AZ60" s="1210"/>
      <c r="BA60" s="1210"/>
      <c r="BB60" s="1210"/>
      <c r="BC60" s="1210"/>
      <c r="BD60" s="1209"/>
      <c r="BE60" s="1209"/>
      <c r="BF60" s="1209"/>
      <c r="BG60" s="1209"/>
      <c r="BH60" s="180" t="str">
        <f>+IF(BI60&gt;0,"UF","")</f>
        <v>UF</v>
      </c>
      <c r="BI60" s="1211" t="str">
        <f>IF(SUM(BI51:BM58)-BI59-BI61&gt;0,SUM(BI51:BM58)-BI59-BI61,"0,00")</f>
        <v>0,00</v>
      </c>
      <c r="BJ60" s="1211"/>
      <c r="BK60" s="1211"/>
      <c r="BL60" s="1211"/>
      <c r="BM60" s="1211"/>
      <c r="BN60" s="181" t="str">
        <f ca="1">+IF(BO60&gt;0,"UF","")</f>
        <v>UF</v>
      </c>
      <c r="BO60" s="1216" t="str">
        <f ca="1">IF(SUM(BO51:BO58)-BO59-BO61&gt;0,SUM(BO51:BO58)-BO59-BO61,"0,00")</f>
        <v>0,00</v>
      </c>
      <c r="BP60" s="1216"/>
      <c r="BQ60" s="1216"/>
      <c r="BR60" s="1216"/>
      <c r="BS60" s="1216"/>
      <c r="BT60" s="1216"/>
      <c r="BU60" s="1217"/>
      <c r="BV60" s="881" t="str">
        <f ca="1">IF(SUM(BV51:BV58)-BV59-BV61&gt;0,SUM(BV51:BV58)-BV59-BV61,"0,00")</f>
        <v>0,00</v>
      </c>
      <c r="BW60" s="866"/>
      <c r="BX60" s="866"/>
      <c r="BY60" s="1109"/>
      <c r="BZ60" s="936"/>
      <c r="CA60" s="936"/>
      <c r="CB60" s="936"/>
      <c r="CC60" s="936"/>
      <c r="CD60" s="182"/>
      <c r="CE60"/>
      <c r="CF60" s="71">
        <f>VLOOKUP(BF70,BZ60:CD69,4,0)</f>
        <v>0</v>
      </c>
      <c r="CG60"/>
      <c r="CH60"/>
      <c r="CI60"/>
      <c r="CJ60"/>
      <c r="CK60"/>
      <c r="CL60"/>
      <c r="CM60"/>
      <c r="CN60"/>
      <c r="CO60"/>
      <c r="CP60"/>
      <c r="CQ60"/>
      <c r="CR60"/>
      <c r="CS60"/>
      <c r="CT60"/>
      <c r="CU60"/>
      <c r="CV60"/>
      <c r="CW60"/>
      <c r="CX60"/>
      <c r="CY60"/>
      <c r="CZ60"/>
      <c r="DA60"/>
      <c r="DB60" s="1111"/>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 customHeight="1" x14ac:dyDescent="0.25">
      <c r="B61" s="172" t="s">
        <v>641</v>
      </c>
      <c r="C61" s="173"/>
      <c r="D61" s="173"/>
      <c r="E61" s="173"/>
      <c r="F61" s="173"/>
      <c r="G61" s="173"/>
      <c r="H61" s="173"/>
      <c r="I61" s="173"/>
      <c r="J61" s="173"/>
      <c r="K61" s="173"/>
      <c r="L61" s="183"/>
      <c r="M61" s="183"/>
      <c r="N61" s="183"/>
      <c r="O61" s="183"/>
      <c r="P61" s="183"/>
      <c r="Q61" s="183"/>
      <c r="R61" s="183"/>
      <c r="S61" s="183"/>
      <c r="T61" s="183"/>
      <c r="U61" s="179"/>
      <c r="V61" s="179"/>
      <c r="W61" s="179"/>
      <c r="X61" s="179"/>
      <c r="Y61" s="179"/>
      <c r="Z61" s="179"/>
      <c r="AA61" s="174"/>
      <c r="AB61" s="179"/>
      <c r="AC61" s="179"/>
      <c r="AD61" s="179"/>
      <c r="AE61" s="179"/>
      <c r="AG61" s="1242">
        <f>COUNTIF($B$51:$D$58,"TERRENO")</f>
        <v>0</v>
      </c>
      <c r="AH61" s="1242"/>
      <c r="AI61" s="1242"/>
      <c r="AN61" s="1206">
        <f>SUMIF(B51:D58,"Terreno",AN51:AS58)</f>
        <v>0</v>
      </c>
      <c r="AO61" s="1207"/>
      <c r="AP61" s="1207"/>
      <c r="AQ61" s="1207"/>
      <c r="AR61" s="1207"/>
      <c r="AS61" s="1208"/>
      <c r="AT61" s="1209">
        <f>+IF(AN61=0,0,CA59/AN61)</f>
        <v>0</v>
      </c>
      <c r="AU61" s="1209"/>
      <c r="AV61" s="1209"/>
      <c r="AW61" s="1209"/>
      <c r="AX61" s="1210">
        <f>+IF(AT61=0,0,BD61/AT61)</f>
        <v>0</v>
      </c>
      <c r="AY61" s="1210"/>
      <c r="AZ61" s="1210"/>
      <c r="BA61" s="1210"/>
      <c r="BB61" s="1210"/>
      <c r="BC61" s="1210"/>
      <c r="BD61" s="1209">
        <f>+IF(AN61=0,0,BI61/AN61)</f>
        <v>0</v>
      </c>
      <c r="BE61" s="1209"/>
      <c r="BF61" s="1209"/>
      <c r="BG61" s="1209"/>
      <c r="BH61" s="180" t="str">
        <f>+IF(BI61&gt;0,"UF","")</f>
        <v>UF</v>
      </c>
      <c r="BI61" s="1243" t="str">
        <f>IF(SUMIF(B51:D58,"Terreno",BI51:BM58)&gt;0,SUMIF(B51:D58,"Terreno",BI51:BM58),"0,00")</f>
        <v>0,00</v>
      </c>
      <c r="BJ61" s="1243"/>
      <c r="BK61" s="1243"/>
      <c r="BL61" s="1243"/>
      <c r="BM61" s="1243"/>
      <c r="BN61" s="181" t="str">
        <f>+IF(BO61&gt;0,"$","")</f>
        <v>$</v>
      </c>
      <c r="BO61" s="1216" t="str">
        <f>IF(TRUE,"0,00","0,00")</f>
        <v>0,00</v>
      </c>
      <c r="BP61" s="1216"/>
      <c r="BQ61" s="1216"/>
      <c r="BR61" s="1216"/>
      <c r="BS61" s="1216"/>
      <c r="BT61" s="1216"/>
      <c r="BU61" s="1217"/>
      <c r="BV61" s="882" t="str">
        <f ca="1">IF(SUMIF(B51:D58,"Terreno",BV51:BV58)&gt;0,SUMIF(B51:D58,"Terreno",BV51:BV58),"0,00")</f>
        <v>0,00</v>
      </c>
      <c r="BW61" s="97"/>
      <c r="BX61" s="97"/>
      <c r="BY61" s="1110"/>
      <c r="BZ61" s="940" t="s">
        <v>637</v>
      </c>
      <c r="CA61" s="941"/>
      <c r="CB61" s="942"/>
      <c r="CC61" s="933" t="s">
        <v>638</v>
      </c>
      <c r="CD61"/>
      <c r="CE61"/>
      <c r="CF61"/>
      <c r="CG61"/>
      <c r="CH61"/>
      <c r="CI61"/>
      <c r="CJ61"/>
      <c r="CK61"/>
      <c r="CL61"/>
      <c r="CM61"/>
      <c r="CN61"/>
      <c r="CO61"/>
      <c r="CP61"/>
      <c r="CQ61"/>
      <c r="CR61"/>
      <c r="CS61"/>
      <c r="CT61"/>
      <c r="CU61"/>
      <c r="CV61"/>
      <c r="CW61"/>
      <c r="CX61"/>
      <c r="CY61"/>
      <c r="CZ61"/>
      <c r="DA61"/>
      <c r="DB61" s="111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 customHeight="1" thickBot="1" x14ac:dyDescent="0.3">
      <c r="B62" s="591" t="s">
        <v>643</v>
      </c>
      <c r="C62" s="590"/>
      <c r="D62" s="590"/>
      <c r="E62" s="590"/>
      <c r="F62" s="590"/>
      <c r="G62" s="188"/>
      <c r="H62" s="188"/>
      <c r="I62" s="188"/>
      <c r="J62" s="188"/>
      <c r="K62" s="188"/>
      <c r="L62" s="188"/>
      <c r="M62" s="188"/>
      <c r="N62" s="188"/>
      <c r="O62" s="188"/>
      <c r="P62" s="188"/>
      <c r="Q62" s="188"/>
      <c r="R62" s="188"/>
      <c r="S62" s="188"/>
      <c r="T62" s="188"/>
      <c r="U62" s="188"/>
      <c r="V62" s="188"/>
      <c r="W62" s="188"/>
      <c r="X62" s="188"/>
      <c r="Y62" s="188"/>
      <c r="Z62" s="188"/>
      <c r="AA62" s="188"/>
      <c r="AB62" s="188"/>
      <c r="AC62" s="188"/>
      <c r="AD62" s="188"/>
      <c r="AE62" s="188"/>
      <c r="AF62" s="188"/>
      <c r="AG62" s="188"/>
      <c r="AH62" s="188"/>
      <c r="AI62" s="188"/>
      <c r="AJ62" s="188"/>
      <c r="AK62" s="188"/>
      <c r="AL62" s="188"/>
      <c r="AM62" s="188"/>
      <c r="AN62" s="181" t="s">
        <v>644</v>
      </c>
      <c r="AO62" s="189"/>
      <c r="AP62" s="189"/>
      <c r="AQ62" s="190"/>
      <c r="AR62" s="190"/>
      <c r="AS62" s="143"/>
      <c r="AT62" s="143"/>
      <c r="AU62" s="143"/>
      <c r="AV62" s="191"/>
      <c r="AW62" s="192"/>
      <c r="AX62" s="192"/>
      <c r="AY62" s="192"/>
      <c r="AZ62" s="189"/>
      <c r="BA62" s="174"/>
      <c r="BB62" s="193" t="s">
        <v>462</v>
      </c>
      <c r="BC62" s="189"/>
      <c r="BD62" s="189"/>
      <c r="BE62" s="189"/>
      <c r="BF62" s="189"/>
      <c r="BG62" s="189"/>
      <c r="BH62" s="194" t="s">
        <v>645</v>
      </c>
      <c r="BI62" s="1217">
        <f>SUM(BI59:BM61)</f>
        <v>1394</v>
      </c>
      <c r="BJ62" s="1217"/>
      <c r="BK62" s="1217"/>
      <c r="BL62" s="1217"/>
      <c r="BM62" s="1217"/>
      <c r="BN62" s="195" t="s">
        <v>645</v>
      </c>
      <c r="BO62" s="1211">
        <f ca="1">SUM(BO59:BU61)</f>
        <v>1394</v>
      </c>
      <c r="BP62" s="1211"/>
      <c r="BQ62" s="1211"/>
      <c r="BR62" s="1211"/>
      <c r="BS62" s="1211"/>
      <c r="BT62" s="1211"/>
      <c r="BU62" s="1212"/>
      <c r="BV62" s="883">
        <f ca="1">SUM(BV59:BV61)</f>
        <v>1150.05</v>
      </c>
      <c r="BW62" s="867"/>
      <c r="BX62" s="867"/>
      <c r="BY62" s="1332">
        <f>+SUM(BY51:BY60)-BI62</f>
        <v>0</v>
      </c>
      <c r="BZ62" s="1332" t="s">
        <v>640</v>
      </c>
      <c r="CA62" s="1332">
        <v>0.8</v>
      </c>
      <c r="CB62" s="1332">
        <f t="shared" ref="CB62:CB71" si="13">+(1-CA62)/2+CA62</f>
        <v>0.9</v>
      </c>
      <c r="CC62" s="1332">
        <f t="shared" ref="CC62:CC69" si="14">+AN51*AT51</f>
        <v>1394</v>
      </c>
      <c r="CD62"/>
      <c r="CE62"/>
      <c r="CF62"/>
      <c r="CG62"/>
      <c r="CH62"/>
      <c r="CI62"/>
      <c r="CJ62"/>
      <c r="CK62"/>
      <c r="CL62"/>
      <c r="CM62"/>
      <c r="CN62"/>
      <c r="CO62"/>
      <c r="CP62"/>
      <c r="CQ62"/>
      <c r="CR62"/>
      <c r="CS62"/>
      <c r="CT62"/>
      <c r="CU62"/>
      <c r="CV62"/>
      <c r="CW62"/>
      <c r="CX62"/>
      <c r="CY62"/>
      <c r="CZ62"/>
      <c r="DA62"/>
      <c r="DB62" s="111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C63" s="1229"/>
      <c r="D63" s="1230"/>
      <c r="E63" s="1230"/>
      <c r="F63" s="1230"/>
      <c r="G63" s="1230"/>
      <c r="H63" s="1230"/>
      <c r="I63" s="1230"/>
      <c r="J63" s="1230"/>
      <c r="K63" s="1230"/>
      <c r="L63" s="1230"/>
      <c r="M63" s="1230"/>
      <c r="N63" s="1230"/>
      <c r="O63" s="1230"/>
      <c r="P63" s="1230"/>
      <c r="Q63" s="1230"/>
      <c r="R63" s="1230"/>
      <c r="S63" s="1230"/>
      <c r="T63" s="1230"/>
      <c r="U63" s="1230"/>
      <c r="V63" s="1230"/>
      <c r="W63" s="1230"/>
      <c r="X63" s="1230"/>
      <c r="Y63" s="1230"/>
      <c r="Z63" s="1230"/>
      <c r="AA63" s="1230"/>
      <c r="AB63" s="1230"/>
      <c r="AC63" s="1230"/>
      <c r="AD63" s="1230"/>
      <c r="AE63" s="1230"/>
      <c r="AF63" s="1230"/>
      <c r="AG63" s="1230"/>
      <c r="AH63" s="1230"/>
      <c r="AI63" s="1230"/>
      <c r="AJ63" s="1231"/>
      <c r="AK63" s="537"/>
      <c r="AL63" s="537"/>
      <c r="AN63" s="197" t="s">
        <v>647</v>
      </c>
      <c r="AO63" s="198"/>
      <c r="AP63" s="198"/>
      <c r="AQ63" s="198"/>
      <c r="AR63" s="198"/>
      <c r="AS63" s="199"/>
      <c r="AT63" s="199"/>
      <c r="AU63" s="199"/>
      <c r="AV63" s="198"/>
      <c r="AW63" s="198"/>
      <c r="AX63" s="198"/>
      <c r="AY63" s="198"/>
      <c r="AZ63" s="198"/>
      <c r="BA63" s="198"/>
      <c r="BB63" s="200" t="s">
        <v>462</v>
      </c>
      <c r="BC63" s="198"/>
      <c r="BD63" s="198"/>
      <c r="BE63" s="198"/>
      <c r="BF63" s="201"/>
      <c r="BG63" s="202"/>
      <c r="BH63" s="203" t="s">
        <v>645</v>
      </c>
      <c r="BI63" s="1238">
        <f>+CA59</f>
        <v>0</v>
      </c>
      <c r="BJ63" s="1238"/>
      <c r="BK63" s="1238"/>
      <c r="BL63" s="1238"/>
      <c r="BM63" s="1238"/>
      <c r="BN63" s="204" t="s">
        <v>646</v>
      </c>
      <c r="BO63" s="1240">
        <f>+BI63*AQ71</f>
        <v>0</v>
      </c>
      <c r="BP63" s="1240"/>
      <c r="BQ63" s="1240"/>
      <c r="BR63" s="1240"/>
      <c r="BS63" s="1240"/>
      <c r="BT63" s="1240"/>
      <c r="BU63" s="1240"/>
      <c r="BV63" s="196"/>
      <c r="BW63" s="866"/>
      <c r="BX63" s="866"/>
      <c r="BY63" s="558"/>
      <c r="BZ63" s="157" t="s">
        <v>642</v>
      </c>
      <c r="CA63" s="182">
        <f>+CA62-0.05</f>
        <v>0.75</v>
      </c>
      <c r="CB63" s="187">
        <f t="shared" si="13"/>
        <v>0.875</v>
      </c>
      <c r="CC63" s="142">
        <f t="shared" si="14"/>
        <v>0</v>
      </c>
      <c r="CD63"/>
      <c r="CE63"/>
      <c r="CF63"/>
      <c r="CG63"/>
      <c r="CH63"/>
      <c r="CI63"/>
      <c r="CJ63"/>
      <c r="CK63"/>
      <c r="CL63"/>
      <c r="CM63"/>
      <c r="CN63"/>
      <c r="CO63"/>
      <c r="CP63"/>
      <c r="CQ63"/>
      <c r="CR63"/>
      <c r="CS63"/>
      <c r="CT63"/>
      <c r="CU63"/>
      <c r="CV63"/>
      <c r="CW63"/>
      <c r="CX63"/>
      <c r="CY63"/>
      <c r="CZ63"/>
      <c r="DA63"/>
      <c r="DB63" s="897">
        <f ca="1">+BO62-BG73</f>
        <v>0</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C64" s="1232"/>
      <c r="D64" s="1233"/>
      <c r="E64" s="1233"/>
      <c r="F64" s="1233"/>
      <c r="G64" s="1233"/>
      <c r="H64" s="1233"/>
      <c r="I64" s="1233"/>
      <c r="J64" s="1233"/>
      <c r="K64" s="1233"/>
      <c r="L64" s="1233"/>
      <c r="M64" s="1233"/>
      <c r="N64" s="1233"/>
      <c r="O64" s="1233"/>
      <c r="P64" s="1233"/>
      <c r="Q64" s="1233"/>
      <c r="R64" s="1233"/>
      <c r="S64" s="1233"/>
      <c r="T64" s="1233"/>
      <c r="U64" s="1233"/>
      <c r="V64" s="1233"/>
      <c r="W64" s="1233"/>
      <c r="X64" s="1233"/>
      <c r="Y64" s="1233"/>
      <c r="Z64" s="1233"/>
      <c r="AA64" s="1233"/>
      <c r="AB64" s="1233"/>
      <c r="AC64" s="1233"/>
      <c r="AD64" s="1233"/>
      <c r="AE64" s="1233"/>
      <c r="AF64" s="1233"/>
      <c r="AG64" s="1233"/>
      <c r="AH64" s="1233"/>
      <c r="AI64" s="1233"/>
      <c r="AJ64" s="1234"/>
      <c r="AK64" s="537"/>
      <c r="AL64" s="537"/>
      <c r="AN64" s="1241" t="str">
        <f>+IF($BI$63&gt;0,"Detalle de bienes no considerados como garantía :","")</f>
        <v/>
      </c>
      <c r="AO64" s="1241"/>
      <c r="AP64" s="1241"/>
      <c r="AQ64" s="1241"/>
      <c r="AR64" s="1241"/>
      <c r="AS64" s="1241"/>
      <c r="AT64" s="1241"/>
      <c r="AU64" s="1241"/>
      <c r="AV64" s="1241"/>
      <c r="AW64" s="1241"/>
      <c r="AX64" s="1241"/>
      <c r="AY64" s="1241"/>
      <c r="AZ64" s="1241"/>
      <c r="BA64" s="1241"/>
      <c r="BB64" s="1241"/>
      <c r="BC64" s="1241"/>
      <c r="BD64" s="1241"/>
      <c r="BE64" s="1241"/>
      <c r="BF64" s="1241"/>
      <c r="BG64" s="1241"/>
      <c r="BH64" s="1241"/>
      <c r="BI64" s="1241"/>
      <c r="BJ64" s="1241"/>
      <c r="BK64" s="1241"/>
      <c r="BL64" s="1241"/>
      <c r="BM64" s="1241"/>
      <c r="BN64" s="1241"/>
      <c r="BO64" s="1241"/>
      <c r="BP64" s="1241"/>
      <c r="BQ64" s="1241"/>
      <c r="BR64" s="1241"/>
      <c r="BS64" s="1241"/>
      <c r="BT64" s="1241"/>
      <c r="BU64" s="1241"/>
      <c r="BV64" s="196"/>
      <c r="BW64" s="866"/>
      <c r="BX64" s="866"/>
      <c r="BY64" s="1017" t="s">
        <v>1867</v>
      </c>
      <c r="BZ64" s="157" t="s">
        <v>1899</v>
      </c>
      <c r="CA64" s="182">
        <v>0.7</v>
      </c>
      <c r="CB64" s="187">
        <f t="shared" si="13"/>
        <v>0.85</v>
      </c>
      <c r="CC64" s="142">
        <f t="shared" si="14"/>
        <v>0</v>
      </c>
      <c r="CD64"/>
      <c r="CE64"/>
      <c r="CF64"/>
      <c r="CG64"/>
      <c r="CH64"/>
      <c r="CI64"/>
      <c r="CJ64"/>
      <c r="CK64"/>
      <c r="CL64"/>
      <c r="CM64"/>
      <c r="CN64"/>
      <c r="CO64"/>
      <c r="CP64"/>
      <c r="CQ64"/>
      <c r="CR64"/>
      <c r="CS64"/>
      <c r="CT64"/>
      <c r="CU64"/>
      <c r="CV64"/>
      <c r="CW64"/>
      <c r="CX64"/>
      <c r="CY64"/>
      <c r="CZ64"/>
      <c r="DA64"/>
      <c r="DB64" s="897">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C65" s="1232"/>
      <c r="D65" s="1233"/>
      <c r="E65" s="1233"/>
      <c r="F65" s="1233"/>
      <c r="G65" s="1233"/>
      <c r="H65" s="1233"/>
      <c r="I65" s="1233"/>
      <c r="J65" s="1233"/>
      <c r="K65" s="1233"/>
      <c r="L65" s="1233"/>
      <c r="M65" s="1233"/>
      <c r="N65" s="1233"/>
      <c r="O65" s="1233"/>
      <c r="P65" s="1233"/>
      <c r="Q65" s="1233"/>
      <c r="R65" s="1233"/>
      <c r="S65" s="1233"/>
      <c r="T65" s="1233"/>
      <c r="U65" s="1233"/>
      <c r="V65" s="1233"/>
      <c r="W65" s="1233"/>
      <c r="X65" s="1233"/>
      <c r="Y65" s="1233"/>
      <c r="Z65" s="1233"/>
      <c r="AA65" s="1233"/>
      <c r="AB65" s="1233"/>
      <c r="AC65" s="1233"/>
      <c r="AD65" s="1233"/>
      <c r="AE65" s="1233"/>
      <c r="AF65" s="1233"/>
      <c r="AG65" s="1233"/>
      <c r="AH65" s="1233"/>
      <c r="AI65" s="1233"/>
      <c r="AJ65" s="1234"/>
      <c r="AK65" s="537"/>
      <c r="AL65" s="537"/>
      <c r="AN65" s="1252" t="str">
        <f>CONCATENATE(CB51,CB52,CB53,CB54,CB55,CB56,CB57,CB58)</f>
        <v xml:space="preserve"> - - - - - - - -</v>
      </c>
      <c r="AO65" s="1253"/>
      <c r="AP65" s="1253"/>
      <c r="AQ65" s="1253"/>
      <c r="AR65" s="1253"/>
      <c r="AS65" s="1253"/>
      <c r="AT65" s="1253"/>
      <c r="AU65" s="1253"/>
      <c r="AV65" s="1253"/>
      <c r="AW65" s="1253"/>
      <c r="AX65" s="1253"/>
      <c r="AY65" s="1253"/>
      <c r="AZ65" s="1253"/>
      <c r="BA65" s="1253"/>
      <c r="BB65" s="1253"/>
      <c r="BC65" s="1253"/>
      <c r="BD65" s="1253"/>
      <c r="BE65" s="1253"/>
      <c r="BF65" s="1253"/>
      <c r="BG65" s="1253"/>
      <c r="BH65" s="1253"/>
      <c r="BI65" s="1253"/>
      <c r="BJ65" s="1253"/>
      <c r="BK65" s="1253"/>
      <c r="BL65" s="1253"/>
      <c r="BM65" s="1253"/>
      <c r="BN65" s="1253"/>
      <c r="BO65" s="1253"/>
      <c r="BP65" s="1253"/>
      <c r="BQ65" s="1253"/>
      <c r="BR65" s="1253"/>
      <c r="BS65" s="1253"/>
      <c r="BT65" s="1253"/>
      <c r="BU65" s="1254"/>
      <c r="BV65" s="196"/>
      <c r="BW65" s="866"/>
      <c r="BX65" s="866"/>
      <c r="BY65" s="558"/>
      <c r="BZ65" s="157" t="s">
        <v>1900</v>
      </c>
      <c r="CA65" s="182">
        <v>0.7</v>
      </c>
      <c r="CB65" s="187">
        <f t="shared" si="13"/>
        <v>0.85</v>
      </c>
      <c r="CC65" s="142">
        <f t="shared" si="14"/>
        <v>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C66" s="1232"/>
      <c r="D66" s="1233"/>
      <c r="E66" s="1233"/>
      <c r="F66" s="1233"/>
      <c r="G66" s="1233"/>
      <c r="H66" s="1233"/>
      <c r="I66" s="1233"/>
      <c r="J66" s="1233"/>
      <c r="K66" s="1233"/>
      <c r="L66" s="1233"/>
      <c r="M66" s="1233"/>
      <c r="N66" s="1233"/>
      <c r="O66" s="1233"/>
      <c r="P66" s="1233"/>
      <c r="Q66" s="1233"/>
      <c r="R66" s="1233"/>
      <c r="S66" s="1233"/>
      <c r="T66" s="1233"/>
      <c r="U66" s="1233"/>
      <c r="V66" s="1233"/>
      <c r="W66" s="1233"/>
      <c r="X66" s="1233"/>
      <c r="Y66" s="1233"/>
      <c r="Z66" s="1233"/>
      <c r="AA66" s="1233"/>
      <c r="AB66" s="1233"/>
      <c r="AC66" s="1233"/>
      <c r="AD66" s="1233"/>
      <c r="AE66" s="1233"/>
      <c r="AF66" s="1233"/>
      <c r="AG66" s="1233"/>
      <c r="AH66" s="1233"/>
      <c r="AI66" s="1233"/>
      <c r="AJ66" s="1234"/>
      <c r="AK66" s="537"/>
      <c r="AL66" s="537"/>
      <c r="AN66" s="1255"/>
      <c r="AO66" s="1256"/>
      <c r="AP66" s="1256"/>
      <c r="AQ66" s="1256"/>
      <c r="AR66" s="1256"/>
      <c r="AS66" s="1256"/>
      <c r="AT66" s="1256"/>
      <c r="AU66" s="1256"/>
      <c r="AV66" s="1256"/>
      <c r="AW66" s="1256"/>
      <c r="AX66" s="1256"/>
      <c r="AY66" s="1256"/>
      <c r="AZ66" s="1256"/>
      <c r="BA66" s="1256"/>
      <c r="BB66" s="1256"/>
      <c r="BC66" s="1256"/>
      <c r="BD66" s="1256"/>
      <c r="BE66" s="1256"/>
      <c r="BF66" s="1256"/>
      <c r="BG66" s="1256"/>
      <c r="BH66" s="1256"/>
      <c r="BI66" s="1256"/>
      <c r="BJ66" s="1256"/>
      <c r="BK66" s="1256"/>
      <c r="BL66" s="1256"/>
      <c r="BM66" s="1256"/>
      <c r="BN66" s="1256"/>
      <c r="BO66" s="1256"/>
      <c r="BP66" s="1256"/>
      <c r="BQ66" s="1256"/>
      <c r="BR66" s="1256"/>
      <c r="BS66" s="1256"/>
      <c r="BT66" s="1256"/>
      <c r="BU66" s="1257"/>
      <c r="BV66" s="205"/>
      <c r="BW66" s="865"/>
      <c r="BX66" s="865"/>
      <c r="BY66" s="558"/>
      <c r="BZ66" s="157" t="s">
        <v>648</v>
      </c>
      <c r="CA66" s="182">
        <v>0.7</v>
      </c>
      <c r="CB66" s="187">
        <f t="shared" si="13"/>
        <v>0.85</v>
      </c>
      <c r="CC66" s="142">
        <f t="shared" si="14"/>
        <v>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25">
      <c r="C67" s="1232"/>
      <c r="D67" s="1233"/>
      <c r="E67" s="1233"/>
      <c r="F67" s="1233"/>
      <c r="G67" s="1233"/>
      <c r="H67" s="1233"/>
      <c r="I67" s="1233"/>
      <c r="J67" s="1233"/>
      <c r="K67" s="1233"/>
      <c r="L67" s="1233"/>
      <c r="M67" s="1233"/>
      <c r="N67" s="1233"/>
      <c r="O67" s="1233"/>
      <c r="P67" s="1233"/>
      <c r="Q67" s="1233"/>
      <c r="R67" s="1233"/>
      <c r="S67" s="1233"/>
      <c r="T67" s="1233"/>
      <c r="U67" s="1233"/>
      <c r="V67" s="1233"/>
      <c r="W67" s="1233"/>
      <c r="X67" s="1233"/>
      <c r="Y67" s="1233"/>
      <c r="Z67" s="1233"/>
      <c r="AA67" s="1233"/>
      <c r="AB67" s="1233"/>
      <c r="AC67" s="1233"/>
      <c r="AD67" s="1233"/>
      <c r="AE67" s="1233"/>
      <c r="AF67" s="1233"/>
      <c r="AG67" s="1233"/>
      <c r="AH67" s="1233"/>
      <c r="AI67" s="1233"/>
      <c r="AJ67" s="1234"/>
      <c r="AK67" s="537"/>
      <c r="AL67" s="537"/>
      <c r="AN67" s="1258"/>
      <c r="AO67" s="1259"/>
      <c r="AP67" s="1259"/>
      <c r="AQ67" s="1259"/>
      <c r="AR67" s="1259"/>
      <c r="AS67" s="1259"/>
      <c r="AT67" s="1259"/>
      <c r="AU67" s="1259"/>
      <c r="AV67" s="1259"/>
      <c r="AW67" s="1259"/>
      <c r="AX67" s="1259"/>
      <c r="AY67" s="1259"/>
      <c r="AZ67" s="1259"/>
      <c r="BA67" s="1259"/>
      <c r="BB67" s="1259"/>
      <c r="BC67" s="1259"/>
      <c r="BD67" s="1259"/>
      <c r="BE67" s="1259"/>
      <c r="BF67" s="1259"/>
      <c r="BG67" s="1259"/>
      <c r="BH67" s="1259"/>
      <c r="BI67" s="1259"/>
      <c r="BJ67" s="1259"/>
      <c r="BK67" s="1259"/>
      <c r="BL67" s="1259"/>
      <c r="BM67" s="1259"/>
      <c r="BN67" s="1259"/>
      <c r="BO67" s="1259"/>
      <c r="BP67" s="1259"/>
      <c r="BQ67" s="1259"/>
      <c r="BR67" s="1259"/>
      <c r="BS67" s="1259"/>
      <c r="BT67" s="1259"/>
      <c r="BU67" s="1260"/>
      <c r="BV67" s="206"/>
      <c r="BW67" s="117"/>
      <c r="BX67" s="117"/>
      <c r="BY67" s="923" t="s">
        <v>1902</v>
      </c>
      <c r="BZ67" s="157" t="s">
        <v>649</v>
      </c>
      <c r="CA67" s="182">
        <f>+CA66-0.05</f>
        <v>0.64999999999999991</v>
      </c>
      <c r="CB67" s="187">
        <f t="shared" si="13"/>
        <v>0.82499999999999996</v>
      </c>
      <c r="CC67" s="142">
        <f t="shared" si="14"/>
        <v>0</v>
      </c>
      <c r="CD67"/>
      <c r="CE67"/>
      <c r="CF67"/>
      <c r="CG67"/>
      <c r="CH67"/>
      <c r="CI67"/>
      <c r="CJ67"/>
      <c r="CK67"/>
      <c r="CL67"/>
      <c r="CM67"/>
      <c r="CN67"/>
      <c r="CO67"/>
      <c r="CP67"/>
      <c r="CQ67"/>
      <c r="CR67"/>
      <c r="CS67"/>
      <c r="CT67"/>
      <c r="CU67"/>
      <c r="CV67"/>
      <c r="CW67"/>
      <c r="CX67"/>
      <c r="CY67"/>
      <c r="CZ67"/>
      <c r="DA67"/>
      <c r="DB67" s="982">
        <f>SUM(BI59:BM61)</f>
        <v>1394</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5" thickBot="1" x14ac:dyDescent="0.25">
      <c r="C68" s="1232"/>
      <c r="D68" s="1233"/>
      <c r="E68" s="1233"/>
      <c r="F68" s="1233"/>
      <c r="G68" s="1233"/>
      <c r="H68" s="1233"/>
      <c r="I68" s="1233"/>
      <c r="J68" s="1233"/>
      <c r="K68" s="1233"/>
      <c r="L68" s="1233"/>
      <c r="M68" s="1233"/>
      <c r="N68" s="1233"/>
      <c r="O68" s="1233"/>
      <c r="P68" s="1233"/>
      <c r="Q68" s="1233"/>
      <c r="R68" s="1233"/>
      <c r="S68" s="1233"/>
      <c r="T68" s="1233"/>
      <c r="U68" s="1233"/>
      <c r="V68" s="1233"/>
      <c r="W68" s="1233"/>
      <c r="X68" s="1233"/>
      <c r="Y68" s="1233"/>
      <c r="Z68" s="1233"/>
      <c r="AA68" s="1233"/>
      <c r="AB68" s="1233"/>
      <c r="AC68" s="1233"/>
      <c r="AD68" s="1233"/>
      <c r="AE68" s="1233"/>
      <c r="AF68" s="1233"/>
      <c r="AG68" s="1233"/>
      <c r="AH68" s="1233"/>
      <c r="AI68" s="1233"/>
      <c r="AJ68" s="1234"/>
      <c r="AK68" s="537"/>
      <c r="AL68" s="537"/>
      <c r="AN68" s="1261" t="s">
        <v>652</v>
      </c>
      <c r="AO68" s="1261"/>
      <c r="AP68" s="1261"/>
      <c r="AQ68" s="1261"/>
      <c r="AR68" s="1261"/>
      <c r="AS68" s="1261"/>
      <c r="AT68" s="1261"/>
      <c r="AU68" s="1261"/>
      <c r="AV68" s="1261"/>
      <c r="AW68" s="1261"/>
      <c r="AX68" s="1261"/>
      <c r="AY68" s="1261"/>
      <c r="AZ68" s="1261"/>
      <c r="BA68" s="1261"/>
      <c r="BB68" s="1261"/>
      <c r="BC68" s="1261"/>
      <c r="BD68" s="1261"/>
      <c r="BE68" s="1261"/>
      <c r="BF68" s="1261"/>
      <c r="BG68" s="1261"/>
      <c r="BH68" s="1261"/>
      <c r="BI68" s="1261"/>
      <c r="BJ68" s="1261"/>
      <c r="BK68" s="1261"/>
      <c r="BL68" s="1261"/>
      <c r="BM68" s="1261"/>
      <c r="BN68" s="1261"/>
      <c r="BO68" s="1261"/>
      <c r="BP68" s="1261"/>
      <c r="BQ68" s="1261"/>
      <c r="BR68" s="1261"/>
      <c r="BS68" s="1261"/>
      <c r="BT68" s="1261"/>
      <c r="BU68" s="1261"/>
      <c r="BV68" s="207"/>
      <c r="BW68" s="868"/>
      <c r="BX68" s="868"/>
      <c r="BY68" s="923" t="s">
        <v>1903</v>
      </c>
      <c r="BZ68" s="157" t="s">
        <v>650</v>
      </c>
      <c r="CA68" s="182">
        <v>0.6</v>
      </c>
      <c r="CB68" s="187">
        <f t="shared" si="13"/>
        <v>0.8</v>
      </c>
      <c r="CC68" s="142">
        <f t="shared" si="14"/>
        <v>0</v>
      </c>
      <c r="CD68" s="166"/>
      <c r="CE68"/>
      <c r="CF68"/>
      <c r="CG68"/>
      <c r="CH68"/>
      <c r="CI68"/>
      <c r="CJ68"/>
      <c r="CK68"/>
      <c r="CL68"/>
      <c r="CM68"/>
      <c r="CN68"/>
      <c r="CO68"/>
      <c r="CP68"/>
      <c r="CQ68"/>
      <c r="CR68"/>
      <c r="CS68"/>
      <c r="CT68"/>
      <c r="CU68"/>
      <c r="CV68"/>
      <c r="CW68"/>
      <c r="CX68"/>
      <c r="CY68"/>
      <c r="CZ68"/>
      <c r="DA68"/>
      <c r="DB68" s="982">
        <f ca="1">SUM(BO59:BU61)</f>
        <v>1394</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5" thickTop="1" thickBot="1" x14ac:dyDescent="0.3">
      <c r="C69" s="1232"/>
      <c r="D69" s="1233"/>
      <c r="E69" s="1233"/>
      <c r="F69" s="1233"/>
      <c r="G69" s="1233"/>
      <c r="H69" s="1233"/>
      <c r="I69" s="1233"/>
      <c r="J69" s="1233"/>
      <c r="K69" s="1233"/>
      <c r="L69" s="1233"/>
      <c r="M69" s="1233"/>
      <c r="N69" s="1233"/>
      <c r="O69" s="1233"/>
      <c r="P69" s="1233"/>
      <c r="Q69" s="1233"/>
      <c r="R69" s="1233"/>
      <c r="S69" s="1233"/>
      <c r="T69" s="1233"/>
      <c r="U69" s="1233"/>
      <c r="V69" s="1233"/>
      <c r="W69" s="1233"/>
      <c r="X69" s="1233"/>
      <c r="Y69" s="1233"/>
      <c r="Z69" s="1233"/>
      <c r="AA69" s="1233"/>
      <c r="AB69" s="1233"/>
      <c r="AC69" s="1233"/>
      <c r="AD69" s="1233"/>
      <c r="AE69" s="1233"/>
      <c r="AF69" s="1233"/>
      <c r="AG69" s="1233"/>
      <c r="AH69" s="1233"/>
      <c r="AI69" s="1233"/>
      <c r="AJ69" s="1234"/>
      <c r="AK69" s="537"/>
      <c r="AL69" s="537"/>
      <c r="AN69" s="1262" t="s">
        <v>645</v>
      </c>
      <c r="AO69" s="1262"/>
      <c r="AP69" s="1263">
        <f>+BI62-BI63</f>
        <v>1394</v>
      </c>
      <c r="AQ69" s="1263"/>
      <c r="AR69" s="1263"/>
      <c r="AS69" s="1263"/>
      <c r="AT69" s="1263"/>
      <c r="AU69" s="1263"/>
      <c r="AV69" s="1263"/>
      <c r="AW69" s="208"/>
      <c r="AX69" s="209" t="s">
        <v>646</v>
      </c>
      <c r="AY69" s="1264">
        <f>AP69*AQ71</f>
        <v>56164915.18</v>
      </c>
      <c r="AZ69" s="1264"/>
      <c r="BA69" s="1264"/>
      <c r="BB69" s="1264"/>
      <c r="BC69" s="1264"/>
      <c r="BD69" s="1264"/>
      <c r="BE69" s="1264"/>
      <c r="BF69" s="1264"/>
      <c r="BG69" s="210"/>
      <c r="BH69" s="208" t="s">
        <v>654</v>
      </c>
      <c r="BI69" s="1265">
        <f>+G85</f>
        <v>46154</v>
      </c>
      <c r="BJ69" s="1265"/>
      <c r="BK69" s="1265"/>
      <c r="BL69" s="1265"/>
      <c r="BM69" s="1265"/>
      <c r="BN69" s="1265"/>
      <c r="BO69" s="1265"/>
      <c r="BP69" s="1265"/>
      <c r="BQ69" s="1265"/>
      <c r="BR69" s="1265"/>
      <c r="BS69" s="1265"/>
      <c r="BT69" s="1265"/>
      <c r="BU69" s="1265"/>
      <c r="BV69" s="111"/>
      <c r="BY69" s="558"/>
      <c r="BZ69" s="157" t="s">
        <v>651</v>
      </c>
      <c r="CA69" s="182">
        <v>0.6</v>
      </c>
      <c r="CB69" s="187">
        <f t="shared" si="13"/>
        <v>0.8</v>
      </c>
      <c r="CC69" s="142">
        <f t="shared" si="14"/>
        <v>0</v>
      </c>
      <c r="CD69"/>
      <c r="CE69"/>
      <c r="CF69"/>
      <c r="CG69"/>
      <c r="CH69"/>
      <c r="CI69"/>
      <c r="CJ69"/>
      <c r="CK69"/>
      <c r="CL69"/>
      <c r="CM69"/>
      <c r="CN69"/>
      <c r="CO69"/>
      <c r="CP69"/>
      <c r="CQ69"/>
      <c r="CR69"/>
      <c r="CS69"/>
      <c r="CT69"/>
      <c r="CU69"/>
      <c r="CV69"/>
      <c r="CW69"/>
      <c r="CX69"/>
      <c r="CY69"/>
      <c r="CZ69"/>
      <c r="DA69"/>
      <c r="DB69" s="982">
        <f ca="1">SUM(BV59:BV61)</f>
        <v>1150.05</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4.25" thickTop="1" x14ac:dyDescent="0.25">
      <c r="C70" s="1232"/>
      <c r="D70" s="1233"/>
      <c r="E70" s="1233"/>
      <c r="F70" s="1233"/>
      <c r="G70" s="1233"/>
      <c r="H70" s="1233"/>
      <c r="I70" s="1233"/>
      <c r="J70" s="1233"/>
      <c r="K70" s="1233"/>
      <c r="L70" s="1233"/>
      <c r="M70" s="1233"/>
      <c r="N70" s="1233"/>
      <c r="O70" s="1233"/>
      <c r="P70" s="1233"/>
      <c r="Q70" s="1233"/>
      <c r="R70" s="1233"/>
      <c r="S70" s="1233"/>
      <c r="T70" s="1233"/>
      <c r="U70" s="1233"/>
      <c r="V70" s="1233"/>
      <c r="W70" s="1233"/>
      <c r="X70" s="1233"/>
      <c r="Y70" s="1233"/>
      <c r="Z70" s="1233"/>
      <c r="AA70" s="1233"/>
      <c r="AB70" s="1233"/>
      <c r="AC70" s="1233"/>
      <c r="AD70" s="1233"/>
      <c r="AE70" s="1233"/>
      <c r="AF70" s="1233"/>
      <c r="AG70" s="1233"/>
      <c r="AH70" s="1233"/>
      <c r="AI70" s="1233"/>
      <c r="AJ70" s="1234"/>
      <c r="AK70" s="537"/>
      <c r="AL70" s="537"/>
      <c r="AN70" s="214"/>
      <c r="AO70" s="215"/>
      <c r="AP70" s="215"/>
      <c r="AQ70" s="215"/>
      <c r="AR70" s="215"/>
      <c r="AS70" s="215"/>
      <c r="AT70" s="215"/>
      <c r="AU70" s="215"/>
      <c r="AV70" s="215"/>
      <c r="AW70" s="215"/>
      <c r="AX70" s="215"/>
      <c r="AY70" s="215"/>
      <c r="AZ70" s="215"/>
      <c r="BA70" s="215"/>
      <c r="BB70" s="117"/>
      <c r="BC70" s="117"/>
      <c r="BD70" s="117"/>
      <c r="BE70" s="216" t="s">
        <v>656</v>
      </c>
      <c r="BF70" s="1266" t="s">
        <v>649</v>
      </c>
      <c r="BG70" s="1266"/>
      <c r="BH70" s="1266"/>
      <c r="BI70" s="1266"/>
      <c r="BJ70" s="1266"/>
      <c r="BK70" s="1266"/>
      <c r="BL70" s="1266"/>
      <c r="BM70" s="1266"/>
      <c r="BN70" s="1266"/>
      <c r="BO70" s="117"/>
      <c r="BP70" s="215"/>
      <c r="BQ70" s="215"/>
      <c r="BR70" s="215"/>
      <c r="BS70" s="215"/>
      <c r="BT70" s="215"/>
      <c r="BU70" s="215"/>
      <c r="BV70" s="211"/>
      <c r="BW70" s="595"/>
      <c r="BX70" s="595"/>
      <c r="BY70" s="923" t="s">
        <v>1904</v>
      </c>
      <c r="BZ70" s="157" t="s">
        <v>653</v>
      </c>
      <c r="CA70" s="182">
        <v>0.55000000000000004</v>
      </c>
      <c r="CB70" s="187">
        <f t="shared" si="13"/>
        <v>0.77500000000000002</v>
      </c>
      <c r="CC70" s="71">
        <f ca="1">SUMIF(B51:E58,"Edificación",CC62:CC69)</f>
        <v>1394</v>
      </c>
      <c r="CD70" s="18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25">
      <c r="C71" s="1232"/>
      <c r="D71" s="1233"/>
      <c r="E71" s="1233"/>
      <c r="F71" s="1233"/>
      <c r="G71" s="1233"/>
      <c r="H71" s="1233"/>
      <c r="I71" s="1233"/>
      <c r="J71" s="1233"/>
      <c r="K71" s="1233"/>
      <c r="L71" s="1233"/>
      <c r="M71" s="1233"/>
      <c r="N71" s="1233"/>
      <c r="O71" s="1233"/>
      <c r="P71" s="1233"/>
      <c r="Q71" s="1233"/>
      <c r="R71" s="1233"/>
      <c r="S71" s="1233"/>
      <c r="T71" s="1233"/>
      <c r="U71" s="1233"/>
      <c r="V71" s="1233"/>
      <c r="W71" s="1233"/>
      <c r="X71" s="1233"/>
      <c r="Y71" s="1233"/>
      <c r="Z71" s="1233"/>
      <c r="AA71" s="1233"/>
      <c r="AB71" s="1233"/>
      <c r="AC71" s="1233"/>
      <c r="AD71" s="1233"/>
      <c r="AE71" s="1233"/>
      <c r="AF71" s="1233"/>
      <c r="AG71" s="1233"/>
      <c r="AH71" s="1233"/>
      <c r="AI71" s="1233"/>
      <c r="AJ71" s="1234"/>
      <c r="AK71" s="537"/>
      <c r="AL71" s="537"/>
      <c r="AN71" s="98" t="s">
        <v>657</v>
      </c>
      <c r="AO71" s="218"/>
      <c r="AP71" s="99" t="s">
        <v>658</v>
      </c>
      <c r="AQ71" s="1239">
        <v>40290.47</v>
      </c>
      <c r="AR71" s="1239"/>
      <c r="AS71" s="1239"/>
      <c r="AT71" s="1239"/>
      <c r="AU71" s="1239"/>
      <c r="AV71" s="103"/>
      <c r="AW71" s="103"/>
      <c r="AX71" s="103"/>
      <c r="AY71" s="103"/>
      <c r="AZ71" s="103"/>
      <c r="BA71" s="103"/>
      <c r="BB71" s="103"/>
      <c r="BC71" s="103"/>
      <c r="BD71" s="103"/>
      <c r="BE71" s="103"/>
      <c r="BF71" s="103"/>
      <c r="BG71" s="103"/>
      <c r="BH71" s="103"/>
      <c r="BI71" s="103"/>
      <c r="BJ71" s="103"/>
      <c r="BK71" s="103"/>
      <c r="BL71" s="103"/>
      <c r="BM71" s="101" t="s">
        <v>659</v>
      </c>
      <c r="BN71" s="99" t="s">
        <v>658</v>
      </c>
      <c r="BO71" s="1251">
        <v>894.25</v>
      </c>
      <c r="BP71" s="1251"/>
      <c r="BQ71" s="1251"/>
      <c r="BR71" s="1251"/>
      <c r="BS71" s="1251"/>
      <c r="BT71" s="1251"/>
      <c r="BU71" s="1251"/>
      <c r="BV71" s="217"/>
      <c r="BW71" s="869"/>
      <c r="BX71" s="869"/>
      <c r="BY71" s="923" t="s">
        <v>1905</v>
      </c>
      <c r="BZ71" s="170" t="s">
        <v>655</v>
      </c>
      <c r="CA71" s="212">
        <v>0.5</v>
      </c>
      <c r="CB71" s="213">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25">
      <c r="C72" s="1232"/>
      <c r="D72" s="1233"/>
      <c r="E72" s="1233"/>
      <c r="F72" s="1233"/>
      <c r="G72" s="1233"/>
      <c r="H72" s="1233"/>
      <c r="I72" s="1233"/>
      <c r="J72" s="1233"/>
      <c r="K72" s="1233"/>
      <c r="L72" s="1233"/>
      <c r="M72" s="1233"/>
      <c r="N72" s="1233"/>
      <c r="O72" s="1233"/>
      <c r="P72" s="1233"/>
      <c r="Q72" s="1233"/>
      <c r="R72" s="1233"/>
      <c r="S72" s="1233"/>
      <c r="T72" s="1233"/>
      <c r="U72" s="1233"/>
      <c r="V72" s="1233"/>
      <c r="W72" s="1233"/>
      <c r="X72" s="1233"/>
      <c r="Y72" s="1233"/>
      <c r="Z72" s="1233"/>
      <c r="AA72" s="1233"/>
      <c r="AB72" s="1233"/>
      <c r="AC72" s="1233"/>
      <c r="AD72" s="1233"/>
      <c r="AE72" s="1233"/>
      <c r="AF72" s="1233"/>
      <c r="AG72" s="1233"/>
      <c r="AH72" s="1233"/>
      <c r="AI72" s="1233"/>
      <c r="AJ72" s="1234"/>
      <c r="AK72" s="537"/>
      <c r="AL72" s="537"/>
      <c r="AN72" s="179" t="s">
        <v>660</v>
      </c>
      <c r="AO72" s="179"/>
      <c r="AP72" s="179"/>
      <c r="AQ72" s="179"/>
      <c r="AR72" s="220"/>
      <c r="AS72" s="179"/>
      <c r="AT72" s="179"/>
      <c r="AU72" s="179"/>
      <c r="AV72" s="179"/>
      <c r="AW72" s="179" t="s">
        <v>462</v>
      </c>
      <c r="AX72" s="1224" t="s">
        <v>661</v>
      </c>
      <c r="AY72" s="1224"/>
      <c r="AZ72" s="1220">
        <f ca="1">+IF($BO$71=0,"",BL72/$BO$71)</f>
        <v>50245.381206597711</v>
      </c>
      <c r="BA72" s="1220"/>
      <c r="BB72" s="1220"/>
      <c r="BC72" s="1220"/>
      <c r="BD72" s="174"/>
      <c r="BE72" s="221" t="s">
        <v>645</v>
      </c>
      <c r="BF72" s="221"/>
      <c r="BG72" s="1221">
        <f ca="1">IF(AN61=0,(CD37*0.8)+CC46,CD37+CC46)</f>
        <v>1115.2</v>
      </c>
      <c r="BH72" s="1221"/>
      <c r="BI72" s="1221"/>
      <c r="BJ72" s="1221"/>
      <c r="BK72" s="195" t="s">
        <v>646</v>
      </c>
      <c r="BL72" s="1225">
        <f ca="1">+BG72*$AQ$71</f>
        <v>44931932.144000001</v>
      </c>
      <c r="BM72" s="1225"/>
      <c r="BN72" s="1225"/>
      <c r="BO72" s="1225"/>
      <c r="BP72" s="1225"/>
      <c r="BQ72" s="1225"/>
      <c r="BR72" s="1225"/>
      <c r="BS72" s="1225"/>
      <c r="BT72" s="1225"/>
      <c r="BU72" s="1225"/>
      <c r="BV72" s="219"/>
      <c r="BW72" s="870"/>
      <c r="BX72" s="870"/>
      <c r="BY72" s="558"/>
      <c r="BZ72"/>
      <c r="CA72" s="71">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C73" s="1232"/>
      <c r="D73" s="1233"/>
      <c r="E73" s="1233"/>
      <c r="F73" s="1233"/>
      <c r="G73" s="1233"/>
      <c r="H73" s="1233"/>
      <c r="I73" s="1233"/>
      <c r="J73" s="1233"/>
      <c r="K73" s="1233"/>
      <c r="L73" s="1233"/>
      <c r="M73" s="1233"/>
      <c r="N73" s="1233"/>
      <c r="O73" s="1233"/>
      <c r="P73" s="1233"/>
      <c r="Q73" s="1233"/>
      <c r="R73" s="1233"/>
      <c r="S73" s="1233"/>
      <c r="T73" s="1233"/>
      <c r="U73" s="1233"/>
      <c r="V73" s="1233"/>
      <c r="W73" s="1233"/>
      <c r="X73" s="1233"/>
      <c r="Y73" s="1233"/>
      <c r="Z73" s="1233"/>
      <c r="AA73" s="1233"/>
      <c r="AB73" s="1233"/>
      <c r="AC73" s="1233"/>
      <c r="AD73" s="1233"/>
      <c r="AE73" s="1233"/>
      <c r="AF73" s="1233"/>
      <c r="AG73" s="1233"/>
      <c r="AH73" s="1233"/>
      <c r="AI73" s="1233"/>
      <c r="AJ73" s="1234"/>
      <c r="AK73" s="537"/>
      <c r="AL73" s="537"/>
      <c r="AN73" s="138" t="s">
        <v>662</v>
      </c>
      <c r="AO73" s="179"/>
      <c r="AP73" s="179"/>
      <c r="AQ73" s="179"/>
      <c r="AR73" s="179"/>
      <c r="AS73" s="179"/>
      <c r="AT73" s="179"/>
      <c r="AU73" s="179"/>
      <c r="AV73" s="179"/>
      <c r="AW73" s="179" t="s">
        <v>462</v>
      </c>
      <c r="AX73" s="1224" t="s">
        <v>661</v>
      </c>
      <c r="AY73" s="1224"/>
      <c r="AZ73" s="1220">
        <f ca="1">+IF($BO$71=0,"",BL73/$BO$71)</f>
        <v>62806.726508247135</v>
      </c>
      <c r="BA73" s="1220"/>
      <c r="BB73" s="1220"/>
      <c r="BC73" s="1220"/>
      <c r="BD73" s="174"/>
      <c r="BE73" s="221" t="s">
        <v>645</v>
      </c>
      <c r="BF73" s="221"/>
      <c r="BG73" s="1221">
        <f ca="1">BO62</f>
        <v>1394</v>
      </c>
      <c r="BH73" s="1221"/>
      <c r="BI73" s="1221"/>
      <c r="BJ73" s="1221"/>
      <c r="BK73" s="195" t="s">
        <v>646</v>
      </c>
      <c r="BL73" s="1225">
        <f ca="1">+BG73*AQ71</f>
        <v>56164915.18</v>
      </c>
      <c r="BM73" s="1225"/>
      <c r="BN73" s="1225"/>
      <c r="BO73" s="1225"/>
      <c r="BP73" s="1225"/>
      <c r="BQ73" s="1225"/>
      <c r="BR73" s="1225"/>
      <c r="BS73" s="1225"/>
      <c r="BT73" s="1225"/>
      <c r="BU73" s="1225"/>
      <c r="BV73" s="111"/>
      <c r="BY73" s="558"/>
      <c r="BZ73"/>
      <c r="CA73" s="71">
        <f>SUMIF(B51:D58,"Estac. U/Goce",BI51:BM58)</f>
        <v>0</v>
      </c>
      <c r="CB73"/>
      <c r="CC73"/>
      <c r="CD73"/>
      <c r="CE73" s="222"/>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C74" s="1232"/>
      <c r="D74" s="1233"/>
      <c r="E74" s="1233"/>
      <c r="F74" s="1233"/>
      <c r="G74" s="1233"/>
      <c r="H74" s="1233"/>
      <c r="I74" s="1233"/>
      <c r="J74" s="1233"/>
      <c r="K74" s="1233"/>
      <c r="L74" s="1233"/>
      <c r="M74" s="1233"/>
      <c r="N74" s="1233"/>
      <c r="O74" s="1233"/>
      <c r="P74" s="1233"/>
      <c r="Q74" s="1233"/>
      <c r="R74" s="1233"/>
      <c r="S74" s="1233"/>
      <c r="T74" s="1233"/>
      <c r="U74" s="1233"/>
      <c r="V74" s="1233"/>
      <c r="W74" s="1233"/>
      <c r="X74" s="1233"/>
      <c r="Y74" s="1233"/>
      <c r="Z74" s="1233"/>
      <c r="AA74" s="1233"/>
      <c r="AB74" s="1233"/>
      <c r="AC74" s="1233"/>
      <c r="AD74" s="1233"/>
      <c r="AE74" s="1233"/>
      <c r="AF74" s="1233"/>
      <c r="AG74" s="1233"/>
      <c r="AH74" s="1233"/>
      <c r="AI74" s="1233"/>
      <c r="AJ74" s="1234"/>
      <c r="AK74" s="537"/>
      <c r="AL74" s="537"/>
      <c r="AN74" s="138" t="s">
        <v>663</v>
      </c>
      <c r="AO74" s="179"/>
      <c r="AP74" s="179"/>
      <c r="AQ74" s="179"/>
      <c r="AR74" s="179"/>
      <c r="AS74" s="179"/>
      <c r="AT74" s="179"/>
      <c r="AU74" s="179"/>
      <c r="AV74" s="179"/>
      <c r="AW74" s="179" t="s">
        <v>462</v>
      </c>
      <c r="AX74" s="1224" t="s">
        <v>661</v>
      </c>
      <c r="AY74" s="1224"/>
      <c r="AZ74" s="1220">
        <f>+IF(BO71=0,,IF(BN75="",BL74/$BO$71,0))</f>
        <v>56601.512999720435</v>
      </c>
      <c r="BA74" s="1220"/>
      <c r="BB74" s="1220"/>
      <c r="BC74" s="1220"/>
      <c r="BD74" s="174"/>
      <c r="BE74" s="221" t="s">
        <v>645</v>
      </c>
      <c r="BF74" s="221"/>
      <c r="BG74" s="1221">
        <f>+IF(AQ71=0,,IF(BN75="",BL74/$AQ$71,0))</f>
        <v>1256.2748213163063</v>
      </c>
      <c r="BH74" s="1221"/>
      <c r="BI74" s="1221"/>
      <c r="BJ74" s="1221"/>
      <c r="BK74" s="195" t="s">
        <v>646</v>
      </c>
      <c r="BL74" s="1222">
        <f>'FICHA SOLIC'!K41</f>
        <v>50615903</v>
      </c>
      <c r="BM74" s="1222"/>
      <c r="BN74" s="1222"/>
      <c r="BO74" s="1222"/>
      <c r="BP74" s="1222"/>
      <c r="BQ74" s="1222"/>
      <c r="BR74" s="1222"/>
      <c r="BS74" s="1222"/>
      <c r="BT74" s="1222"/>
      <c r="BU74" s="1222"/>
      <c r="BV74" s="223"/>
      <c r="BW74" s="871"/>
      <c r="BX74" s="871"/>
      <c r="BY74" s="558"/>
      <c r="BZ74"/>
      <c r="CA74"/>
      <c r="CB74"/>
      <c r="CC74"/>
      <c r="CD74" s="222"/>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C75" s="1232"/>
      <c r="D75" s="1233"/>
      <c r="E75" s="1233"/>
      <c r="F75" s="1233"/>
      <c r="G75" s="1233"/>
      <c r="H75" s="1233"/>
      <c r="I75" s="1233"/>
      <c r="J75" s="1233"/>
      <c r="K75" s="1233"/>
      <c r="L75" s="1233"/>
      <c r="M75" s="1233"/>
      <c r="N75" s="1233"/>
      <c r="O75" s="1233"/>
      <c r="P75" s="1233"/>
      <c r="Q75" s="1233"/>
      <c r="R75" s="1233"/>
      <c r="S75" s="1233"/>
      <c r="T75" s="1233"/>
      <c r="U75" s="1233"/>
      <c r="V75" s="1233"/>
      <c r="W75" s="1233"/>
      <c r="X75" s="1233"/>
      <c r="Y75" s="1233"/>
      <c r="Z75" s="1233"/>
      <c r="AA75" s="1233"/>
      <c r="AB75" s="1233"/>
      <c r="AC75" s="1233"/>
      <c r="AD75" s="1233"/>
      <c r="AE75" s="1233"/>
      <c r="AF75" s="1233"/>
      <c r="AG75" s="1233"/>
      <c r="AH75" s="1233"/>
      <c r="AI75" s="1233"/>
      <c r="AJ75" s="1234"/>
      <c r="AK75" s="537"/>
      <c r="AL75" s="537"/>
      <c r="BC75" s="109"/>
      <c r="BD75" s="109"/>
      <c r="BE75" s="224"/>
      <c r="BF75" s="224"/>
      <c r="BG75" s="224"/>
      <c r="BH75" s="224"/>
      <c r="BI75" s="225"/>
      <c r="BJ75" s="226"/>
      <c r="BK75" s="226"/>
      <c r="BL75" s="226"/>
      <c r="BN75" s="227" t="str">
        <f>T(BL74)</f>
        <v/>
      </c>
      <c r="BV75" s="223"/>
      <c r="BW75" s="871"/>
      <c r="BX75" s="871"/>
      <c r="BY75" s="558"/>
      <c r="BZ75"/>
      <c r="CA75"/>
      <c r="CB75"/>
      <c r="CC75"/>
      <c r="CD75" s="222"/>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C76" s="1232"/>
      <c r="D76" s="1233"/>
      <c r="E76" s="1233"/>
      <c r="F76" s="1233"/>
      <c r="G76" s="1233"/>
      <c r="H76" s="1233"/>
      <c r="I76" s="1233"/>
      <c r="J76" s="1233"/>
      <c r="K76" s="1233"/>
      <c r="L76" s="1233"/>
      <c r="M76" s="1233"/>
      <c r="N76" s="1233"/>
      <c r="O76" s="1233"/>
      <c r="P76" s="1233"/>
      <c r="Q76" s="1233"/>
      <c r="R76" s="1233"/>
      <c r="S76" s="1233"/>
      <c r="T76" s="1233"/>
      <c r="U76" s="1233"/>
      <c r="V76" s="1233"/>
      <c r="W76" s="1233"/>
      <c r="X76" s="1233"/>
      <c r="Y76" s="1233"/>
      <c r="Z76" s="1233"/>
      <c r="AA76" s="1233"/>
      <c r="AB76" s="1233"/>
      <c r="AC76" s="1233"/>
      <c r="AD76" s="1233"/>
      <c r="AE76" s="1233"/>
      <c r="AF76" s="1233"/>
      <c r="AG76" s="1233"/>
      <c r="AH76" s="1233"/>
      <c r="AI76" s="1233"/>
      <c r="AJ76" s="1234"/>
      <c r="AK76" s="537"/>
      <c r="AL76" s="537"/>
      <c r="BC76" s="109"/>
      <c r="BD76" s="109"/>
      <c r="BE76" s="224"/>
      <c r="BF76" s="224"/>
      <c r="BG76" s="224"/>
      <c r="BH76" s="224"/>
      <c r="BI76" s="225"/>
      <c r="BJ76" s="226"/>
      <c r="BK76" s="226"/>
      <c r="BL76" s="226"/>
      <c r="BV76" s="223"/>
      <c r="BW76" s="871"/>
      <c r="BX76" s="871"/>
      <c r="BY76" s="558"/>
      <c r="BZ76"/>
      <c r="CA76"/>
      <c r="CB76"/>
      <c r="CC76"/>
      <c r="CD76" s="222"/>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C77" s="1232"/>
      <c r="D77" s="1233"/>
      <c r="E77" s="1233"/>
      <c r="F77" s="1233"/>
      <c r="G77" s="1233"/>
      <c r="H77" s="1233"/>
      <c r="I77" s="1233"/>
      <c r="J77" s="1233"/>
      <c r="K77" s="1233"/>
      <c r="L77" s="1233"/>
      <c r="M77" s="1233"/>
      <c r="N77" s="1233"/>
      <c r="O77" s="1233"/>
      <c r="P77" s="1233"/>
      <c r="Q77" s="1233"/>
      <c r="R77" s="1233"/>
      <c r="S77" s="1233"/>
      <c r="T77" s="1233"/>
      <c r="U77" s="1233"/>
      <c r="V77" s="1233"/>
      <c r="W77" s="1233"/>
      <c r="X77" s="1233"/>
      <c r="Y77" s="1233"/>
      <c r="Z77" s="1233"/>
      <c r="AA77" s="1233"/>
      <c r="AB77" s="1233"/>
      <c r="AC77" s="1233"/>
      <c r="AD77" s="1233"/>
      <c r="AE77" s="1233"/>
      <c r="AF77" s="1233"/>
      <c r="AG77" s="1233"/>
      <c r="AH77" s="1233"/>
      <c r="AI77" s="1233"/>
      <c r="AJ77" s="1234"/>
      <c r="AK77" s="537"/>
      <c r="AL77" s="537"/>
      <c r="AN77" s="228" t="s">
        <v>664</v>
      </c>
      <c r="AO77" s="228"/>
      <c r="AP77" s="228"/>
      <c r="AQ77" s="228"/>
      <c r="AR77" s="228"/>
      <c r="AS77" s="228"/>
      <c r="AT77" s="228"/>
      <c r="AU77" s="1223">
        <f>+IF(BF70=0,"",VLOOKUP(BF70,BZ62:CA71,2,0))</f>
        <v>0.64999999999999991</v>
      </c>
      <c r="AV77" s="1223"/>
      <c r="AW77" s="179" t="s">
        <v>462</v>
      </c>
      <c r="AX77" s="1224" t="s">
        <v>661</v>
      </c>
      <c r="AY77" s="1224"/>
      <c r="AZ77" s="1220">
        <f>+IF($BO$71=0,"",BL77/$BO$71)</f>
        <v>40824.372230360634</v>
      </c>
      <c r="BA77" s="1220"/>
      <c r="BB77" s="1220"/>
      <c r="BC77" s="1220"/>
      <c r="BD77" s="174"/>
      <c r="BE77" s="221" t="s">
        <v>645</v>
      </c>
      <c r="BF77" s="221"/>
      <c r="BG77" s="1225">
        <f>+IF(BF70=0,0,AP69*AU77)</f>
        <v>906.09999999999991</v>
      </c>
      <c r="BH77" s="1225"/>
      <c r="BI77" s="1225"/>
      <c r="BJ77" s="1225"/>
      <c r="BK77" s="195" t="s">
        <v>646</v>
      </c>
      <c r="BL77" s="1225">
        <f>+BG77*$AQ$71</f>
        <v>36507194.866999999</v>
      </c>
      <c r="BM77" s="1225"/>
      <c r="BN77" s="1225"/>
      <c r="BO77" s="1225"/>
      <c r="BP77" s="1225"/>
      <c r="BQ77" s="1225"/>
      <c r="BR77" s="1225"/>
      <c r="BS77" s="1225"/>
      <c r="BT77" s="1225"/>
      <c r="BU77" s="1225"/>
      <c r="BV77" s="223"/>
      <c r="BW77" s="871"/>
      <c r="BX77" s="871"/>
      <c r="BY77" s="558"/>
      <c r="BZ77"/>
      <c r="CA77"/>
      <c r="CB77"/>
      <c r="CC77"/>
      <c r="CD77" s="222"/>
      <c r="CE77"/>
      <c r="CF77"/>
      <c r="CG77" s="71">
        <f>COUNTIF(B51:E58,"Piscina")</f>
        <v>0</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4.25" thickBot="1" x14ac:dyDescent="0.3">
      <c r="C78" s="1235"/>
      <c r="D78" s="1236"/>
      <c r="E78" s="1236"/>
      <c r="F78" s="1236"/>
      <c r="G78" s="1236"/>
      <c r="H78" s="1236"/>
      <c r="I78" s="1236"/>
      <c r="J78" s="1236"/>
      <c r="K78" s="1236"/>
      <c r="L78" s="1236"/>
      <c r="M78" s="1236"/>
      <c r="N78" s="1236"/>
      <c r="O78" s="1236"/>
      <c r="P78" s="1236"/>
      <c r="Q78" s="1236"/>
      <c r="R78" s="1236"/>
      <c r="S78" s="1236"/>
      <c r="T78" s="1236"/>
      <c r="U78" s="1236"/>
      <c r="V78" s="1236"/>
      <c r="W78" s="1236"/>
      <c r="X78" s="1236"/>
      <c r="Y78" s="1236"/>
      <c r="Z78" s="1236"/>
      <c r="AA78" s="1236"/>
      <c r="AB78" s="1236"/>
      <c r="AC78" s="1236"/>
      <c r="AD78" s="1236"/>
      <c r="AE78" s="1236"/>
      <c r="AF78" s="1236"/>
      <c r="AG78" s="1236"/>
      <c r="AH78" s="1236"/>
      <c r="AI78" s="1236"/>
      <c r="AJ78" s="1237"/>
      <c r="AK78" s="537"/>
      <c r="AL78" s="537"/>
      <c r="AN78" s="229" t="s">
        <v>665</v>
      </c>
      <c r="AO78" s="229"/>
      <c r="AP78" s="229"/>
      <c r="AQ78" s="229"/>
      <c r="AR78" s="229"/>
      <c r="AS78" s="229"/>
      <c r="AT78" s="229"/>
      <c r="AU78" s="1226">
        <f>+IF(BF70=0,"",VLOOKUP(BF70,BZ62:CB71,3,0))</f>
        <v>0.82499999999999996</v>
      </c>
      <c r="AV78" s="1226"/>
      <c r="AW78" s="179" t="s">
        <v>462</v>
      </c>
      <c r="AX78" s="1224" t="s">
        <v>661</v>
      </c>
      <c r="AY78" s="1224"/>
      <c r="AZ78" s="1220">
        <f>+IF($BO$71=0,"",BL78/$BO$71)</f>
        <v>51815.549369303888</v>
      </c>
      <c r="BA78" s="1220"/>
      <c r="BB78" s="1220"/>
      <c r="BC78" s="1220"/>
      <c r="BD78" s="174"/>
      <c r="BE78" s="221" t="s">
        <v>645</v>
      </c>
      <c r="BF78" s="221"/>
      <c r="BG78" s="1225">
        <f>+IF(BF70=0,0,AP69*AU78)</f>
        <v>1150.05</v>
      </c>
      <c r="BH78" s="1225"/>
      <c r="BI78" s="1225"/>
      <c r="BJ78" s="1225"/>
      <c r="BK78" s="195" t="s">
        <v>646</v>
      </c>
      <c r="BL78" s="1225">
        <f>+BG78*$AQ$71</f>
        <v>46336055.023500003</v>
      </c>
      <c r="BM78" s="1225"/>
      <c r="BN78" s="1225"/>
      <c r="BO78" s="1225"/>
      <c r="BP78" s="1225"/>
      <c r="BQ78" s="1225"/>
      <c r="BR78" s="1225"/>
      <c r="BS78" s="1225"/>
      <c r="BT78" s="1225"/>
      <c r="BU78" s="1225"/>
      <c r="BV78" s="223"/>
      <c r="BW78" s="871"/>
      <c r="BX78" s="871"/>
      <c r="BY78" s="558"/>
      <c r="BZ78"/>
      <c r="CA78"/>
      <c r="CB78"/>
      <c r="CC78"/>
      <c r="CD78" s="222"/>
      <c r="CE78"/>
      <c r="CF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B79" s="232"/>
      <c r="C79" s="563"/>
      <c r="D79" s="562"/>
      <c r="E79" s="562"/>
      <c r="F79" s="562"/>
      <c r="G79" s="562"/>
      <c r="H79" s="562"/>
      <c r="I79" s="562"/>
      <c r="J79" s="562"/>
      <c r="K79" s="562"/>
      <c r="L79" s="562"/>
      <c r="M79" s="562"/>
      <c r="N79" s="562"/>
      <c r="O79" s="562"/>
      <c r="P79" s="562"/>
      <c r="Q79" s="562"/>
      <c r="R79" s="562"/>
      <c r="S79" s="562"/>
      <c r="T79" s="562"/>
      <c r="U79" s="562"/>
      <c r="V79" s="562"/>
      <c r="W79" s="562"/>
      <c r="X79" s="562"/>
      <c r="Y79" s="562"/>
      <c r="Z79" s="562"/>
      <c r="AA79" s="562"/>
      <c r="AB79" s="562"/>
      <c r="AC79" s="562"/>
      <c r="AD79" s="562"/>
      <c r="AE79" s="562"/>
      <c r="AF79" s="562"/>
      <c r="AG79" s="562"/>
      <c r="AH79" s="562"/>
      <c r="AI79" s="562"/>
      <c r="AJ79" s="562"/>
      <c r="AK79" s="232"/>
      <c r="AL79" s="232"/>
      <c r="AM79" s="232"/>
      <c r="BV79" s="230"/>
      <c r="BW79" s="234"/>
      <c r="BX79" s="234"/>
      <c r="BY79" s="558"/>
      <c r="BZ79"/>
      <c r="CA79"/>
      <c r="CB79"/>
      <c r="CC79"/>
      <c r="CD79" s="222"/>
      <c r="CE79" s="222"/>
      <c r="CF79" s="222"/>
      <c r="CG79" s="222"/>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33" customFormat="1" ht="45" customHeight="1" x14ac:dyDescent="0.25">
      <c r="A80"/>
      <c r="B80" s="1249" t="s">
        <v>1871</v>
      </c>
      <c r="C80" s="1249"/>
      <c r="D80" s="1249"/>
      <c r="E80" s="1249"/>
      <c r="F80" s="1249"/>
      <c r="G80" s="1249"/>
      <c r="H80" s="1249"/>
      <c r="I80" s="1249"/>
      <c r="J80" s="1249"/>
      <c r="K80" s="1249"/>
      <c r="L80" s="1249"/>
      <c r="M80" s="1249"/>
      <c r="N80" s="1249"/>
      <c r="O80" s="1249"/>
      <c r="P80" s="1249"/>
      <c r="Q80" s="1249"/>
      <c r="R80" s="1249"/>
      <c r="S80" s="1249"/>
      <c r="T80" s="1249"/>
      <c r="U80" s="1249"/>
      <c r="V80" s="1249"/>
      <c r="W80" s="1249"/>
      <c r="X80" s="1249"/>
      <c r="Y80" s="1249"/>
      <c r="Z80" s="1249"/>
      <c r="AA80" s="1249"/>
      <c r="AB80" s="1249"/>
      <c r="AC80" s="1249"/>
      <c r="AD80" s="1249"/>
      <c r="AE80" s="1249"/>
      <c r="AF80" s="1249"/>
      <c r="AG80" s="1249"/>
      <c r="AH80" s="1249"/>
      <c r="AI80" s="1249"/>
      <c r="AJ80" s="1249"/>
      <c r="AK80" s="1249"/>
      <c r="AL80" s="1249"/>
      <c r="AM80" s="1249"/>
      <c r="AN80" s="1249"/>
      <c r="AO80" s="1249"/>
      <c r="AP80" s="1249"/>
      <c r="AQ80" s="1249"/>
      <c r="AR80" s="1249"/>
      <c r="AS80" s="1249"/>
      <c r="AT80" s="1249"/>
      <c r="AU80" s="1249"/>
      <c r="AV80" s="1249"/>
      <c r="AW80" s="1249"/>
      <c r="AX80" s="1249"/>
      <c r="AY80" s="1249"/>
      <c r="AZ80" s="1249"/>
      <c r="BA80" s="1249"/>
      <c r="BB80" s="1249"/>
      <c r="BC80" s="1249"/>
      <c r="BD80" s="1249"/>
      <c r="BE80" s="1249"/>
      <c r="BF80" s="1249"/>
      <c r="BG80" s="1249"/>
      <c r="BH80" s="1249"/>
      <c r="BI80" s="1249"/>
      <c r="BJ80" s="1249"/>
      <c r="BK80" s="1249"/>
      <c r="BL80" s="1249"/>
      <c r="BM80" s="1249"/>
      <c r="BN80" s="1249"/>
      <c r="BO80" s="1249"/>
      <c r="BP80" s="1249"/>
      <c r="BQ80" s="1249"/>
      <c r="BR80" s="1249"/>
      <c r="BS80" s="1249"/>
      <c r="BT80" s="1249"/>
      <c r="BU80" s="1249"/>
      <c r="BV80" s="435"/>
      <c r="BW80" s="872"/>
      <c r="BX80" s="872"/>
      <c r="BY80" s="558"/>
      <c r="BZ80" s="222"/>
      <c r="CA80" s="222"/>
      <c r="CB80" s="222"/>
      <c r="CC80" s="222"/>
      <c r="CD80" s="222"/>
      <c r="CE80" s="222"/>
      <c r="CF80" s="222"/>
      <c r="CG80" s="222"/>
    </row>
    <row r="81" spans="1:82" ht="12" customHeight="1" x14ac:dyDescent="0.2">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234"/>
      <c r="AT81" s="234"/>
      <c r="AU81" s="234"/>
      <c r="AV81" s="234"/>
      <c r="AW81" s="234"/>
      <c r="AX81" s="234"/>
      <c r="AY81" s="234"/>
      <c r="AZ81" s="234"/>
      <c r="BA81" s="234"/>
      <c r="BB81" s="234"/>
      <c r="BC81" s="234"/>
      <c r="BD81" s="234"/>
      <c r="BE81" s="234"/>
      <c r="BF81" s="234"/>
      <c r="BG81" s="234"/>
      <c r="BH81" s="234"/>
      <c r="BI81" s="234"/>
      <c r="BJ81" s="234"/>
      <c r="BK81" s="234"/>
      <c r="BL81" s="234"/>
      <c r="BM81" s="234"/>
      <c r="BN81" s="234"/>
      <c r="BO81" s="234"/>
      <c r="BP81" s="234"/>
      <c r="BQ81" s="234"/>
      <c r="BR81" s="234"/>
      <c r="BS81" s="234"/>
      <c r="BT81" s="234"/>
      <c r="BU81" s="234"/>
      <c r="BV81" s="111"/>
      <c r="BY81" s="555"/>
      <c r="BZ81" s="222"/>
      <c r="CA81" s="222"/>
      <c r="CB81" s="222"/>
      <c r="CC81" s="222"/>
      <c r="CD81" s="235"/>
    </row>
    <row r="82" spans="1:82" ht="12" customHeight="1" x14ac:dyDescent="0.25">
      <c r="B82" s="236" t="s">
        <v>1393</v>
      </c>
      <c r="AA82" s="237"/>
      <c r="AK82" s="238"/>
      <c r="AL82" s="238"/>
      <c r="AM82" s="238"/>
      <c r="AN82" s="238"/>
      <c r="AO82" s="1227" t="s">
        <v>666</v>
      </c>
      <c r="AP82" s="1227"/>
      <c r="AQ82" s="1227"/>
      <c r="AR82" s="1227"/>
      <c r="AS82" s="1228" t="str">
        <f>+F5</f>
        <v>Agencia Habitacional</v>
      </c>
      <c r="AT82" s="1228"/>
      <c r="AU82" s="1228"/>
      <c r="AV82" s="1228"/>
      <c r="AW82" s="1228"/>
      <c r="AX82" s="1228"/>
      <c r="AY82" s="1228"/>
      <c r="AZ82" s="1228"/>
      <c r="BA82" s="1228"/>
      <c r="BB82" s="1228"/>
      <c r="BC82" s="1228"/>
      <c r="BD82" s="1228"/>
      <c r="BE82" s="1228"/>
      <c r="BF82" s="1228"/>
      <c r="BG82" s="1228"/>
      <c r="BH82" s="1228"/>
      <c r="BI82" s="1228"/>
      <c r="BJ82" s="1228"/>
      <c r="BK82" s="1228"/>
      <c r="BL82" s="1228"/>
      <c r="BM82" s="1228"/>
      <c r="BV82" s="111"/>
      <c r="BY82" s="555"/>
      <c r="BZ82"/>
      <c r="CD82" s="235"/>
    </row>
    <row r="83" spans="1:82" ht="15" customHeight="1" x14ac:dyDescent="0.25">
      <c r="A83" s="240"/>
      <c r="B83" s="117" t="s">
        <v>667</v>
      </c>
      <c r="F83" t="s">
        <v>462</v>
      </c>
      <c r="G83" s="1250" t="str">
        <f>+'FICHA SOLIC'!F10</f>
        <v>Marcela Gómez</v>
      </c>
      <c r="H83" s="1250"/>
      <c r="I83" s="1250"/>
      <c r="J83" s="1250"/>
      <c r="K83" s="1250"/>
      <c r="L83" s="1250"/>
      <c r="M83" s="1250"/>
      <c r="N83" s="1250"/>
      <c r="O83" s="1250"/>
      <c r="P83" s="1250"/>
      <c r="Q83" s="1250"/>
      <c r="R83" s="1250"/>
      <c r="S83" s="1250"/>
      <c r="T83" s="1250"/>
      <c r="U83" s="1250"/>
      <c r="V83" s="1250"/>
      <c r="W83" s="1250"/>
      <c r="X83" s="1250"/>
      <c r="Y83" s="1250"/>
      <c r="Z83" s="1250"/>
      <c r="AA83" s="1250"/>
      <c r="AB83" s="1250"/>
      <c r="AC83" s="1250"/>
      <c r="AK83" s="238"/>
      <c r="AL83" s="238"/>
      <c r="AM83" s="238"/>
      <c r="AN83" s="238"/>
      <c r="AO83" s="238"/>
      <c r="AP83" s="238"/>
      <c r="AQ83" s="238"/>
      <c r="AR83" s="238"/>
      <c r="AS83" s="238"/>
      <c r="AT83" s="238"/>
      <c r="AU83" s="238"/>
      <c r="AV83" s="238"/>
      <c r="AW83" s="238"/>
      <c r="AX83" s="238"/>
      <c r="AY83" s="238"/>
      <c r="AZ83" s="238"/>
      <c r="BA83" s="238"/>
      <c r="BB83" s="238"/>
      <c r="BC83" s="238"/>
      <c r="BD83" s="238"/>
      <c r="BE83" s="238"/>
      <c r="BF83" s="238"/>
      <c r="BG83" s="238"/>
      <c r="BH83" s="238"/>
      <c r="BI83" s="238"/>
      <c r="BJ83" s="238"/>
      <c r="BK83" s="238"/>
      <c r="BL83" s="238"/>
      <c r="BM83" s="238"/>
      <c r="BN83" s="238"/>
      <c r="BO83" s="238"/>
      <c r="BP83" s="238"/>
      <c r="BQ83" s="238"/>
      <c r="BR83" s="238"/>
      <c r="BS83" s="238"/>
      <c r="BT83" s="238"/>
      <c r="BU83" s="238"/>
      <c r="BV83" s="111"/>
      <c r="BY83" s="555"/>
      <c r="BZ83"/>
      <c r="CD83" s="239"/>
    </row>
    <row r="84" spans="1:82" ht="15" customHeight="1" x14ac:dyDescent="0.25">
      <c r="B84" s="117" t="s">
        <v>668</v>
      </c>
      <c r="F84" t="s">
        <v>462</v>
      </c>
      <c r="G84" s="1173" t="str">
        <f>MostrarFirma(Revisor)</f>
        <v>Héctor Martínez C.</v>
      </c>
      <c r="H84" s="1173"/>
      <c r="I84" s="1173"/>
      <c r="J84" s="1173"/>
      <c r="K84" s="1173"/>
      <c r="L84" s="1173"/>
      <c r="M84" s="1173"/>
      <c r="N84" s="1173"/>
      <c r="O84" s="1173"/>
      <c r="P84" s="1173"/>
      <c r="Q84" s="1173"/>
      <c r="R84" s="1173"/>
      <c r="S84" s="1173"/>
      <c r="T84" s="1173"/>
      <c r="U84" s="1173"/>
      <c r="V84" s="1173"/>
      <c r="W84" s="1173"/>
      <c r="X84" s="1173"/>
      <c r="Y84" s="1173"/>
      <c r="Z84" s="1173"/>
      <c r="AA84" s="1173"/>
      <c r="AB84" s="1173"/>
      <c r="AC84" s="1173"/>
      <c r="AK84" s="238"/>
      <c r="AL84" s="238"/>
      <c r="AM84" s="238"/>
      <c r="AN84" s="238"/>
      <c r="AO84" s="117" t="s">
        <v>669</v>
      </c>
      <c r="AU84" t="s">
        <v>462</v>
      </c>
      <c r="AV84" s="241"/>
      <c r="AW84" s="241"/>
      <c r="AX84" s="241"/>
      <c r="AY84" s="241"/>
      <c r="AZ84" s="241"/>
      <c r="BA84" s="241"/>
      <c r="BB84" s="241"/>
      <c r="BC84" s="241"/>
      <c r="BD84" s="241"/>
      <c r="BE84" s="241"/>
      <c r="BF84" s="241"/>
      <c r="BG84" s="241"/>
      <c r="BH84" s="241"/>
      <c r="BI84" s="241"/>
      <c r="BJ84" s="241"/>
      <c r="BK84" s="241"/>
      <c r="BL84" s="241"/>
      <c r="BM84" s="241"/>
      <c r="BN84" s="241"/>
      <c r="BO84" s="241"/>
      <c r="BP84" s="241"/>
      <c r="BQ84" s="241"/>
      <c r="BR84" s="241"/>
      <c r="BS84" s="241"/>
      <c r="BT84" s="241"/>
      <c r="BU84" s="241"/>
      <c r="BV84" s="242"/>
      <c r="BY84" s="555"/>
      <c r="BZ84"/>
      <c r="CD84" s="231"/>
    </row>
    <row r="85" spans="1:82" ht="15" customHeight="1" x14ac:dyDescent="0.25">
      <c r="B85" s="243" t="s">
        <v>670</v>
      </c>
      <c r="C85" s="240"/>
      <c r="D85" s="240"/>
      <c r="E85" s="240"/>
      <c r="F85" s="240" t="s">
        <v>462</v>
      </c>
      <c r="G85" s="1218">
        <f>+'FICHA SOLIC'!K10</f>
        <v>46154</v>
      </c>
      <c r="H85" s="1218"/>
      <c r="I85" s="1218"/>
      <c r="J85" s="1218"/>
      <c r="K85" s="1218"/>
      <c r="L85" s="1218"/>
      <c r="M85" s="1218"/>
      <c r="N85" s="1218"/>
      <c r="O85" s="1218"/>
      <c r="P85" s="1218"/>
      <c r="Q85" s="1218"/>
      <c r="R85" s="1218"/>
      <c r="S85" s="243" t="s">
        <v>671</v>
      </c>
      <c r="T85" s="240"/>
      <c r="U85" s="240"/>
      <c r="V85" s="240"/>
      <c r="W85" s="244"/>
      <c r="X85" s="240" t="s">
        <v>462</v>
      </c>
      <c r="Y85" s="1219">
        <f>+'FICHA SOLIC'!K11</f>
        <v>46156</v>
      </c>
      <c r="Z85" s="1219"/>
      <c r="AA85" s="1219"/>
      <c r="AB85" s="1219"/>
      <c r="AC85" s="1219"/>
      <c r="AD85" s="1219"/>
      <c r="AE85" s="1219"/>
      <c r="AF85" s="1219"/>
      <c r="AG85" s="240"/>
      <c r="AH85" s="240"/>
      <c r="AI85" s="240"/>
      <c r="AJ85" s="240"/>
      <c r="AK85" s="245"/>
      <c r="AL85" s="245"/>
      <c r="AM85" s="245"/>
      <c r="AN85" s="245"/>
      <c r="AO85" s="243" t="s">
        <v>672</v>
      </c>
      <c r="AP85" s="240"/>
      <c r="AQ85" s="240"/>
      <c r="AR85" s="240"/>
      <c r="AS85" s="240"/>
      <c r="AT85" s="240"/>
      <c r="AU85" s="240" t="s">
        <v>462</v>
      </c>
      <c r="AV85" s="1162"/>
      <c r="AW85" s="1162"/>
      <c r="AX85" s="1162"/>
      <c r="AY85" s="1162"/>
      <c r="AZ85" s="1162"/>
      <c r="BA85" s="1162"/>
      <c r="BB85" s="1162"/>
      <c r="BC85" s="1162"/>
      <c r="BD85" s="1162"/>
      <c r="BE85" s="1162"/>
      <c r="BF85" s="1162"/>
      <c r="BG85" s="1162"/>
      <c r="BH85" s="1162"/>
      <c r="BI85" s="1162"/>
      <c r="BJ85" s="1162"/>
      <c r="BK85" s="1162"/>
      <c r="BL85" s="1162"/>
      <c r="BM85" s="1162"/>
      <c r="BN85" s="1162"/>
      <c r="BO85" s="1162"/>
      <c r="BP85" s="1162"/>
      <c r="BQ85" s="1162"/>
      <c r="BR85" s="1162"/>
      <c r="BS85" s="1162"/>
      <c r="BT85" s="1162"/>
      <c r="BU85" s="1162"/>
      <c r="BY85" s="555"/>
      <c r="BZ85" s="233"/>
    </row>
    <row r="86" spans="1:82" ht="10.5" customHeight="1" x14ac:dyDescent="0.2"/>
  </sheetData>
  <sortState xmlns:xlrd2="http://schemas.microsoft.com/office/spreadsheetml/2017/richdata2" ref="CQ6:CQ13">
    <sortCondition ref="CQ6"/>
  </sortState>
  <dataConsolidate/>
  <mergeCells count="48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X51:AZ51"/>
    <mergeCell ref="BA51:BC51"/>
    <mergeCell ref="BD51:BG51"/>
    <mergeCell ref="BA50:BC50"/>
    <mergeCell ref="AN51:AS51"/>
    <mergeCell ref="AT51:AW51"/>
    <mergeCell ref="AE51:AF51"/>
    <mergeCell ref="AE50:AF50"/>
    <mergeCell ref="AJ50:AM50"/>
    <mergeCell ref="AN50:AS50"/>
    <mergeCell ref="AG51:AI51"/>
    <mergeCell ref="AJ51:AM51"/>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B56:E56"/>
    <mergeCell ref="G56:N56"/>
    <mergeCell ref="T56:U56"/>
    <mergeCell ref="V56:X56"/>
    <mergeCell ref="Y56:AD56"/>
    <mergeCell ref="B55:E55"/>
    <mergeCell ref="G55:N55"/>
    <mergeCell ref="T55:U55"/>
    <mergeCell ref="V55:X55"/>
    <mergeCell ref="Y55:AD55"/>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BD58:BG58"/>
    <mergeCell ref="BI58:BM58"/>
    <mergeCell ref="BO58:BU58"/>
    <mergeCell ref="AN59:AS59"/>
    <mergeCell ref="AT59:AW59"/>
    <mergeCell ref="AX59:BC59"/>
    <mergeCell ref="BD59:BG59"/>
    <mergeCell ref="BI59:BM59"/>
    <mergeCell ref="BO59:BU59"/>
    <mergeCell ref="AN58:AS58"/>
    <mergeCell ref="BA58:BC58"/>
    <mergeCell ref="AX58:AZ58"/>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s>
  <conditionalFormatting sqref="AC59">
    <cfRule type="expression" dxfId="107" priority="106">
      <formula>$AD178="D"</formula>
    </cfRule>
    <cfRule type="expression" dxfId="106" priority="107">
      <formula>$AD178="M"</formula>
    </cfRule>
    <cfRule type="expression" dxfId="105" priority="108">
      <formula>$AE178="p"</formula>
    </cfRule>
  </conditionalFormatting>
  <conditionalFormatting sqref="BK23">
    <cfRule type="cellIs" dxfId="104" priority="116" operator="equal">
      <formula>0</formula>
    </cfRule>
  </conditionalFormatting>
  <conditionalFormatting sqref="BB23">
    <cfRule type="expression" dxfId="103" priority="117">
      <formula>OR($BK$23="NO",$BK$23="Piloto")</formula>
    </cfRule>
  </conditionalFormatting>
  <conditionalFormatting sqref="BF8:BI8">
    <cfRule type="cellIs" dxfId="102" priority="118" operator="equal">
      <formula>0</formula>
    </cfRule>
  </conditionalFormatting>
  <conditionalFormatting sqref="AN64">
    <cfRule type="expression" dxfId="101" priority="123">
      <formula>$BI$63&gt;0</formula>
    </cfRule>
  </conditionalFormatting>
  <conditionalFormatting sqref="AN63:BU63">
    <cfRule type="expression" dxfId="100" priority="132">
      <formula>$BI$63&gt;0</formula>
    </cfRule>
  </conditionalFormatting>
  <conditionalFormatting sqref="BD51:BG51 BD52:BM52">
    <cfRule type="expression" dxfId="99" priority="137">
      <formula>$BZ$52</formula>
    </cfRule>
  </conditionalFormatting>
  <conditionalFormatting sqref="BD53:BM53">
    <cfRule type="expression" dxfId="98" priority="138">
      <formula>$BZ$53</formula>
    </cfRule>
  </conditionalFormatting>
  <conditionalFormatting sqref="T54:U54 BD54:BH54">
    <cfRule type="expression" dxfId="97" priority="139">
      <formula>$BZ$54</formula>
    </cfRule>
  </conditionalFormatting>
  <conditionalFormatting sqref="G55:AM55 BD55:BH55">
    <cfRule type="expression" dxfId="96" priority="140">
      <formula>$BZ$55</formula>
    </cfRule>
  </conditionalFormatting>
  <conditionalFormatting sqref="G56:AM56 BD56:BH56">
    <cfRule type="expression" dxfId="95" priority="141">
      <formula>$BZ$56</formula>
    </cfRule>
  </conditionalFormatting>
  <conditionalFormatting sqref="G57:AM57 BD57:BH57">
    <cfRule type="expression" dxfId="94" priority="142">
      <formula>$BZ$57</formula>
    </cfRule>
  </conditionalFormatting>
  <conditionalFormatting sqref="G58:BH58 BN58">
    <cfRule type="expression" dxfId="93" priority="143">
      <formula>$BZ$58</formula>
    </cfRule>
  </conditionalFormatting>
  <conditionalFormatting sqref="BG74:BJ74">
    <cfRule type="expression" dxfId="92" priority="144">
      <formula>" =ESERROR (referencia)"</formula>
    </cfRule>
  </conditionalFormatting>
  <conditionalFormatting sqref="T59">
    <cfRule type="expression" dxfId="91" priority="153">
      <formula>$AD59="D"</formula>
    </cfRule>
    <cfRule type="expression" dxfId="90" priority="154">
      <formula>$AD59="M"</formula>
    </cfRule>
    <cfRule type="expression" dxfId="89" priority="155">
      <formula>$AG59="p"</formula>
    </cfRule>
  </conditionalFormatting>
  <conditionalFormatting sqref="BB24:BU24">
    <cfRule type="expression" dxfId="88" priority="102">
      <formula>$BK24="SI"</formula>
    </cfRule>
  </conditionalFormatting>
  <conditionalFormatting sqref="G85 Y85 BI69 AV85">
    <cfRule type="cellIs" dxfId="87" priority="100" operator="lessThan">
      <formula>30000</formula>
    </cfRule>
  </conditionalFormatting>
  <conditionalFormatting sqref="T51:U51 BH51 BN51:BN57">
    <cfRule type="expression" dxfId="86" priority="96">
      <formula>$BZ$51</formula>
    </cfRule>
  </conditionalFormatting>
  <conditionalFormatting sqref="BF70 BK5:BK6 BR5:BR6 AT10 BB10 BK10 BJ38 BJ41:BJ42 B46 AQ71">
    <cfRule type="cellIs" dxfId="85" priority="93" operator="equal">
      <formula>0</formula>
    </cfRule>
  </conditionalFormatting>
  <conditionalFormatting sqref="BO71">
    <cfRule type="cellIs" dxfId="84" priority="92" operator="equal">
      <formula>0</formula>
    </cfRule>
  </conditionalFormatting>
  <conditionalFormatting sqref="BY51:BY58">
    <cfRule type="expression" dxfId="83" priority="91">
      <formula>$BZ$51</formula>
    </cfRule>
  </conditionalFormatting>
  <conditionalFormatting sqref="T53:U53">
    <cfRule type="expression" dxfId="82" priority="90">
      <formula>$BZ$51</formula>
    </cfRule>
  </conditionalFormatting>
  <conditionalFormatting sqref="AE8:AK8 AM8:AN8">
    <cfRule type="cellIs" dxfId="81" priority="87" operator="greaterThan">
      <formula>0</formula>
    </cfRule>
  </conditionalFormatting>
  <conditionalFormatting sqref="BC5">
    <cfRule type="cellIs" dxfId="80" priority="85" operator="equal">
      <formula>0</formula>
    </cfRule>
  </conditionalFormatting>
  <conditionalFormatting sqref="G53:S53">
    <cfRule type="expression" dxfId="79" priority="73">
      <formula>$BW$53</formula>
    </cfRule>
  </conditionalFormatting>
  <conditionalFormatting sqref="G54:S54">
    <cfRule type="expression" dxfId="78" priority="74">
      <formula>$BW$54</formula>
    </cfRule>
  </conditionalFormatting>
  <conditionalFormatting sqref="G51:S51">
    <cfRule type="expression" dxfId="77" priority="71">
      <formula>$BW$51</formula>
    </cfRule>
  </conditionalFormatting>
  <conditionalFormatting sqref="BA52:BC52">
    <cfRule type="expression" dxfId="76" priority="68">
      <formula>$BW$52</formula>
    </cfRule>
  </conditionalFormatting>
  <conditionalFormatting sqref="V53:AM53">
    <cfRule type="expression" dxfId="75" priority="69">
      <formula>$BW$53</formula>
    </cfRule>
  </conditionalFormatting>
  <conditionalFormatting sqref="V54:AM54">
    <cfRule type="expression" dxfId="74" priority="70">
      <formula>$BW$54</formula>
    </cfRule>
  </conditionalFormatting>
  <conditionalFormatting sqref="V51:AM51 AX51:BC51">
    <cfRule type="expression" dxfId="73" priority="67">
      <formula>$BW$51</formula>
    </cfRule>
  </conditionalFormatting>
  <conditionalFormatting sqref="AX52:AZ52">
    <cfRule type="expression" dxfId="72" priority="65">
      <formula>$BW$51</formula>
    </cfRule>
  </conditionalFormatting>
  <conditionalFormatting sqref="BV51:BV58">
    <cfRule type="expression" dxfId="71" priority="60">
      <formula>$BZ$51</formula>
    </cfRule>
  </conditionalFormatting>
  <conditionalFormatting sqref="F54">
    <cfRule type="expression" dxfId="70" priority="49">
      <formula>$BW$54</formula>
    </cfRule>
  </conditionalFormatting>
  <conditionalFormatting sqref="F55">
    <cfRule type="expression" dxfId="69" priority="50">
      <formula>$BW$55</formula>
    </cfRule>
  </conditionalFormatting>
  <conditionalFormatting sqref="F56">
    <cfRule type="expression" dxfId="68" priority="51">
      <formula>$BW$56</formula>
    </cfRule>
  </conditionalFormatting>
  <conditionalFormatting sqref="F57">
    <cfRule type="expression" dxfId="67" priority="52">
      <formula>$BW$57</formula>
    </cfRule>
  </conditionalFormatting>
  <conditionalFormatting sqref="F58">
    <cfRule type="expression" dxfId="66" priority="53">
      <formula>$BW$58</formula>
    </cfRule>
  </conditionalFormatting>
  <conditionalFormatting sqref="AN53:BC57">
    <cfRule type="expression" dxfId="65" priority="54">
      <formula>$BW$51</formula>
    </cfRule>
  </conditionalFormatting>
  <conditionalFormatting sqref="AN51:AW51">
    <cfRule type="expression" dxfId="64" priority="46">
      <formula>$BW$51</formula>
    </cfRule>
  </conditionalFormatting>
  <conditionalFormatting sqref="BI51:BM51">
    <cfRule type="expression" dxfId="63" priority="36">
      <formula>$BZ$51</formula>
    </cfRule>
  </conditionalFormatting>
  <conditionalFormatting sqref="G52:S52">
    <cfRule type="expression" dxfId="62" priority="33">
      <formula>$BW$51</formula>
    </cfRule>
  </conditionalFormatting>
  <conditionalFormatting sqref="V52:AM52">
    <cfRule type="expression" dxfId="61" priority="32">
      <formula>$BW$51</formula>
    </cfRule>
  </conditionalFormatting>
  <conditionalFormatting sqref="AN52:AS52">
    <cfRule type="expression" dxfId="60" priority="30">
      <formula>$BW$51</formula>
    </cfRule>
  </conditionalFormatting>
  <conditionalFormatting sqref="BO51">
    <cfRule type="expression" dxfId="59" priority="29">
      <formula>$BZ$51</formula>
    </cfRule>
  </conditionalFormatting>
  <conditionalFormatting sqref="BJ37">
    <cfRule type="cellIs" dxfId="58" priority="27" operator="equal">
      <formula>0</formula>
    </cfRule>
  </conditionalFormatting>
  <conditionalFormatting sqref="F51:F53">
    <cfRule type="expression" dxfId="57" priority="26">
      <formula>$BW$54</formula>
    </cfRule>
  </conditionalFormatting>
  <conditionalFormatting sqref="AT52:AW52">
    <cfRule type="expression" dxfId="56" priority="25">
      <formula>$BW$52</formula>
    </cfRule>
  </conditionalFormatting>
  <conditionalFormatting sqref="T52:U52">
    <cfRule type="expression" dxfId="55" priority="22">
      <formula>$BZ$51</formula>
    </cfRule>
  </conditionalFormatting>
  <conditionalFormatting sqref="BJ38:BU38">
    <cfRule type="colorScale" priority="21">
      <colorScale>
        <cfvo type="min"/>
        <cfvo type="max"/>
        <color rgb="FFFF7128"/>
        <color theme="0"/>
      </colorScale>
    </cfRule>
  </conditionalFormatting>
  <conditionalFormatting sqref="BK3">
    <cfRule type="cellIs" dxfId="54" priority="18" operator="equal">
      <formula>0</formula>
    </cfRule>
  </conditionalFormatting>
  <conditionalFormatting sqref="BL25">
    <cfRule type="cellIs" dxfId="53" priority="17" operator="equal">
      <formula>0</formula>
    </cfRule>
  </conditionalFormatting>
  <conditionalFormatting sqref="BL25:BU25">
    <cfRule type="colorScale" priority="16">
      <colorScale>
        <cfvo type="min"/>
        <cfvo type="max"/>
        <color rgb="FFFF7128"/>
        <color theme="0"/>
      </colorScale>
    </cfRule>
  </conditionalFormatting>
  <conditionalFormatting sqref="BL26">
    <cfRule type="cellIs" dxfId="52" priority="11" operator="equal">
      <formula>0</formula>
    </cfRule>
  </conditionalFormatting>
  <conditionalFormatting sqref="BL26:BU26">
    <cfRule type="colorScale" priority="10">
      <colorScale>
        <cfvo type="min"/>
        <cfvo type="max"/>
        <color rgb="FFFF7128"/>
        <color theme="0"/>
      </colorScale>
    </cfRule>
  </conditionalFormatting>
  <conditionalFormatting sqref="BI54:BM58">
    <cfRule type="expression" dxfId="51" priority="8">
      <formula>$BZ$53</formula>
    </cfRule>
  </conditionalFormatting>
  <conditionalFormatting sqref="BO52">
    <cfRule type="expression" dxfId="50" priority="7">
      <formula>$BZ$51</formula>
    </cfRule>
  </conditionalFormatting>
  <conditionalFormatting sqref="BO53">
    <cfRule type="expression" dxfId="49" priority="6">
      <formula>$BZ$51</formula>
    </cfRule>
  </conditionalFormatting>
  <conditionalFormatting sqref="BO54">
    <cfRule type="expression" dxfId="48" priority="5">
      <formula>$BZ$51</formula>
    </cfRule>
  </conditionalFormatting>
  <conditionalFormatting sqref="BO55">
    <cfRule type="expression" dxfId="47" priority="4">
      <formula>$BZ$51</formula>
    </cfRule>
  </conditionalFormatting>
  <conditionalFormatting sqref="BO56">
    <cfRule type="expression" dxfId="46" priority="3">
      <formula>$BZ$51</formula>
    </cfRule>
  </conditionalFormatting>
  <conditionalFormatting sqref="BO57">
    <cfRule type="expression" dxfId="45" priority="2">
      <formula>$BZ$51</formula>
    </cfRule>
  </conditionalFormatting>
  <conditionalFormatting sqref="BO58">
    <cfRule type="expression" dxfId="44" priority="1">
      <formula>$BZ$51</formula>
    </cfRule>
  </conditionalFormatting>
  <dataValidations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xr:uid="{00000000-0002-0000-0100-000000000000}">
      <formula1>"AC,HA,AL,PI,MA,AD,BA,CA,CE,SA,SB,W"</formula1>
      <formula2>0</formula2>
    </dataValidation>
    <dataValidation type="list" allowBlank="1" showInputMessage="1" showErrorMessage="1" sqref="BJ84:BT84" xr:uid="{00000000-0002-0000-0100-000001000000}">
      <formula1>"No visito la propiedad,Si visito la propiedad"</formula1>
      <formula2>0</formula2>
    </dataValidation>
    <dataValidation allowBlank="1" showInputMessage="1" showErrorMessage="1" promptTitle="Superficie Terreno" prompt="m2" sqref="AH38:AH41 AH29:AH33" xr:uid="{00000000-0002-0000-0100-000002000000}">
      <formula1>0</formula1>
      <formula2>0</formula2>
    </dataValidation>
    <dataValidation allowBlank="1" showInputMessage="1" showErrorMessage="1" promptTitle="Vida Util Remanente (Propiedad)" prompt="No considera cambio de instalaciones y estructura" sqref="BG37" xr:uid="{00000000-0002-0000-0100-000003000000}">
      <formula1>0</formula1>
      <formula2>0</formula2>
    </dataValidation>
    <dataValidation allowBlank="1" showInputMessage="1" showErrorMessage="1" promptTitle="Obras Complementarias" prompt="UF" sqref="AR38:AR41 AR29:AR33" xr:uid="{00000000-0002-0000-0100-000004000000}">
      <formula1>0</formula1>
      <formula2>0</formula2>
    </dataValidation>
    <dataValidation allowBlank="1" showInputMessage="1" showErrorMessage="1" promptTitle="Valor Total" prompt="UF" sqref="AD38:AD41 AD29:AD33" xr:uid="{00000000-0002-0000-0100-000005000000}">
      <formula1>0</formula1>
      <formula2>0</formula2>
    </dataValidation>
    <dataValidation allowBlank="1" showInputMessage="1" showErrorMessage="1" promptTitle="N° de Teléfono" prompt="Ingrese N° de teléfono del contacto" sqref="AA28 AA37" xr:uid="{00000000-0002-0000-0100-000006000000}">
      <formula1>0</formula1>
      <formula2>0</formula2>
    </dataValidation>
    <dataValidation type="list" allowBlank="1" showInputMessage="1" showErrorMessage="1" error="Debe usar lista desplegable" prompt="Indique si la propiedad es una Oferta ó Venta Real (CBR,)" sqref="F29:F33 F38:F41" xr:uid="{00000000-0002-0000-0100-000007000000}">
      <formula1>"Ofert.,CBR."</formula1>
      <formula2>0</formula2>
    </dataValidation>
    <dataValidation allowBlank="1" showInputMessage="1" showErrorMessage="1" prompt="Nombre del Edificio, Conjunto, Condominio, Establecimiento, etc. Ej: COPEC." sqref="AU6:BC6" xr:uid="{00000000-0002-0000-0100-000008000000}">
      <formula1>0</formula1>
      <formula2>0</formula2>
    </dataValidation>
    <dataValidation type="whole" allowBlank="1" showInputMessage="1" showErrorMessage="1" error="Ingrese cantidad de pisos del Edificio" prompt="Cantidad de pisos del Edificio" sqref="BK5:BM5" xr:uid="{00000000-0002-0000-0100-000009000000}">
      <formula1>0</formula1>
      <formula2>200</formula2>
    </dataValidation>
    <dataValidation type="whole" allowBlank="1" showInputMessage="1" showErrorMessage="1" error="Ingrese cantidad de subterraneos del Edificio" prompt="Cantidad de subterráneos del Edificio" sqref="BR5:BU5" xr:uid="{00000000-0002-0000-0100-00000A000000}">
      <formula1>0</formula1>
      <formula2>50</formula2>
    </dataValidation>
    <dataValidation type="list" allowBlank="1" showInputMessage="1" showErrorMessage="1" error="Debe usar lista desplegable" promptTitle="Use lista desplegable" prompt="Indique N° Rol principal ó Rol Matriz_x000a_" sqref="BF8:BI8" xr:uid="{00000000-0002-0000-0100-00000B000000}">
      <formula1>"Rol principal,Rol Matriz"</formula1>
      <formula2>0</formula2>
    </dataValidation>
    <dataValidation type="list" allowBlank="1" showInputMessage="1" showErrorMessage="1" sqref="AE26" xr:uid="{00000000-0002-0000-0100-00000C000000}">
      <formula1>"Estacionario,Renovación,Creciente,Decreciente"</formula1>
      <formula2>0</formula2>
    </dataValidation>
    <dataValidation allowBlank="1" showInputMessage="1" showErrorMessage="1" promptTitle="Año" prompt="Indique año de construcción" sqref="T51:T58" xr:uid="{00000000-0002-0000-0100-00000D000000}">
      <formula1>0</formula1>
      <formula2>0</formula2>
    </dataValidation>
    <dataValidation allowBlank="1" showInputMessage="1" showErrorMessage="1" promptTitle="Factor de mercado" prompt="Ej. 0.2" sqref="BC63 BA51:BA58" xr:uid="{00000000-0002-0000-0100-00000E000000}">
      <formula1>0</formula1>
      <formula2>0</formula2>
    </dataValidation>
    <dataValidation allowBlank="1" showInputMessage="1" showErrorMessage="1" promptTitle="Depresiación física" prompt="Ej. 0.2" sqref="AX51:AZ58" xr:uid="{00000000-0002-0000-0100-00000F000000}">
      <formula1>0</formula1>
      <formula2>0</formula2>
    </dataValidation>
    <dataValidation allowBlank="1" showInputMessage="1" showErrorMessage="1" promptTitle="Superficie Construcción" prompt="m2" sqref="AM38:AM41 AM29:AM33" xr:uid="{00000000-0002-0000-0100-000010000000}">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xr:uid="{00000000-0002-0000-0100-000011000000}">
      <formula1>"N/D,D"</formula1>
      <formula2>0</formula2>
    </dataValidation>
    <dataValidation type="date" operator="greaterThan" allowBlank="1" showInputMessage="1" showErrorMessage="1" errorTitle="FECHA VISITA" error="Ingrese fecha según ejemplo:_x000a_25/11/73" sqref="G85:R85 Y85" xr:uid="{00000000-0002-0000-0100-000012000000}">
      <formula1>26992</formula1>
      <formula2>0</formula2>
    </dataValidation>
    <dataValidation type="list" allowBlank="1" showInputMessage="1" showErrorMessage="1" sqref="BB3:BE3" xr:uid="{00000000-0002-0000-0100-000013000000}">
      <formula1>"Nuevo,Usado"</formula1>
      <formula2>0</formula2>
    </dataValidation>
    <dataValidation type="list" allowBlank="1" showInputMessage="1" showErrorMessage="1" sqref="S25" xr:uid="{00000000-0002-0000-0100-000014000000}">
      <formula1>"Pastelón,Baldosa,Tierra"</formula1>
      <formula2>0</formula2>
    </dataValidation>
    <dataValidation allowBlank="1" showInputMessage="1" showErrorMessage="1" errorTitle="Tipo de Bien" error="Debe usar la lista desplegable" sqref="AU3:BA3" xr:uid="{00000000-0002-0000-0100-000015000000}">
      <formula1>0</formula1>
      <formula2>0</formula2>
    </dataValidation>
    <dataValidation allowBlank="1" showInputMessage="1" showErrorMessage="1" errorTitle="Dirección" error="Debe usar lista desplegable" prompt="Tipo de Vía de acceso a la propiedad_x000a__x000a_Ej: Calle Camino Los Robles" sqref="AU4" xr:uid="{00000000-0002-0000-0100-000016000000}">
      <formula1>0</formula1>
      <formula2>0</formula2>
    </dataValidation>
    <dataValidation allowBlank="1" showInputMessage="1" showErrorMessage="1" error="Debe usar lista desplegable" sqref="AU7:BC7" xr:uid="{00000000-0002-0000-0100-000017000000}">
      <formula1>0</formula1>
      <formula2>0</formula2>
    </dataValidation>
    <dataValidation type="list" allowBlank="1" showInputMessage="1" showErrorMessage="1" sqref="BV23:BX23" xr:uid="{00000000-0002-0000-0100-000018000000}">
      <formula1>"SI,NO,Piloto"</formula1>
      <formula2>0</formula2>
    </dataValidation>
    <dataValidation type="list" allowBlank="1" sqref="AE24" xr:uid="{00000000-0002-0000-0100-000019000000}">
      <formula1>"Matriz Pública,Matriz Privada,Sol. Particular,No cuenta"</formula1>
      <formula2>0</formula2>
    </dataValidation>
    <dataValidation type="list" allowBlank="1" showInputMessage="1" showErrorMessage="1" sqref="F22" xr:uid="{00000000-0002-0000-0100-00001A000000}">
      <formula1>"Nulo,Débil,Medio,Fuerte"</formula1>
      <formula2>0</formula2>
    </dataValidation>
    <dataValidation type="list" allowBlank="1" showInputMessage="1" showErrorMessage="1" sqref="F23" xr:uid="{00000000-0002-0000-0100-00001B000000}">
      <formula1>"En Disminución,En Aumento,Estable,Inestable"</formula1>
      <formula2>0</formula2>
    </dataValidation>
    <dataValidation type="list" allowBlank="1" showInputMessage="1" showErrorMessage="1" sqref="F24" xr:uid="{00000000-0002-0000-0100-00001C000000}">
      <formula1>"Alta,Media,Baja,Nula"</formula1>
      <formula2>0</formula2>
    </dataValidation>
    <dataValidation type="list" allowBlank="1" showInputMessage="1" showErrorMessage="1" sqref="H26:L26" xr:uid="{00000000-0002-0000-0100-00001D000000}">
      <formula1>"Homogéneo,No Homogéneo"</formula1>
      <formula2>0</formula2>
    </dataValidation>
    <dataValidation type="list" allowBlank="1" sqref="S22" xr:uid="{00000000-0002-0000-0100-00001E000000}">
      <formula1>"Agrícola,Agrohabitacional,Habitacional,Comercial,ComercialHabit.,Equip.y Servic.,Indust. Inof,Indust. Molesto"</formula1>
      <formula2>0</formula2>
    </dataValidation>
    <dataValidation type="list" allowBlank="1" showInputMessage="1" showErrorMessage="1" sqref="S23" xr:uid="{00000000-0002-0000-0100-00001F000000}">
      <formula1>"Urbana,Rural"</formula1>
      <formula2>0</formula2>
    </dataValidation>
    <dataValidation type="list" allowBlank="1" showInputMessage="1" showErrorMessage="1" sqref="S24" xr:uid="{00000000-0002-0000-0100-000020000000}">
      <formula1>"Hormigón,Asfalto,Adoquín,Adocreto,Ripio,Tierra,Micillo,Estabilizado"</formula1>
      <formula2>0</formula2>
    </dataValidation>
    <dataValidation type="list" allowBlank="1" sqref="AE22" xr:uid="{00000000-0002-0000-0100-000021000000}">
      <formula1>"Sí,NO"</formula1>
      <formula2>0</formula2>
    </dataValidation>
    <dataValidation type="list" allowBlank="1" showInputMessage="1" showErrorMessage="1" promptTitle="Origen superficie" prompt="Indique origen superficie valorada" sqref="AJ51:AM58" xr:uid="{00000000-0002-0000-0100-000022000000}">
      <formula1>"Escritura,M. Laser,Plano Muni.,Plano Prop."</formula1>
    </dataValidation>
    <dataValidation type="list" allowBlank="1" showErrorMessage="1" sqref="BK3:BU3" xr:uid="{00000000-0002-0000-0100-000023000000}">
      <formula1>$BZ$5:$BZ$19</formula1>
      <formula2>0</formula2>
    </dataValidation>
    <dataValidation type="list" allowBlank="1" sqref="F25:L25" xr:uid="{00000000-0002-0000-0100-000024000000}">
      <formula1>"Estrato Alto,Estrato Medio Alto,Estrato Medio,Estrato Medio Bajo,Estrato Bajo,Mixto Comercial,Mixto Industrial"</formula1>
      <formula2>0</formula2>
    </dataValidation>
    <dataValidation type="list" allowBlank="1" showInputMessage="1" showErrorMessage="1" sqref="Y55:AD58" xr:uid="{00000000-0002-0000-0100-000025000000}">
      <formula1>$CF$48:$CF$50</formula1>
      <formula2>0</formula2>
    </dataValidation>
    <dataValidation allowBlank="1" showInputMessage="1" showErrorMessage="1" errorTitle="Sin datos" sqref="BL74:BU74" xr:uid="{00000000-0002-0000-0100-000026000000}">
      <formula1>0</formula1>
      <formula2>0</formula2>
    </dataValidation>
    <dataValidation type="list" allowBlank="1" showInputMessage="1" showErrorMessage="1" sqref="BF70:BN70" xr:uid="{00000000-0002-0000-0100-000027000000}">
      <formula1>$BZ$62:$BZ$71</formula1>
      <formula2>0</formula2>
    </dataValidation>
    <dataValidation type="list" allowBlank="1" sqref="AE23:AJ23" xr:uid="{00000000-0002-0000-0100-000028000000}">
      <formula1>"Red Aérea,Red Subterránea,No Hay Red"</formula1>
      <formula2>0</formula2>
    </dataValidation>
    <dataValidation type="list" allowBlank="1" showInputMessage="1" showErrorMessage="1" sqref="S26:Y26" xr:uid="{00000000-0002-0000-0100-000029000000}">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xr:uid="{00000000-0002-0000-0100-00002A000000}">
      <formula1>"E,B,N,D,M,OG,TE"</formula1>
      <formula2>0</formula2>
    </dataValidation>
    <dataValidation type="list" allowBlank="1" sqref="AE25:AJ25" xr:uid="{00000000-0002-0000-0100-00002B000000}">
      <formula1>"Licuado,Red Pública,Red Particular,Full Eléctrica,No existe"</formula1>
    </dataValidation>
    <dataValidation type="list" allowBlank="1" showInputMessage="1" showErrorMessage="1" sqref="BK23:BU23" xr:uid="{00000000-0002-0000-0100-00002C000000}">
      <formula1>"SI,NO,Piloto,Visita Exterior"</formula1>
    </dataValidation>
    <dataValidation type="list" allowBlank="1" showInputMessage="1" showErrorMessage="1" sqref="BK24" xr:uid="{00000000-0002-0000-0100-00002D000000}">
      <formula1>"SI,NO,S/INF."</formula1>
      <formula2>0</formula2>
    </dataValidation>
    <dataValidation type="list" allowBlank="1" showInputMessage="1" showErrorMessage="1" sqref="BL25:BU25" xr:uid="{00000000-0002-0000-0100-00002E000000}">
      <formula1>$CA$29:$CA$36</formula1>
    </dataValidation>
    <dataValidation type="list" allowBlank="1" sqref="BL26:BU26" xr:uid="{00000000-0002-0000-0100-00002F000000}">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xr:uid="{00000000-0002-0000-0100-000030000000}">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xr:uid="{00000000-0002-0000-0100-000031000000}">
      <formula1>"AC,HA,AL,PI,MA,AD,BA,CA,CE,SA,SB,TA,W"</formula1>
    </dataValidation>
    <dataValidation type="list" allowBlank="1" showInputMessage="1" showErrorMessage="1" sqref="Y51:AD54" xr:uid="{00000000-0002-0000-0100-000032000000}">
      <formula1>$CF$48:$CF$50</formula1>
    </dataValidation>
    <dataValidation type="list" allowBlank="1" showInputMessage="1" sqref="AA21:AC21" xr:uid="{00000000-0002-0000-0100-000033000000}">
      <formula1>ZoneVal</formula1>
    </dataValidation>
    <dataValidation type="list" allowBlank="1" showInputMessage="1" showErrorMessage="1" sqref="B51:E58" xr:uid="{00000000-0002-0000-0100-000034000000}">
      <formula1>" Edificación, Terreno, Estac. Cub,Estac. Desc,Estac. U/Goce,Bodega,Piscina,OO.CC"</formula1>
    </dataValidation>
  </dataValidations>
  <hyperlinks>
    <hyperlink ref="BV29" r:id="rId1" location="polycard_client=search-map&amp;be_origin=backend&amp;search_layout=map&amp;position=28&amp;type=item&amp;tracking_id=8391f4e4-e2fd-4fd4-b5d9-f31adfb543b5&amp;price_drop=not_apply" xr:uid="{00000000-0004-0000-0100-000000000000}"/>
    <hyperlink ref="BV30" display="https://www.portalinmobiliario.com/MLC-1882098131-depto-2d-1b-coronel-souper-estacion-central-22608-_JM#polycard_client=search-map&amp;be_origin=backend&amp;search_layout=map&amp;position=37&amp;type=item&amp;tracking_id=9c2312ca-2954-4b3f-9198-627471042778&amp;price_drop=not_ap" xr:uid="{00000000-0004-0000-0100-000001000000}"/>
    <hyperlink ref="BV32" r:id="rId2" location="polycard_client=search-map&amp;be_origin=backend&amp;search_layout=map&amp;position=34&amp;type=item&amp;tracking_id=9c2312ca-2954-4b3f-9198-627471042778&amp;price_drop=not_apply" xr:uid="{00000000-0004-0000-0100-000002000000}"/>
    <hyperlink ref="BV31" r:id="rId3" location="polycard_client=search-map&amp;be_origin=backend&amp;search_layout=map&amp;position=51&amp;type=item&amp;tracking_id=9c2312ca-2954-4b3f-9198-627471042778&amp;price_drop=not_apply" xr:uid="{00000000-0004-0000-0100-000003000000}"/>
    <hyperlink ref="BV33" display="https://www.portalinmobiliario.com/MLC-1871689695-oportunidad-de-inversion-departamento-con-gran-conectividad-_JM#polycard_client=search-map&amp;be_origin=backend&amp;search_layout=map&amp;position=49&amp;type=item&amp;tracking_id=9c2312ca-2954-4b3f-9198-627471042778&amp;price_d" xr:uid="{00000000-0004-0000-0100-000004000000}"/>
  </hyperlinks>
  <printOptions horizontalCentered="1"/>
  <pageMargins left="0.39374999999999999" right="0.39374999999999999" top="0.39374999999999999" bottom="0.39374999999999999" header="0.51180555555555496" footer="0.51180555555555496"/>
  <pageSetup paperSize="9" scale="65" firstPageNumber="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3095" r:id="rId7" name="Button 23">
              <controlPr defaultSize="0" print="0" autoFill="0" autoPict="0" macro="[0]!BuildSector">
                <anchor moveWithCells="1" sizeWithCells="1">
                  <from>
                    <xdr:col>76</xdr:col>
                    <xdr:colOff>38100</xdr:colOff>
                    <xdr:row>17</xdr:row>
                    <xdr:rowOff>85725</xdr:rowOff>
                  </from>
                  <to>
                    <xdr:col>76</xdr:col>
                    <xdr:colOff>809625</xdr:colOff>
                    <xdr:row>19</xdr:row>
                    <xdr:rowOff>142875</xdr:rowOff>
                  </to>
                </anchor>
              </controlPr>
            </control>
          </mc:Choice>
        </mc:AlternateContent>
        <mc:AlternateContent xmlns:mc="http://schemas.openxmlformats.org/markup-compatibility/2006">
          <mc:Choice Requires="x14">
            <control shapeId="3108" r:id="rId8" name="Button 36">
              <controlPr defaultSize="0" print="0" autoFill="0" autoPict="0" macro="[0]!BuildText">
                <anchor moveWithCells="1" sizeWithCells="1">
                  <from>
                    <xdr:col>76</xdr:col>
                    <xdr:colOff>28575</xdr:colOff>
                    <xdr:row>11</xdr:row>
                    <xdr:rowOff>142875</xdr:rowOff>
                  </from>
                  <to>
                    <xdr:col>76</xdr:col>
                    <xdr:colOff>809625</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3" tint="0.39997558519241921"/>
    <pageSetUpPr fitToPage="1"/>
  </sheetPr>
  <dimension ref="A1:CW83"/>
  <sheetViews>
    <sheetView topLeftCell="A34" zoomScale="130" zoomScaleNormal="130" workbookViewId="0">
      <selection activeCell="J9" sqref="J9:Q9"/>
    </sheetView>
  </sheetViews>
  <sheetFormatPr baseColWidth="10" defaultColWidth="9.140625" defaultRowHeight="12.75" customHeight="1" zeroHeight="1" x14ac:dyDescent="0.2"/>
  <cols>
    <col min="1" max="22" width="2.28515625" customWidth="1"/>
    <col min="23" max="23" width="6" customWidth="1"/>
    <col min="24" max="24" width="0.5703125" customWidth="1"/>
    <col min="25" max="25" width="1.7109375" customWidth="1"/>
    <col min="26" max="71" width="2.28515625" customWidth="1"/>
    <col min="73" max="99" width="0" hidden="1" customWidth="1"/>
  </cols>
  <sheetData>
    <row r="1" spans="1:82" s="71" customFormat="1" ht="13.5" customHeight="1" x14ac:dyDescent="0.2">
      <c r="A1" s="1499" t="s">
        <v>673</v>
      </c>
      <c r="B1" s="1499"/>
      <c r="C1" s="1499"/>
      <c r="D1" s="1499"/>
      <c r="E1" s="1499"/>
      <c r="F1" s="1499"/>
      <c r="G1" s="1499"/>
      <c r="H1" s="1499"/>
      <c r="I1" s="1499"/>
      <c r="J1" s="1499"/>
      <c r="K1" s="1499"/>
      <c r="L1" s="1499"/>
      <c r="M1" s="1499"/>
      <c r="N1" s="1499"/>
      <c r="O1" s="1499"/>
      <c r="P1" s="1499"/>
      <c r="Q1" s="1499"/>
      <c r="R1" s="1499"/>
      <c r="S1" s="1499"/>
      <c r="T1" s="1499"/>
      <c r="U1" s="1499"/>
      <c r="V1" s="1499"/>
      <c r="W1" s="1499"/>
      <c r="X1" s="1499"/>
      <c r="Y1" s="1499"/>
      <c r="Z1" s="1499"/>
      <c r="AA1" s="1499"/>
      <c r="AB1" s="1499"/>
      <c r="AC1" s="1499"/>
      <c r="AD1" s="1499"/>
      <c r="AE1" s="1499"/>
      <c r="AF1" s="1499"/>
      <c r="AG1" s="1499"/>
      <c r="AH1" s="1499"/>
      <c r="AI1" s="1499"/>
      <c r="AJ1" s="1499"/>
      <c r="AK1" s="1499"/>
      <c r="AL1" s="1499"/>
      <c r="AM1" s="1499"/>
      <c r="AN1" s="1499"/>
      <c r="AO1" s="1499"/>
      <c r="AP1" s="1499"/>
      <c r="AQ1" s="1499"/>
      <c r="AR1" s="1499"/>
      <c r="AS1" s="1499"/>
      <c r="AT1" s="1499"/>
      <c r="AU1" s="1499"/>
      <c r="AV1" s="1499"/>
      <c r="AW1" s="1499"/>
      <c r="AX1" s="1499"/>
      <c r="AY1" s="1499"/>
      <c r="AZ1" s="1499"/>
      <c r="BA1" s="1499"/>
      <c r="BB1" s="1499"/>
      <c r="BC1" s="1499"/>
      <c r="BD1" s="1499"/>
      <c r="BE1" s="1499"/>
      <c r="BF1" s="1499"/>
      <c r="BG1" s="1499"/>
      <c r="BH1" s="1499"/>
      <c r="BI1" s="1499"/>
      <c r="BJ1" s="1499"/>
      <c r="BK1" s="1499"/>
      <c r="BL1" s="1499"/>
      <c r="BM1" s="1499"/>
      <c r="BN1" s="1499"/>
      <c r="BO1" s="1499"/>
      <c r="BP1" s="1499"/>
      <c r="BQ1" s="1499"/>
      <c r="BR1" s="246"/>
      <c r="BV1" s="71">
        <v>0</v>
      </c>
      <c r="CD1" s="71" t="s">
        <v>757</v>
      </c>
    </row>
    <row r="2" spans="1:82" ht="12" customHeight="1" x14ac:dyDescent="0.2">
      <c r="A2" s="1499"/>
      <c r="B2" s="1499"/>
      <c r="C2" s="1499"/>
      <c r="D2" s="1499"/>
      <c r="E2" s="1499"/>
      <c r="F2" s="1499"/>
      <c r="G2" s="1499"/>
      <c r="H2" s="1499"/>
      <c r="I2" s="1499"/>
      <c r="J2" s="1499"/>
      <c r="K2" s="1499"/>
      <c r="L2" s="1499"/>
      <c r="M2" s="1499"/>
      <c r="N2" s="1499"/>
      <c r="O2" s="1499"/>
      <c r="P2" s="1499"/>
      <c r="Q2" s="1499"/>
      <c r="R2" s="1499"/>
      <c r="S2" s="1499"/>
      <c r="T2" s="1499"/>
      <c r="U2" s="1499"/>
      <c r="V2" s="1499"/>
      <c r="W2" s="1499"/>
      <c r="X2" s="1499"/>
      <c r="Y2" s="1499"/>
      <c r="Z2" s="1499"/>
      <c r="AA2" s="1499"/>
      <c r="AB2" s="1499"/>
      <c r="AC2" s="1499"/>
      <c r="AD2" s="1499"/>
      <c r="AE2" s="1499"/>
      <c r="AF2" s="1499"/>
      <c r="AG2" s="1499"/>
      <c r="AH2" s="1499"/>
      <c r="AI2" s="1499"/>
      <c r="AJ2" s="1499"/>
      <c r="AK2" s="1499"/>
      <c r="AL2" s="1499"/>
      <c r="AM2" s="1499"/>
      <c r="AN2" s="1499"/>
      <c r="AO2" s="1499"/>
      <c r="AP2" s="1499"/>
      <c r="AQ2" s="1499"/>
      <c r="AR2" s="1499"/>
      <c r="AS2" s="1499"/>
      <c r="AT2" s="1499"/>
      <c r="AU2" s="1499"/>
      <c r="AV2" s="1499"/>
      <c r="AW2" s="1499"/>
      <c r="AX2" s="1499"/>
      <c r="AY2" s="1499"/>
      <c r="AZ2" s="1499"/>
      <c r="BA2" s="1499"/>
      <c r="BB2" s="1499"/>
      <c r="BC2" s="1499"/>
      <c r="BD2" s="1499"/>
      <c r="BE2" s="1499"/>
      <c r="BF2" s="1499"/>
      <c r="BG2" s="1499"/>
      <c r="BH2" s="1499"/>
      <c r="BI2" s="1499"/>
      <c r="BJ2" s="1499"/>
      <c r="BK2" s="1499"/>
      <c r="BL2" s="1499"/>
      <c r="BM2" s="1499"/>
      <c r="BN2" s="1499"/>
      <c r="BO2" s="1499"/>
      <c r="BP2" s="1499"/>
      <c r="BQ2" s="1499"/>
      <c r="BR2" s="246"/>
      <c r="BV2" s="71">
        <v>2</v>
      </c>
      <c r="CD2" t="s">
        <v>763</v>
      </c>
    </row>
    <row r="3" spans="1:82" ht="13.5" customHeight="1" x14ac:dyDescent="0.25">
      <c r="A3" s="1500" t="s">
        <v>674</v>
      </c>
      <c r="B3" s="1501" t="s">
        <v>675</v>
      </c>
      <c r="C3" s="1501"/>
      <c r="D3" s="1501"/>
      <c r="E3" s="1502" t="str">
        <f>+Portada!F3</f>
        <v>Janeth Patricia Cando Arias</v>
      </c>
      <c r="F3" s="1502"/>
      <c r="G3" s="1502"/>
      <c r="H3" s="1502"/>
      <c r="I3" s="1502"/>
      <c r="J3" s="1502"/>
      <c r="K3" s="1502"/>
      <c r="L3" s="1502"/>
      <c r="M3" s="1502"/>
      <c r="N3" s="1502"/>
      <c r="O3" s="1502"/>
      <c r="P3" s="1502"/>
      <c r="Q3" s="1502"/>
      <c r="R3" s="1502"/>
      <c r="S3" s="1502"/>
      <c r="T3" s="1502"/>
      <c r="U3" s="1502"/>
      <c r="V3" s="1502"/>
      <c r="W3" s="1502"/>
      <c r="X3" s="1502"/>
      <c r="Y3" s="1502"/>
      <c r="Z3" s="1502"/>
      <c r="AA3" s="1502"/>
      <c r="AB3" s="1502"/>
      <c r="AC3" s="1502"/>
      <c r="AD3" s="1502"/>
      <c r="AE3" s="1502"/>
      <c r="AF3" s="1502"/>
      <c r="AG3" s="1503" t="s">
        <v>456</v>
      </c>
      <c r="AH3" s="1503"/>
      <c r="AI3" s="1503"/>
      <c r="AJ3" s="1503"/>
      <c r="AK3" s="1503"/>
      <c r="AL3" s="1504" t="str">
        <f>+Portada!AE3</f>
        <v>22.959.221-1</v>
      </c>
      <c r="AM3" s="1504"/>
      <c r="AN3" s="1504"/>
      <c r="AO3" s="1504"/>
      <c r="AP3" s="1504"/>
      <c r="AQ3" s="1504"/>
      <c r="AR3" s="1504"/>
      <c r="AS3" s="1504"/>
      <c r="AT3" s="1504"/>
      <c r="AU3" s="1504"/>
      <c r="AV3" s="1504"/>
      <c r="AW3" s="1504"/>
      <c r="AX3" s="1505"/>
      <c r="AY3" s="1505"/>
      <c r="AZ3" s="1505"/>
      <c r="BA3" s="1505"/>
      <c r="BB3" s="1505"/>
      <c r="BC3" s="1505"/>
      <c r="BD3" s="1505"/>
      <c r="BE3" s="1505"/>
      <c r="BF3" s="1505"/>
      <c r="BG3" s="1505"/>
      <c r="BH3" s="1505"/>
      <c r="BI3" s="1505"/>
      <c r="BJ3" s="1505"/>
      <c r="BK3" s="1505"/>
      <c r="BL3" s="1505"/>
      <c r="BM3" s="1505"/>
      <c r="BN3" s="1505"/>
      <c r="BO3" s="1505"/>
      <c r="BP3" s="1505"/>
      <c r="BQ3" s="1505"/>
      <c r="BR3" s="246"/>
      <c r="CD3" t="s">
        <v>831</v>
      </c>
    </row>
    <row r="4" spans="1:82" ht="11.25" customHeight="1" x14ac:dyDescent="0.25">
      <c r="A4" s="1500"/>
      <c r="B4" s="247" t="s">
        <v>676</v>
      </c>
      <c r="C4" s="248"/>
      <c r="D4" s="248"/>
      <c r="E4" s="1506" t="str">
        <f>+Portada!AU4</f>
        <v>Coronel Souper N° 4060</v>
      </c>
      <c r="F4" s="1506"/>
      <c r="G4" s="1506"/>
      <c r="H4" s="1506"/>
      <c r="I4" s="1506"/>
      <c r="J4" s="1506"/>
      <c r="K4" s="1506"/>
      <c r="L4" s="1506"/>
      <c r="M4" s="1506"/>
      <c r="N4" s="1506"/>
      <c r="O4" s="1506"/>
      <c r="P4" s="1506"/>
      <c r="Q4" s="1506"/>
      <c r="R4" s="1506"/>
      <c r="S4" s="1506"/>
      <c r="T4" s="1506"/>
      <c r="U4" s="1506"/>
      <c r="V4" s="1506"/>
      <c r="W4" s="1507"/>
      <c r="X4" s="1507"/>
      <c r="Y4" s="1507"/>
      <c r="Z4" s="1507"/>
      <c r="AA4" s="1508"/>
      <c r="AB4" s="1508"/>
      <c r="AC4" s="1508"/>
      <c r="AD4" s="1508"/>
      <c r="AE4" s="1509" t="str">
        <f>+Portada!AP5</f>
        <v>Depto.</v>
      </c>
      <c r="AF4" s="1509"/>
      <c r="AG4" s="1509"/>
      <c r="AH4" s="1509"/>
      <c r="AI4" s="1509"/>
      <c r="AJ4" s="1509"/>
      <c r="AK4" s="1510" t="str">
        <f>+Portada!AU5</f>
        <v>N°2502 B</v>
      </c>
      <c r="AL4" s="1510"/>
      <c r="AM4" s="1510"/>
      <c r="AN4" s="1510"/>
      <c r="AO4" s="1510"/>
      <c r="AP4" s="1510"/>
      <c r="AQ4" s="1511" t="str">
        <f>+Portada!AP6</f>
        <v>Edificio</v>
      </c>
      <c r="AR4" s="1511"/>
      <c r="AS4" s="1511"/>
      <c r="AT4" s="1511"/>
      <c r="AU4" s="1511"/>
      <c r="AV4" s="1511"/>
      <c r="AW4" s="1506" t="str">
        <f>+Portada!AU6</f>
        <v>Mirador Souper</v>
      </c>
      <c r="AX4" s="1506"/>
      <c r="AY4" s="1506"/>
      <c r="AZ4" s="1506"/>
      <c r="BA4" s="1506"/>
      <c r="BB4" s="1506"/>
      <c r="BC4" s="1506"/>
      <c r="BD4" s="1506"/>
      <c r="BE4" s="1506"/>
      <c r="BF4" s="1506"/>
      <c r="BG4" s="1506"/>
      <c r="BH4" s="1506" t="str">
        <f>+Portada!BP6</f>
        <v>Sitio/Lote</v>
      </c>
      <c r="BI4" s="1506"/>
      <c r="BJ4" s="1506"/>
      <c r="BK4" s="1506"/>
      <c r="BL4" s="1512">
        <f>+Portada!BR6</f>
        <v>0</v>
      </c>
      <c r="BM4" s="1512"/>
      <c r="BN4" s="1512"/>
      <c r="BO4" s="1512"/>
      <c r="BP4" s="1512"/>
      <c r="BQ4" s="1512"/>
      <c r="BR4" s="246"/>
      <c r="CD4" t="s">
        <v>836</v>
      </c>
    </row>
    <row r="5" spans="1:82" ht="15" customHeight="1" x14ac:dyDescent="0.25">
      <c r="A5" s="1500"/>
      <c r="B5" s="249" t="s">
        <v>457</v>
      </c>
      <c r="C5" s="250"/>
      <c r="D5" s="250"/>
      <c r="E5" s="1513" t="str">
        <f>+Portada!AU8</f>
        <v>Estación Central</v>
      </c>
      <c r="F5" s="1513"/>
      <c r="G5" s="1513"/>
      <c r="H5" s="1513"/>
      <c r="I5" s="1513"/>
      <c r="J5" s="1513"/>
      <c r="K5" s="1513"/>
      <c r="L5" s="1513"/>
      <c r="M5" s="1513"/>
      <c r="N5" s="1513"/>
      <c r="O5" s="1513"/>
      <c r="P5" s="1513"/>
      <c r="Q5" s="1513"/>
      <c r="R5" s="1513"/>
      <c r="S5" s="1513"/>
      <c r="T5" s="1513"/>
      <c r="U5" s="1514" t="s">
        <v>677</v>
      </c>
      <c r="V5" s="1514"/>
      <c r="W5" s="1514"/>
      <c r="X5" s="1514"/>
      <c r="Y5" s="1513" t="str">
        <f>+Portada!AU7</f>
        <v>Metropolitana de Santiago</v>
      </c>
      <c r="Z5" s="1513"/>
      <c r="AA5" s="1513"/>
      <c r="AB5" s="1513"/>
      <c r="AC5" s="1513"/>
      <c r="AD5" s="1513"/>
      <c r="AE5" s="1513"/>
      <c r="AF5" s="1513"/>
      <c r="AG5" s="1513"/>
      <c r="AH5" s="1513"/>
      <c r="AI5" s="1513"/>
      <c r="AJ5" s="1513"/>
      <c r="AK5" s="1513"/>
      <c r="AL5" s="1513"/>
      <c r="AM5" s="1513"/>
      <c r="AN5" s="1513"/>
      <c r="AO5" s="1513"/>
      <c r="AP5" s="251"/>
      <c r="AQ5" s="1515"/>
      <c r="AR5" s="1515"/>
      <c r="AS5" s="1515"/>
      <c r="AT5" s="1515"/>
      <c r="AU5" s="1515"/>
      <c r="AV5" s="1515"/>
      <c r="AW5" s="1515"/>
      <c r="AX5" s="1515"/>
      <c r="AY5" s="1515"/>
      <c r="AZ5" s="1515"/>
      <c r="BA5" s="1515"/>
      <c r="BB5" s="1515"/>
      <c r="BC5" s="1515"/>
      <c r="BD5" s="1515"/>
      <c r="BE5" s="1515"/>
      <c r="BF5" s="1515"/>
      <c r="BG5" s="1515"/>
      <c r="BH5" s="1515"/>
      <c r="BI5" s="1515"/>
      <c r="BJ5" s="1515"/>
      <c r="BK5" s="1515"/>
      <c r="BL5" s="1515"/>
      <c r="BM5" s="1515"/>
      <c r="BN5" s="1515"/>
      <c r="BO5" s="1515"/>
      <c r="BP5" s="1515"/>
      <c r="BQ5" s="1515"/>
      <c r="BR5" s="246"/>
      <c r="CD5" t="s">
        <v>841</v>
      </c>
    </row>
    <row r="6" spans="1:82" ht="11.25" customHeight="1" x14ac:dyDescent="0.25">
      <c r="A6" s="1457" t="s">
        <v>678</v>
      </c>
      <c r="B6" s="1402" t="s">
        <v>679</v>
      </c>
      <c r="C6" s="1402"/>
      <c r="D6" s="1402"/>
      <c r="E6" s="1402"/>
      <c r="F6" s="1402"/>
      <c r="G6" s="1402"/>
      <c r="H6" s="1402"/>
      <c r="I6" s="1402"/>
      <c r="J6" s="1402"/>
      <c r="K6" s="1402"/>
      <c r="L6" s="1402"/>
      <c r="M6" s="1402"/>
      <c r="N6" s="1402"/>
      <c r="O6" s="1402"/>
      <c r="P6" s="1402"/>
      <c r="Q6" s="1402"/>
      <c r="R6" s="1494" t="s">
        <v>680</v>
      </c>
      <c r="S6" s="1494"/>
      <c r="T6" s="1494"/>
      <c r="U6" s="1494"/>
      <c r="V6" s="1494"/>
      <c r="W6" s="1494"/>
      <c r="X6" s="1494"/>
      <c r="Y6" s="1494"/>
      <c r="Z6" s="1494"/>
      <c r="AA6" s="1494"/>
      <c r="AB6" s="1494"/>
      <c r="AC6" s="1494"/>
      <c r="AD6" s="1494"/>
      <c r="AE6" s="1494"/>
      <c r="AF6" s="1494"/>
      <c r="AG6" s="1494"/>
      <c r="AH6" s="1490" t="s">
        <v>681</v>
      </c>
      <c r="AI6" s="1490"/>
      <c r="AJ6" s="1490"/>
      <c r="AK6" s="1490"/>
      <c r="AL6" s="1490"/>
      <c r="AM6" s="1490"/>
      <c r="AN6" s="1490"/>
      <c r="AO6" s="1490"/>
      <c r="AP6" s="1490"/>
      <c r="AQ6" s="1490"/>
      <c r="AR6" s="1490"/>
      <c r="AS6" s="1490"/>
      <c r="AT6" s="1490"/>
      <c r="AU6" s="1490"/>
      <c r="AV6" s="1490"/>
      <c r="AW6" s="1491" t="s">
        <v>682</v>
      </c>
      <c r="AX6" s="1491"/>
      <c r="AY6" s="1491"/>
      <c r="AZ6" s="1491"/>
      <c r="BA6" s="1491"/>
      <c r="BB6" s="1491"/>
      <c r="BC6" s="1491"/>
      <c r="BD6" s="1491"/>
      <c r="BE6" s="1491"/>
      <c r="BF6" s="1491"/>
      <c r="BG6" s="1491"/>
      <c r="BH6" s="1491"/>
      <c r="BI6" s="1491"/>
      <c r="BJ6" s="1491"/>
      <c r="BK6" s="1491"/>
      <c r="BL6" s="1491"/>
      <c r="BM6" s="1491"/>
      <c r="BN6" s="1491"/>
      <c r="BO6" s="1491"/>
      <c r="BP6" s="1491"/>
      <c r="BQ6" s="1491"/>
      <c r="BR6" s="246"/>
      <c r="CD6" t="s">
        <v>846</v>
      </c>
    </row>
    <row r="7" spans="1:82" ht="14.25" customHeight="1" x14ac:dyDescent="0.25">
      <c r="A7" s="1457"/>
      <c r="B7" s="1434" t="s">
        <v>683</v>
      </c>
      <c r="C7" s="1434"/>
      <c r="D7" s="1434"/>
      <c r="E7" s="1434"/>
      <c r="F7" s="1434"/>
      <c r="G7" s="252" t="s">
        <v>462</v>
      </c>
      <c r="H7" s="1443" t="s">
        <v>489</v>
      </c>
      <c r="I7" s="1443"/>
      <c r="J7" s="1492" t="s">
        <v>2757</v>
      </c>
      <c r="K7" s="1492"/>
      <c r="L7" s="1492"/>
      <c r="M7" s="1492"/>
      <c r="N7" s="1492"/>
      <c r="O7" s="1492"/>
      <c r="P7" s="1492"/>
      <c r="Q7" s="1493"/>
      <c r="R7" s="1469" t="s">
        <v>684</v>
      </c>
      <c r="S7" s="1469"/>
      <c r="T7" s="1469"/>
      <c r="U7" s="1469"/>
      <c r="V7" s="1469"/>
      <c r="W7" s="1469"/>
      <c r="X7" s="1469"/>
      <c r="Y7" s="758" t="s">
        <v>462</v>
      </c>
      <c r="Z7" s="1481" t="str">
        <f>IFERROR(VLOOKUP(Portada!CE3,Zonificacion!A2:Z3000,20),"OGUC")</f>
        <v>OGUC</v>
      </c>
      <c r="AA7" s="1481"/>
      <c r="AB7" s="1481"/>
      <c r="AC7" s="1481"/>
      <c r="AD7" s="1482" t="s">
        <v>685</v>
      </c>
      <c r="AE7" s="1482"/>
      <c r="AF7" s="1482"/>
      <c r="AG7" s="1482"/>
      <c r="AH7" s="1467" t="s">
        <v>686</v>
      </c>
      <c r="AI7" s="1467"/>
      <c r="AJ7" s="1467"/>
      <c r="AK7" s="1467"/>
      <c r="AL7" s="1467"/>
      <c r="AM7" s="1467"/>
      <c r="AN7" s="1467"/>
      <c r="AO7" s="1467"/>
      <c r="AP7" s="1467"/>
      <c r="AQ7" s="1467"/>
      <c r="AR7" s="1467"/>
      <c r="AS7" s="758" t="s">
        <v>462</v>
      </c>
      <c r="AT7" s="1468" t="str">
        <f>IF(SUM('FICHA SOLIC'!K38:N38)&lt;140,"SI","NO")</f>
        <v>SI</v>
      </c>
      <c r="AU7" s="1468"/>
      <c r="AV7" s="1468"/>
      <c r="AW7" s="1469" t="s">
        <v>687</v>
      </c>
      <c r="AX7" s="1469"/>
      <c r="AY7" s="1469"/>
      <c r="AZ7" s="1469"/>
      <c r="BA7" s="1469"/>
      <c r="BB7" s="1469"/>
      <c r="BC7" s="1469"/>
      <c r="BD7" s="1469"/>
      <c r="BE7" s="1469"/>
      <c r="BF7" s="1469"/>
      <c r="BG7" s="1469"/>
      <c r="BH7" s="528" t="s">
        <v>462</v>
      </c>
      <c r="BI7" s="1489" t="s">
        <v>489</v>
      </c>
      <c r="BJ7" s="1489"/>
      <c r="BK7" s="1489"/>
      <c r="BL7" s="1489"/>
      <c r="BM7" s="1489"/>
      <c r="BN7" s="1489"/>
      <c r="BO7" s="1489"/>
      <c r="BP7" s="1489"/>
      <c r="BQ7" s="1489"/>
      <c r="BR7" s="246"/>
      <c r="CD7" t="s">
        <v>851</v>
      </c>
    </row>
    <row r="8" spans="1:82" ht="14.25" customHeight="1" x14ac:dyDescent="0.25">
      <c r="A8" s="1457"/>
      <c r="B8" s="1434" t="s">
        <v>688</v>
      </c>
      <c r="C8" s="1434"/>
      <c r="D8" s="1434"/>
      <c r="E8" s="1434"/>
      <c r="F8" s="1434"/>
      <c r="G8" s="253" t="s">
        <v>462</v>
      </c>
      <c r="H8" s="1443" t="s">
        <v>489</v>
      </c>
      <c r="I8" s="1443"/>
      <c r="J8" s="1492" t="s">
        <v>2758</v>
      </c>
      <c r="K8" s="1492"/>
      <c r="L8" s="1492"/>
      <c r="M8" s="1492"/>
      <c r="N8" s="1492"/>
      <c r="O8" s="1492"/>
      <c r="P8" s="1492"/>
      <c r="Q8" s="1493"/>
      <c r="R8" s="1469" t="s">
        <v>689</v>
      </c>
      <c r="S8" s="1469"/>
      <c r="T8" s="1469"/>
      <c r="U8" s="1469"/>
      <c r="V8" s="1469"/>
      <c r="W8" s="1469"/>
      <c r="X8" s="1469"/>
      <c r="Y8" s="758" t="s">
        <v>462</v>
      </c>
      <c r="Z8" s="1495" t="str">
        <f>IFERROR(VLOOKUP(Portada!CE3,Zonificacion!A2:Z3000,21),"OGUC")</f>
        <v>OGUC</v>
      </c>
      <c r="AA8" s="1495"/>
      <c r="AB8" s="1495"/>
      <c r="AC8" s="1495"/>
      <c r="AD8" s="1482" t="s">
        <v>690</v>
      </c>
      <c r="AE8" s="1482"/>
      <c r="AF8" s="1482"/>
      <c r="AG8" s="1482"/>
      <c r="AH8" s="1467" t="s">
        <v>691</v>
      </c>
      <c r="AI8" s="1467"/>
      <c r="AJ8" s="1467"/>
      <c r="AK8" s="1467"/>
      <c r="AL8" s="1467"/>
      <c r="AM8" s="1467"/>
      <c r="AN8" s="1467"/>
      <c r="AO8" s="1467"/>
      <c r="AP8" s="1467"/>
      <c r="AQ8" s="1467"/>
      <c r="AR8" s="1467"/>
      <c r="AS8" s="758" t="s">
        <v>462</v>
      </c>
      <c r="AT8" s="1468" t="str">
        <f>IF(AND(OR('FICHA SOLIC'!K35="Departamento",AgrupacionProp="Condominio"),anoPropiedad&lt;1995),"SI", "NO")</f>
        <v>NO</v>
      </c>
      <c r="AU8" s="1468"/>
      <c r="AV8" s="1468"/>
      <c r="AW8" s="1469" t="s">
        <v>692</v>
      </c>
      <c r="AX8" s="1469"/>
      <c r="AY8" s="1469"/>
      <c r="AZ8" s="1469"/>
      <c r="BA8" s="1469"/>
      <c r="BB8" s="1469"/>
      <c r="BC8" s="1469"/>
      <c r="BD8" s="1469"/>
      <c r="BE8" s="1469"/>
      <c r="BF8" s="1469"/>
      <c r="BG8" s="1469"/>
      <c r="BH8" s="528" t="s">
        <v>462</v>
      </c>
      <c r="BI8" s="1489" t="s">
        <v>489</v>
      </c>
      <c r="BJ8" s="1489"/>
      <c r="BK8" s="1489"/>
      <c r="BL8" s="1489"/>
      <c r="BM8" s="1489"/>
      <c r="BN8" s="1489"/>
      <c r="BO8" s="1489"/>
      <c r="BP8" s="1489"/>
      <c r="BQ8" s="1489"/>
      <c r="BR8" s="254"/>
      <c r="BV8" s="71" t="s">
        <v>480</v>
      </c>
      <c r="CD8" t="s">
        <v>854</v>
      </c>
    </row>
    <row r="9" spans="1:82" ht="13.5" customHeight="1" x14ac:dyDescent="0.25">
      <c r="A9" s="1457"/>
      <c r="B9" s="1434" t="s">
        <v>693</v>
      </c>
      <c r="C9" s="1434"/>
      <c r="D9" s="1434"/>
      <c r="E9" s="1434"/>
      <c r="F9" s="1434"/>
      <c r="G9" s="252" t="s">
        <v>462</v>
      </c>
      <c r="H9" s="1443" t="s">
        <v>489</v>
      </c>
      <c r="I9" s="1443"/>
      <c r="J9" s="1480"/>
      <c r="K9" s="1480"/>
      <c r="L9" s="1480"/>
      <c r="M9" s="1480"/>
      <c r="N9" s="1480"/>
      <c r="O9" s="1480"/>
      <c r="P9" s="1480"/>
      <c r="Q9" s="1480"/>
      <c r="R9" s="1469" t="s">
        <v>694</v>
      </c>
      <c r="S9" s="1469"/>
      <c r="T9" s="1469"/>
      <c r="U9" s="1469"/>
      <c r="V9" s="1469"/>
      <c r="W9" s="1469"/>
      <c r="X9" s="1469"/>
      <c r="Y9" s="758" t="s">
        <v>462</v>
      </c>
      <c r="Z9" s="1481" t="str">
        <f>IFERROR(VLOOKUP(Portada!CE3,Zonificacion!A2:Z3000,22),"OGUC")</f>
        <v>OGUC</v>
      </c>
      <c r="AA9" s="1481"/>
      <c r="AB9" s="1481"/>
      <c r="AC9" s="1481"/>
      <c r="AD9" s="1482" t="s">
        <v>533</v>
      </c>
      <c r="AE9" s="1482"/>
      <c r="AF9" s="1482"/>
      <c r="AG9" s="1482"/>
      <c r="AH9" s="1467" t="s">
        <v>695</v>
      </c>
      <c r="AI9" s="1467"/>
      <c r="AJ9" s="1467"/>
      <c r="AK9" s="1467"/>
      <c r="AL9" s="1467"/>
      <c r="AM9" s="1467"/>
      <c r="AN9" s="1467"/>
      <c r="AO9" s="1467"/>
      <c r="AP9" s="1467"/>
      <c r="AQ9" s="1467"/>
      <c r="AR9" s="1467"/>
      <c r="AS9" s="758" t="s">
        <v>462</v>
      </c>
      <c r="AT9" s="1468" t="s">
        <v>699</v>
      </c>
      <c r="AU9" s="1468"/>
      <c r="AV9" s="1468"/>
      <c r="AW9" s="1469" t="s">
        <v>696</v>
      </c>
      <c r="AX9" s="1469"/>
      <c r="AY9" s="1469"/>
      <c r="AZ9" s="1469"/>
      <c r="BA9" s="1469"/>
      <c r="BB9" s="1469"/>
      <c r="BC9" s="1469"/>
      <c r="BD9" s="1469"/>
      <c r="BE9" s="1469"/>
      <c r="BF9" s="1469"/>
      <c r="BG9" s="1469"/>
      <c r="BH9" s="528" t="s">
        <v>462</v>
      </c>
      <c r="BI9" s="1488" t="str">
        <f>Portada!BK3</f>
        <v>HABITACIONAL</v>
      </c>
      <c r="BJ9" s="1488"/>
      <c r="BK9" s="1488"/>
      <c r="BL9" s="1488"/>
      <c r="BM9" s="1488"/>
      <c r="BN9" s="1488"/>
      <c r="BO9" s="1488"/>
      <c r="BP9" s="1488"/>
      <c r="BQ9" s="1488"/>
      <c r="BR9" s="254"/>
      <c r="BU9" s="71" t="s">
        <v>469</v>
      </c>
      <c r="BV9" s="71">
        <v>2</v>
      </c>
    </row>
    <row r="10" spans="1:82" ht="13.5" customHeight="1" x14ac:dyDescent="0.25">
      <c r="A10" s="1457"/>
      <c r="B10" s="1479" t="s">
        <v>698</v>
      </c>
      <c r="C10" s="1479"/>
      <c r="D10" s="1479"/>
      <c r="E10" s="1479"/>
      <c r="F10" s="1479"/>
      <c r="G10" s="252" t="s">
        <v>462</v>
      </c>
      <c r="H10" s="1443" t="str">
        <f>IF(Portada!BL25=Portada!CA29,"SI","NO")</f>
        <v>NO</v>
      </c>
      <c r="I10" s="1443"/>
      <c r="J10" s="1480"/>
      <c r="K10" s="1480"/>
      <c r="L10" s="1480"/>
      <c r="M10" s="1480"/>
      <c r="N10" s="1480"/>
      <c r="O10" s="1480"/>
      <c r="P10" s="1480"/>
      <c r="Q10" s="1480"/>
      <c r="R10" s="1469" t="s">
        <v>700</v>
      </c>
      <c r="S10" s="1469"/>
      <c r="T10" s="1469"/>
      <c r="U10" s="1469"/>
      <c r="V10" s="1469"/>
      <c r="W10" s="1469"/>
      <c r="X10" s="1469"/>
      <c r="Y10" s="758" t="s">
        <v>462</v>
      </c>
      <c r="Z10" s="1481" t="str">
        <f>IFERROR(VLOOKUP(Portada!CE3,Zonificacion!A2:Z3000,23),"OGUC")</f>
        <v>OGUC</v>
      </c>
      <c r="AA10" s="1481"/>
      <c r="AB10" s="1481"/>
      <c r="AC10" s="1481"/>
      <c r="AD10" s="1482"/>
      <c r="AE10" s="1482"/>
      <c r="AF10" s="1482"/>
      <c r="AG10" s="1482"/>
      <c r="AH10" s="1467" t="s">
        <v>701</v>
      </c>
      <c r="AI10" s="1467"/>
      <c r="AJ10" s="1467"/>
      <c r="AK10" s="1467"/>
      <c r="AL10" s="1467"/>
      <c r="AM10" s="1467"/>
      <c r="AN10" s="1467"/>
      <c r="AO10" s="1467"/>
      <c r="AP10" s="1467"/>
      <c r="AQ10" s="1467"/>
      <c r="AR10" s="1467"/>
      <c r="AS10" s="758" t="s">
        <v>462</v>
      </c>
      <c r="AT10" s="1468" t="str">
        <f>IF(AT8="SI","NO", "SI")</f>
        <v>SI</v>
      </c>
      <c r="AU10" s="1468"/>
      <c r="AV10" s="1468"/>
      <c r="AW10" s="1469" t="s">
        <v>702</v>
      </c>
      <c r="AX10" s="1469"/>
      <c r="AY10" s="1469"/>
      <c r="AZ10" s="1469"/>
      <c r="BA10" s="1469"/>
      <c r="BB10" s="1469"/>
      <c r="BC10" s="1469"/>
      <c r="BD10" s="1469"/>
      <c r="BE10" s="1469"/>
      <c r="BF10" s="1469"/>
      <c r="BG10" s="1469"/>
      <c r="BH10" s="528" t="s">
        <v>462</v>
      </c>
      <c r="BI10" s="1489" t="s">
        <v>703</v>
      </c>
      <c r="BJ10" s="1489"/>
      <c r="BK10" s="1489"/>
      <c r="BL10" s="1489"/>
      <c r="BM10" s="1489"/>
      <c r="BN10" s="1489"/>
      <c r="BO10" s="1489"/>
      <c r="BP10" s="1489"/>
      <c r="BQ10" s="1489"/>
      <c r="BR10" s="254"/>
      <c r="BV10" s="71" t="s">
        <v>514</v>
      </c>
      <c r="BW10" s="71" t="s">
        <v>504</v>
      </c>
      <c r="BX10" s="71" t="s">
        <v>111</v>
      </c>
      <c r="BY10" s="71">
        <v>4</v>
      </c>
      <c r="CA10" s="71">
        <v>20</v>
      </c>
    </row>
    <row r="11" spans="1:82" ht="13.5" customHeight="1" x14ac:dyDescent="0.25">
      <c r="A11" s="1457"/>
      <c r="B11" s="1479" t="s">
        <v>704</v>
      </c>
      <c r="C11" s="1479"/>
      <c r="D11" s="1479"/>
      <c r="E11" s="1479"/>
      <c r="F11" s="1479"/>
      <c r="G11" s="252" t="s">
        <v>462</v>
      </c>
      <c r="H11" s="1443" t="s">
        <v>699</v>
      </c>
      <c r="I11" s="1443"/>
      <c r="J11" s="1480"/>
      <c r="K11" s="1480"/>
      <c r="L11" s="1480"/>
      <c r="M11" s="1480"/>
      <c r="N11" s="1480"/>
      <c r="O11" s="1480"/>
      <c r="P11" s="1480"/>
      <c r="Q11" s="1480"/>
      <c r="R11" s="1469" t="s">
        <v>705</v>
      </c>
      <c r="S11" s="1469"/>
      <c r="T11" s="1469"/>
      <c r="U11" s="1469"/>
      <c r="V11" s="1469"/>
      <c r="W11" s="1469"/>
      <c r="X11" s="1469"/>
      <c r="Y11" s="758" t="s">
        <v>462</v>
      </c>
      <c r="Z11" s="1481" t="str">
        <f>IFERROR(VLOOKUP(Portada!CE3,Zonificacion!A2:Z3000,24),"OGUC")</f>
        <v>OGUC</v>
      </c>
      <c r="AA11" s="1481"/>
      <c r="AB11" s="1481"/>
      <c r="AC11" s="1481"/>
      <c r="AD11" s="1482" t="s">
        <v>690</v>
      </c>
      <c r="AE11" s="1482"/>
      <c r="AF11" s="1482"/>
      <c r="AG11" s="1482"/>
      <c r="AH11" s="1483" t="s">
        <v>706</v>
      </c>
      <c r="AI11" s="1483"/>
      <c r="AJ11" s="1483"/>
      <c r="AK11" s="1483"/>
      <c r="AL11" s="1483"/>
      <c r="AM11" s="1483"/>
      <c r="AN11" s="1483"/>
      <c r="AO11" s="1483"/>
      <c r="AP11" s="1483"/>
      <c r="AQ11" s="1483"/>
      <c r="AR11" s="1483"/>
      <c r="AS11" s="1483"/>
      <c r="AT11" s="1483"/>
      <c r="AU11" s="1483"/>
      <c r="AV11" s="1483"/>
      <c r="AW11" s="1484" t="s">
        <v>706</v>
      </c>
      <c r="AX11" s="1484"/>
      <c r="AY11" s="1484"/>
      <c r="AZ11" s="1484"/>
      <c r="BA11" s="1484"/>
      <c r="BB11" s="1484"/>
      <c r="BC11" s="1484"/>
      <c r="BD11" s="1484"/>
      <c r="BE11" s="1484"/>
      <c r="BF11" s="1484"/>
      <c r="BG11" s="1484"/>
      <c r="BH11" s="1484"/>
      <c r="BI11" s="1484"/>
      <c r="BJ11" s="1484"/>
      <c r="BK11" s="1484"/>
      <c r="BL11" s="1484"/>
      <c r="BM11" s="1484"/>
      <c r="BN11" s="1484"/>
      <c r="BO11" s="1484"/>
      <c r="BP11" s="1484"/>
      <c r="BQ11" s="1484"/>
      <c r="BR11" s="254"/>
      <c r="BV11" s="71" t="s">
        <v>472</v>
      </c>
      <c r="BX11" s="71" t="s">
        <v>707</v>
      </c>
      <c r="BY11" s="71">
        <v>3</v>
      </c>
      <c r="BZ11" s="71">
        <v>1</v>
      </c>
      <c r="CA11" s="71">
        <v>10</v>
      </c>
    </row>
    <row r="12" spans="1:82" ht="13.5" customHeight="1" x14ac:dyDescent="0.25">
      <c r="A12" s="1457"/>
      <c r="B12" s="1434" t="s">
        <v>708</v>
      </c>
      <c r="C12" s="1434"/>
      <c r="D12" s="1434"/>
      <c r="E12" s="1434"/>
      <c r="F12" s="1434"/>
      <c r="G12" s="252" t="s">
        <v>462</v>
      </c>
      <c r="H12" s="1443" t="s">
        <v>699</v>
      </c>
      <c r="I12" s="1443"/>
      <c r="J12" s="1480"/>
      <c r="K12" s="1480"/>
      <c r="L12" s="1480"/>
      <c r="M12" s="1480"/>
      <c r="N12" s="1480"/>
      <c r="O12" s="1480"/>
      <c r="P12" s="1480"/>
      <c r="Q12" s="1480"/>
      <c r="R12" s="1469" t="s">
        <v>709</v>
      </c>
      <c r="S12" s="1469"/>
      <c r="T12" s="1469"/>
      <c r="U12" s="1469"/>
      <c r="V12" s="1469"/>
      <c r="W12" s="1469"/>
      <c r="X12" s="1469"/>
      <c r="Y12" s="758" t="s">
        <v>462</v>
      </c>
      <c r="Z12" s="1481" t="str">
        <f>IFERROR(VLOOKUP(Portada!CE3,Zonificacion!A2:Z3000,25),"OGUC")</f>
        <v>OGUC</v>
      </c>
      <c r="AA12" s="1481"/>
      <c r="AB12" s="1481"/>
      <c r="AC12" s="1481"/>
      <c r="AD12" s="1482" t="s">
        <v>690</v>
      </c>
      <c r="AE12" s="1482"/>
      <c r="AF12" s="1482"/>
      <c r="AG12" s="1482"/>
      <c r="AH12" s="1483"/>
      <c r="AI12" s="1483"/>
      <c r="AJ12" s="1483"/>
      <c r="AK12" s="1483"/>
      <c r="AL12" s="1483"/>
      <c r="AM12" s="1483"/>
      <c r="AN12" s="1483"/>
      <c r="AO12" s="1483"/>
      <c r="AP12" s="1483"/>
      <c r="AQ12" s="1483"/>
      <c r="AR12" s="1483"/>
      <c r="AS12" s="1483"/>
      <c r="AT12" s="1483"/>
      <c r="AU12" s="1483"/>
      <c r="AV12" s="1483"/>
      <c r="AW12" s="1484"/>
      <c r="AX12" s="1484"/>
      <c r="AY12" s="1484"/>
      <c r="AZ12" s="1484"/>
      <c r="BA12" s="1484"/>
      <c r="BB12" s="1484"/>
      <c r="BC12" s="1484"/>
      <c r="BD12" s="1484"/>
      <c r="BE12" s="1484"/>
      <c r="BF12" s="1484"/>
      <c r="BG12" s="1484"/>
      <c r="BH12" s="1484"/>
      <c r="BI12" s="1484"/>
      <c r="BJ12" s="1484"/>
      <c r="BK12" s="1484"/>
      <c r="BL12" s="1484"/>
      <c r="BM12" s="1484"/>
      <c r="BN12" s="1484"/>
      <c r="BO12" s="1484"/>
      <c r="BP12" s="1484"/>
      <c r="BQ12" s="1484"/>
      <c r="BR12" s="254"/>
      <c r="BV12" s="71" t="s">
        <v>710</v>
      </c>
      <c r="BX12" s="71" t="s">
        <v>707</v>
      </c>
      <c r="BY12" s="71">
        <v>3</v>
      </c>
      <c r="BZ12" s="71">
        <v>1</v>
      </c>
      <c r="CA12" s="71">
        <v>10</v>
      </c>
    </row>
    <row r="13" spans="1:82" ht="13.5" customHeight="1" x14ac:dyDescent="0.25">
      <c r="A13" s="1457"/>
      <c r="B13" s="1485" t="s">
        <v>711</v>
      </c>
      <c r="C13" s="1485"/>
      <c r="D13" s="1485"/>
      <c r="E13" s="1485"/>
      <c r="F13" s="1485"/>
      <c r="G13" s="251" t="s">
        <v>462</v>
      </c>
      <c r="H13" s="1443" t="s">
        <v>699</v>
      </c>
      <c r="I13" s="1443"/>
      <c r="J13" s="1486"/>
      <c r="K13" s="1486"/>
      <c r="L13" s="1486"/>
      <c r="M13" s="1486"/>
      <c r="N13" s="1486"/>
      <c r="O13" s="1486"/>
      <c r="P13" s="1486"/>
      <c r="Q13" s="1486"/>
      <c r="R13" s="1440" t="s">
        <v>712</v>
      </c>
      <c r="S13" s="1440"/>
      <c r="T13" s="1440"/>
      <c r="U13" s="1440"/>
      <c r="V13" s="1440"/>
      <c r="W13" s="1440"/>
      <c r="X13" s="1440"/>
      <c r="Y13" s="561" t="s">
        <v>462</v>
      </c>
      <c r="Z13" s="1487" t="str">
        <f>IFERROR(VLOOKUP(Portada!CE3,Zonificacion!A2:Z3000,26),"OGUC")</f>
        <v>Aislado Pareado</v>
      </c>
      <c r="AA13" s="1487"/>
      <c r="AB13" s="1487"/>
      <c r="AC13" s="1487"/>
      <c r="AD13" s="1487"/>
      <c r="AE13" s="1487"/>
      <c r="AF13" s="1487"/>
      <c r="AG13" s="1487"/>
      <c r="AH13" s="1483"/>
      <c r="AI13" s="1483"/>
      <c r="AJ13" s="1483"/>
      <c r="AK13" s="1483"/>
      <c r="AL13" s="1483"/>
      <c r="AM13" s="1483"/>
      <c r="AN13" s="1483"/>
      <c r="AO13" s="1483"/>
      <c r="AP13" s="1483"/>
      <c r="AQ13" s="1483"/>
      <c r="AR13" s="1483"/>
      <c r="AS13" s="1483"/>
      <c r="AT13" s="1483"/>
      <c r="AU13" s="1483"/>
      <c r="AV13" s="1483"/>
      <c r="AW13" s="1484"/>
      <c r="AX13" s="1484"/>
      <c r="AY13" s="1484"/>
      <c r="AZ13" s="1484"/>
      <c r="BA13" s="1484"/>
      <c r="BB13" s="1484"/>
      <c r="BC13" s="1484"/>
      <c r="BD13" s="1484"/>
      <c r="BE13" s="1484"/>
      <c r="BF13" s="1484"/>
      <c r="BG13" s="1484"/>
      <c r="BH13" s="1484"/>
      <c r="BI13" s="1484"/>
      <c r="BJ13" s="1484"/>
      <c r="BK13" s="1484"/>
      <c r="BL13" s="1484"/>
      <c r="BM13" s="1484"/>
      <c r="BN13" s="1484"/>
      <c r="BO13" s="1484"/>
      <c r="BP13" s="1484"/>
      <c r="BQ13" s="1484"/>
      <c r="BR13" s="254"/>
      <c r="BV13" s="71" t="s">
        <v>713</v>
      </c>
      <c r="BX13" s="71" t="s">
        <v>707</v>
      </c>
      <c r="BY13" s="71">
        <v>3</v>
      </c>
      <c r="BZ13" s="71">
        <v>1</v>
      </c>
      <c r="CA13" s="71">
        <v>10</v>
      </c>
    </row>
    <row r="14" spans="1:82" ht="12" customHeight="1" x14ac:dyDescent="0.25">
      <c r="A14" s="1457" t="s">
        <v>714</v>
      </c>
      <c r="B14" s="1473" t="s">
        <v>715</v>
      </c>
      <c r="C14" s="1473"/>
      <c r="D14" s="1473"/>
      <c r="E14" s="1473"/>
      <c r="F14" s="1473"/>
      <c r="G14" s="1473"/>
      <c r="H14" s="1473"/>
      <c r="I14" s="1473"/>
      <c r="J14" s="1473"/>
      <c r="K14" s="1473"/>
      <c r="L14" s="1473"/>
      <c r="M14" s="1473"/>
      <c r="N14" s="1473"/>
      <c r="O14" s="1473"/>
      <c r="P14" s="1473"/>
      <c r="Q14" s="1473"/>
      <c r="R14" s="1473"/>
      <c r="S14" s="1473"/>
      <c r="T14" s="1473"/>
      <c r="U14" s="1473"/>
      <c r="V14" s="1473"/>
      <c r="W14" s="1473"/>
      <c r="X14" s="1473"/>
      <c r="Y14" s="1473"/>
      <c r="Z14" s="1473"/>
      <c r="AA14" s="1473"/>
      <c r="AB14" s="1473"/>
      <c r="AC14" s="1473"/>
      <c r="AD14" s="1473"/>
      <c r="AE14" s="1473"/>
      <c r="AF14" s="1473"/>
      <c r="AG14" s="1473"/>
      <c r="AH14" s="1474" t="s">
        <v>716</v>
      </c>
      <c r="AI14" s="1474"/>
      <c r="AJ14" s="1474"/>
      <c r="AK14" s="1474"/>
      <c r="AL14" s="1474"/>
      <c r="AM14" s="1474"/>
      <c r="AN14" s="1474"/>
      <c r="AO14" s="1474"/>
      <c r="AP14" s="1474"/>
      <c r="AQ14" s="1474"/>
      <c r="AR14" s="1474"/>
      <c r="AS14" s="1474"/>
      <c r="AT14" s="1474"/>
      <c r="AU14" s="1474"/>
      <c r="AV14" s="1474"/>
      <c r="AW14" s="1475"/>
      <c r="AX14" s="1475"/>
      <c r="AY14" s="1475"/>
      <c r="AZ14" s="1475"/>
      <c r="BA14" s="1475"/>
      <c r="BB14" s="1475"/>
      <c r="BC14" s="1475"/>
      <c r="BD14" s="1475"/>
      <c r="BE14" s="1475"/>
      <c r="BF14" s="1475"/>
      <c r="BG14" s="1475"/>
      <c r="BH14" s="1475"/>
      <c r="BI14" s="1475"/>
      <c r="BJ14" s="1475"/>
      <c r="BK14" s="1475"/>
      <c r="BL14" s="1475"/>
      <c r="BM14" s="1475"/>
      <c r="BN14" s="1475"/>
      <c r="BO14" s="1475"/>
      <c r="BP14" s="1475"/>
      <c r="BQ14" s="1475"/>
      <c r="BR14" s="254"/>
      <c r="BV14" s="71" t="s">
        <v>717</v>
      </c>
      <c r="BX14" s="71" t="s">
        <v>707</v>
      </c>
      <c r="BY14" s="71">
        <v>3</v>
      </c>
      <c r="BZ14" s="71">
        <v>1</v>
      </c>
      <c r="CA14" s="71">
        <v>10</v>
      </c>
    </row>
    <row r="15" spans="1:82" ht="13.5" customHeight="1" x14ac:dyDescent="0.25">
      <c r="A15" s="1457"/>
      <c r="B15" s="1476" t="s">
        <v>718</v>
      </c>
      <c r="C15" s="1476"/>
      <c r="D15" s="1476"/>
      <c r="E15" s="1476"/>
      <c r="F15" s="1476"/>
      <c r="G15" s="757" t="s">
        <v>462</v>
      </c>
      <c r="H15" s="1463" t="str">
        <f>UPPER(Portada!AP6)</f>
        <v>EDIFICIO</v>
      </c>
      <c r="I15" s="1463"/>
      <c r="J15" s="1463"/>
      <c r="K15" s="1463"/>
      <c r="L15" s="1463"/>
      <c r="M15" s="1463"/>
      <c r="N15" s="1463"/>
      <c r="O15" s="1463"/>
      <c r="P15" s="1463"/>
      <c r="Q15" s="1463"/>
      <c r="R15" s="1459" t="s">
        <v>719</v>
      </c>
      <c r="S15" s="1459"/>
      <c r="T15" s="1459"/>
      <c r="U15" s="1459"/>
      <c r="V15" s="1459"/>
      <c r="W15" s="1459"/>
      <c r="X15" s="1459"/>
      <c r="Y15" s="757" t="s">
        <v>462</v>
      </c>
      <c r="Z15" s="1477" t="str">
        <f>IF('FICHA SOLIC'!K36 = "Usado","BUENO","NUEVO - S/USO")</f>
        <v>BUENO</v>
      </c>
      <c r="AA15" s="1477"/>
      <c r="AB15" s="1477"/>
      <c r="AC15" s="1477"/>
      <c r="AD15" s="1477"/>
      <c r="AE15" s="1477"/>
      <c r="AF15" s="1477"/>
      <c r="AG15" s="1477"/>
      <c r="AH15" s="1467" t="s">
        <v>720</v>
      </c>
      <c r="AI15" s="1467"/>
      <c r="AJ15" s="1467"/>
      <c r="AK15" s="1467"/>
      <c r="AL15" s="1467"/>
      <c r="AM15" s="528" t="s">
        <v>462</v>
      </c>
      <c r="AN15" s="1468" t="s">
        <v>1130</v>
      </c>
      <c r="AO15" s="1468"/>
      <c r="AP15" s="1468"/>
      <c r="AQ15" s="1468"/>
      <c r="AR15" s="1468"/>
      <c r="AS15" s="1468"/>
      <c r="AT15" s="1468"/>
      <c r="AU15" s="1468"/>
      <c r="AV15" s="1468"/>
      <c r="AW15" s="1469" t="s">
        <v>1841</v>
      </c>
      <c r="AX15" s="1469"/>
      <c r="AY15" s="1469"/>
      <c r="AZ15" s="1469"/>
      <c r="BA15" s="1469"/>
      <c r="BB15" s="1469"/>
      <c r="BC15" s="1469"/>
      <c r="BD15" s="1469"/>
      <c r="BE15" s="1469"/>
      <c r="BF15" s="1469"/>
      <c r="BG15" s="1469"/>
      <c r="BH15" s="1469"/>
      <c r="BI15" s="1469"/>
      <c r="BJ15" s="1469"/>
      <c r="BK15" s="758"/>
      <c r="BL15" s="1470">
        <v>500</v>
      </c>
      <c r="BM15" s="1470"/>
      <c r="BN15" s="1470"/>
      <c r="BO15" s="1470"/>
      <c r="BP15" s="1470"/>
      <c r="BQ15" s="1470"/>
      <c r="BR15" s="254"/>
      <c r="BV15" s="71" t="s">
        <v>721</v>
      </c>
      <c r="BX15" s="71" t="s">
        <v>707</v>
      </c>
      <c r="BY15" s="71">
        <v>3</v>
      </c>
      <c r="BZ15" s="71">
        <v>1</v>
      </c>
      <c r="CA15" s="71">
        <v>10</v>
      </c>
    </row>
    <row r="16" spans="1:82" ht="13.5" customHeight="1" x14ac:dyDescent="0.25">
      <c r="A16" s="1457"/>
      <c r="B16" s="1400" t="s">
        <v>722</v>
      </c>
      <c r="C16" s="1400"/>
      <c r="D16" s="1400"/>
      <c r="E16" s="1400"/>
      <c r="F16" s="1400"/>
      <c r="G16" s="253" t="s">
        <v>462</v>
      </c>
      <c r="H16" s="1445" t="str">
        <f>IF(tipoPropiedad="Departamento","TIPICO","TIPICO")</f>
        <v>TIPICO</v>
      </c>
      <c r="I16" s="1445"/>
      <c r="J16" s="1445"/>
      <c r="K16" s="1445"/>
      <c r="L16" s="1445"/>
      <c r="M16" s="1445"/>
      <c r="N16" s="1445"/>
      <c r="O16" s="1445"/>
      <c r="P16" s="1445"/>
      <c r="Q16" s="1445"/>
      <c r="R16" s="1417" t="s">
        <v>723</v>
      </c>
      <c r="S16" s="1417"/>
      <c r="T16" s="1417"/>
      <c r="U16" s="1417"/>
      <c r="V16" s="1417"/>
      <c r="W16" s="1417"/>
      <c r="X16" s="1417"/>
      <c r="Y16" s="253" t="s">
        <v>462</v>
      </c>
      <c r="Z16" s="1472" t="str">
        <f>IF(tipoPropiedad="Departamento","BUENO","BUENO")</f>
        <v>BUENO</v>
      </c>
      <c r="AA16" s="1472"/>
      <c r="AB16" s="1472"/>
      <c r="AC16" s="1472"/>
      <c r="AD16" s="1472"/>
      <c r="AE16" s="1472"/>
      <c r="AF16" s="1472"/>
      <c r="AG16" s="1472"/>
      <c r="AH16" s="1467" t="s">
        <v>543</v>
      </c>
      <c r="AI16" s="1467"/>
      <c r="AJ16" s="1467"/>
      <c r="AK16" s="1467"/>
      <c r="AL16" s="1467"/>
      <c r="AM16" s="528" t="s">
        <v>462</v>
      </c>
      <c r="AN16" s="1468" t="str">
        <f>Portada!AE24</f>
        <v>Matriz Pública</v>
      </c>
      <c r="AO16" s="1468"/>
      <c r="AP16" s="1468"/>
      <c r="AQ16" s="1468"/>
      <c r="AR16" s="1468"/>
      <c r="AS16" s="1468"/>
      <c r="AT16" s="1468"/>
      <c r="AU16" s="1468"/>
      <c r="AV16" s="1468"/>
      <c r="AW16" s="1469" t="s">
        <v>1842</v>
      </c>
      <c r="AX16" s="1469"/>
      <c r="AY16" s="1469"/>
      <c r="AZ16" s="1469"/>
      <c r="BA16" s="1469"/>
      <c r="BB16" s="1469"/>
      <c r="BC16" s="1469"/>
      <c r="BD16" s="1469"/>
      <c r="BE16" s="1469"/>
      <c r="BF16" s="1469"/>
      <c r="BG16" s="1469"/>
      <c r="BH16" s="1469"/>
      <c r="BI16" s="1469"/>
      <c r="BJ16" s="1469"/>
      <c r="BK16" s="758"/>
      <c r="BL16" s="1470">
        <v>500</v>
      </c>
      <c r="BM16" s="1470"/>
      <c r="BN16" s="1470"/>
      <c r="BO16" s="1470"/>
      <c r="BP16" s="1470"/>
      <c r="BQ16" s="1470"/>
      <c r="BR16" s="254"/>
      <c r="BV16" s="71" t="s">
        <v>724</v>
      </c>
      <c r="BX16" s="71" t="s">
        <v>500</v>
      </c>
      <c r="BY16" s="71">
        <v>3</v>
      </c>
      <c r="BZ16" s="71">
        <v>1</v>
      </c>
      <c r="CA16" s="71">
        <v>20</v>
      </c>
    </row>
    <row r="17" spans="1:101" ht="13.5" x14ac:dyDescent="0.25">
      <c r="A17" s="1457"/>
      <c r="B17" s="1400" t="s">
        <v>725</v>
      </c>
      <c r="C17" s="1400"/>
      <c r="D17" s="1400"/>
      <c r="E17" s="1400"/>
      <c r="F17" s="1400"/>
      <c r="G17" s="253" t="s">
        <v>462</v>
      </c>
      <c r="H17" s="1445" t="str">
        <f>IF(tipoPropiedad="Departamento","ADECUADA","ADECUADA")</f>
        <v>ADECUADA</v>
      </c>
      <c r="I17" s="1445"/>
      <c r="J17" s="1445"/>
      <c r="K17" s="1445"/>
      <c r="L17" s="1445"/>
      <c r="M17" s="1445"/>
      <c r="N17" s="1445"/>
      <c r="O17" s="1445"/>
      <c r="P17" s="1445"/>
      <c r="Q17" s="1445"/>
      <c r="R17" s="1417" t="s">
        <v>726</v>
      </c>
      <c r="S17" s="1417"/>
      <c r="T17" s="1417"/>
      <c r="U17" s="1417"/>
      <c r="V17" s="1417"/>
      <c r="W17" s="1417"/>
      <c r="X17" s="1417"/>
      <c r="Y17" s="253" t="s">
        <v>462</v>
      </c>
      <c r="Z17" s="1478" t="s">
        <v>836</v>
      </c>
      <c r="AA17" s="1478"/>
      <c r="AB17" s="1478"/>
      <c r="AC17" s="1478"/>
      <c r="AD17" s="1478"/>
      <c r="AE17" s="1478"/>
      <c r="AF17" s="1478"/>
      <c r="AG17" s="1478"/>
      <c r="AH17" s="1467" t="s">
        <v>727</v>
      </c>
      <c r="AI17" s="1467"/>
      <c r="AJ17" s="1467"/>
      <c r="AK17" s="1467"/>
      <c r="AL17" s="1467"/>
      <c r="AM17" s="528" t="s">
        <v>462</v>
      </c>
      <c r="AN17" s="1468" t="str">
        <f>Portada!AE23</f>
        <v>Red Aérea</v>
      </c>
      <c r="AO17" s="1468"/>
      <c r="AP17" s="1468"/>
      <c r="AQ17" s="1468"/>
      <c r="AR17" s="1468"/>
      <c r="AS17" s="1468"/>
      <c r="AT17" s="1468"/>
      <c r="AU17" s="1468"/>
      <c r="AV17" s="1468"/>
      <c r="AW17" s="1469" t="s">
        <v>1843</v>
      </c>
      <c r="AX17" s="1469"/>
      <c r="AY17" s="1469"/>
      <c r="AZ17" s="1469"/>
      <c r="BA17" s="1469"/>
      <c r="BB17" s="1469"/>
      <c r="BC17" s="1469"/>
      <c r="BD17" s="1469"/>
      <c r="BE17" s="1469"/>
      <c r="BF17" s="1469"/>
      <c r="BG17" s="1469"/>
      <c r="BH17" s="1469"/>
      <c r="BI17" s="1469"/>
      <c r="BJ17" s="1469"/>
      <c r="BK17" s="758"/>
      <c r="BL17" s="1470">
        <v>200</v>
      </c>
      <c r="BM17" s="1470"/>
      <c r="BN17" s="1470"/>
      <c r="BO17" s="1470"/>
      <c r="BP17" s="1470"/>
      <c r="BQ17" s="1470"/>
      <c r="BR17" s="254"/>
      <c r="BV17" s="71" t="s">
        <v>479</v>
      </c>
      <c r="BW17" s="71" t="s">
        <v>480</v>
      </c>
      <c r="BX17" s="71" t="s">
        <v>111</v>
      </c>
      <c r="BY17" s="71">
        <v>2</v>
      </c>
      <c r="CA17" s="71">
        <v>10</v>
      </c>
    </row>
    <row r="18" spans="1:101" ht="13.5" customHeight="1" x14ac:dyDescent="0.25">
      <c r="A18" s="1457"/>
      <c r="B18" s="1400" t="s">
        <v>728</v>
      </c>
      <c r="C18" s="1400"/>
      <c r="D18" s="1400"/>
      <c r="E18" s="1400"/>
      <c r="F18" s="1400"/>
      <c r="G18" s="253" t="s">
        <v>462</v>
      </c>
      <c r="H18" s="1471" t="s">
        <v>2754</v>
      </c>
      <c r="I18" s="1471"/>
      <c r="J18" s="1471"/>
      <c r="K18" s="1471"/>
      <c r="L18" s="1471"/>
      <c r="M18" s="1471"/>
      <c r="N18" s="1471"/>
      <c r="O18" s="1471"/>
      <c r="P18" s="1471"/>
      <c r="Q18" s="1471"/>
      <c r="R18" s="1417" t="s">
        <v>729</v>
      </c>
      <c r="S18" s="1417"/>
      <c r="T18" s="1417"/>
      <c r="U18" s="1417"/>
      <c r="V18" s="1417"/>
      <c r="W18" s="1417"/>
      <c r="X18" s="1417"/>
      <c r="Y18" s="253" t="s">
        <v>462</v>
      </c>
      <c r="Z18" s="1472" t="str">
        <f>IF(tipoPropiedad="Departamento","ADECUADO","ADECUADO")</f>
        <v>ADECUADO</v>
      </c>
      <c r="AA18" s="1472"/>
      <c r="AB18" s="1472"/>
      <c r="AC18" s="1472"/>
      <c r="AD18" s="1472"/>
      <c r="AE18" s="1472"/>
      <c r="AF18" s="1472"/>
      <c r="AG18" s="1472"/>
      <c r="AH18" s="1467" t="s">
        <v>552</v>
      </c>
      <c r="AI18" s="1467"/>
      <c r="AJ18" s="1467"/>
      <c r="AK18" s="1467"/>
      <c r="AL18" s="1467"/>
      <c r="AM18" s="528" t="s">
        <v>462</v>
      </c>
      <c r="AN18" s="1468" t="str">
        <f>Portada!AE25</f>
        <v>Full Eléctrica</v>
      </c>
      <c r="AO18" s="1468"/>
      <c r="AP18" s="1468"/>
      <c r="AQ18" s="1468"/>
      <c r="AR18" s="1468"/>
      <c r="AS18" s="1468"/>
      <c r="AT18" s="1468"/>
      <c r="AU18" s="1468"/>
      <c r="AV18" s="1468"/>
      <c r="AW18" s="1469" t="s">
        <v>1844</v>
      </c>
      <c r="AX18" s="1469"/>
      <c r="AY18" s="1469"/>
      <c r="AZ18" s="1469"/>
      <c r="BA18" s="1469"/>
      <c r="BB18" s="1469"/>
      <c r="BC18" s="1469"/>
      <c r="BD18" s="1469"/>
      <c r="BE18" s="1469"/>
      <c r="BF18" s="1469"/>
      <c r="BG18" s="1469"/>
      <c r="BH18" s="1469"/>
      <c r="BI18" s="1469"/>
      <c r="BJ18" s="1469"/>
      <c r="BK18" s="758"/>
      <c r="BL18" s="1470">
        <v>600</v>
      </c>
      <c r="BM18" s="1470"/>
      <c r="BN18" s="1470"/>
      <c r="BO18" s="1470"/>
      <c r="BP18" s="1470"/>
      <c r="BQ18" s="1470"/>
      <c r="BR18" s="254"/>
      <c r="BV18" s="71" t="s">
        <v>519</v>
      </c>
      <c r="BW18" s="71" t="s">
        <v>730</v>
      </c>
      <c r="BX18" s="71" t="s">
        <v>111</v>
      </c>
      <c r="BY18" s="71">
        <v>3</v>
      </c>
      <c r="BZ18" s="71">
        <v>0</v>
      </c>
      <c r="CA18" s="71">
        <v>10</v>
      </c>
    </row>
    <row r="19" spans="1:101" ht="13.5" x14ac:dyDescent="0.25">
      <c r="A19" s="1457"/>
      <c r="B19" s="1452" t="s">
        <v>731</v>
      </c>
      <c r="C19" s="1452"/>
      <c r="D19" s="1452"/>
      <c r="E19" s="1452"/>
      <c r="F19" s="1452"/>
      <c r="G19" s="255" t="s">
        <v>462</v>
      </c>
      <c r="H19" s="1453" t="str">
        <f>IF(tipoPropiedad="Departamento","BUENA","BUENA")</f>
        <v>BUENA</v>
      </c>
      <c r="I19" s="1453"/>
      <c r="J19" s="1453"/>
      <c r="K19" s="1453"/>
      <c r="L19" s="1453"/>
      <c r="M19" s="1453"/>
      <c r="N19" s="1453"/>
      <c r="O19" s="1453"/>
      <c r="P19" s="1453"/>
      <c r="Q19" s="1453"/>
      <c r="R19" s="1446" t="s">
        <v>732</v>
      </c>
      <c r="S19" s="1446"/>
      <c r="T19" s="1446"/>
      <c r="U19" s="1446"/>
      <c r="V19" s="1446"/>
      <c r="W19" s="1446"/>
      <c r="X19" s="1446"/>
      <c r="Y19" s="255" t="s">
        <v>462</v>
      </c>
      <c r="Z19" s="1454" t="str">
        <f>IF(tipoPropiedad="Departamento","ADECUADA","ADECUADA")</f>
        <v>ADECUADA</v>
      </c>
      <c r="AA19" s="1454"/>
      <c r="AB19" s="1454"/>
      <c r="AC19" s="1454"/>
      <c r="AD19" s="1454"/>
      <c r="AE19" s="1454"/>
      <c r="AF19" s="1454"/>
      <c r="AG19" s="1454"/>
      <c r="AH19" s="1438" t="s">
        <v>561</v>
      </c>
      <c r="AI19" s="1438"/>
      <c r="AJ19" s="1438"/>
      <c r="AK19" s="1438"/>
      <c r="AL19" s="1438"/>
      <c r="AM19" s="561" t="s">
        <v>462</v>
      </c>
      <c r="AN19" s="1455" t="s">
        <v>706</v>
      </c>
      <c r="AO19" s="1455"/>
      <c r="AP19" s="1455"/>
      <c r="AQ19" s="1455"/>
      <c r="AR19" s="1455"/>
      <c r="AS19" s="1455"/>
      <c r="AT19" s="1455"/>
      <c r="AU19" s="1455"/>
      <c r="AV19" s="1455"/>
      <c r="AW19" s="1456" t="s">
        <v>733</v>
      </c>
      <c r="AX19" s="1456"/>
      <c r="AY19" s="1456"/>
      <c r="AZ19" s="1456"/>
      <c r="BA19" s="1456"/>
      <c r="BB19" s="1456"/>
      <c r="BC19" s="519" t="s">
        <v>462</v>
      </c>
      <c r="BD19" s="1496" t="s">
        <v>2730</v>
      </c>
      <c r="BE19" s="1496"/>
      <c r="BF19" s="1496"/>
      <c r="BG19" s="1496"/>
      <c r="BH19" s="1496"/>
      <c r="BI19" s="1496"/>
      <c r="BJ19" s="1496">
        <v>250</v>
      </c>
      <c r="BK19" s="1496"/>
      <c r="BL19" s="1496"/>
      <c r="BM19" s="1496"/>
      <c r="BN19" s="1496"/>
      <c r="BO19" s="1496"/>
      <c r="BP19" s="987"/>
      <c r="BQ19" s="520"/>
      <c r="BR19" s="254"/>
      <c r="BV19" s="71" t="s">
        <v>734</v>
      </c>
      <c r="BW19" s="71">
        <v>0</v>
      </c>
      <c r="BX19" s="71" t="s">
        <v>735</v>
      </c>
      <c r="BY19" s="71">
        <v>3</v>
      </c>
      <c r="CA19" s="71">
        <v>10</v>
      </c>
    </row>
    <row r="20" spans="1:101" ht="12.75" customHeight="1" x14ac:dyDescent="0.25">
      <c r="A20" s="1457" t="s">
        <v>736</v>
      </c>
      <c r="B20" s="1383" t="s">
        <v>737</v>
      </c>
      <c r="C20" s="1383"/>
      <c r="D20" s="1383"/>
      <c r="E20" s="1383"/>
      <c r="F20" s="1383"/>
      <c r="G20" s="1383"/>
      <c r="H20" s="1383"/>
      <c r="I20" s="1383"/>
      <c r="J20" s="1383"/>
      <c r="K20" s="1383"/>
      <c r="L20" s="1383"/>
      <c r="M20" s="1383"/>
      <c r="N20" s="1383"/>
      <c r="O20" s="1383"/>
      <c r="P20" s="1383"/>
      <c r="Q20" s="1383"/>
      <c r="R20" s="1383"/>
      <c r="S20" s="1383"/>
      <c r="T20" s="1383"/>
      <c r="U20" s="1383"/>
      <c r="V20" s="1383"/>
      <c r="W20" s="1383"/>
      <c r="X20" s="1383"/>
      <c r="Y20" s="1383"/>
      <c r="Z20" s="1383"/>
      <c r="AA20" s="1383"/>
      <c r="AB20" s="1383"/>
      <c r="AC20" s="1383"/>
      <c r="AD20" s="1383"/>
      <c r="AE20" s="1383"/>
      <c r="AF20" s="1383"/>
      <c r="AG20" s="1383"/>
      <c r="AH20" s="1383"/>
      <c r="AI20" s="1383"/>
      <c r="AJ20" s="1383"/>
      <c r="AK20" s="1383"/>
      <c r="AL20" s="1383"/>
      <c r="AM20" s="1383"/>
      <c r="AN20" s="1383"/>
      <c r="AO20" s="1458" t="s">
        <v>738</v>
      </c>
      <c r="AP20" s="1458"/>
      <c r="AQ20" s="1458"/>
      <c r="AR20" s="1458"/>
      <c r="AS20" s="1458"/>
      <c r="AT20" s="1458"/>
      <c r="AU20" s="1458"/>
      <c r="AV20" s="1458"/>
      <c r="AW20" s="1458"/>
      <c r="AX20" s="1458"/>
      <c r="AY20" s="1458"/>
      <c r="AZ20" s="1458"/>
      <c r="BA20" s="1458"/>
      <c r="BB20" s="1458"/>
      <c r="BC20" s="1458"/>
      <c r="BD20" s="1458"/>
      <c r="BE20" s="1458"/>
      <c r="BF20" s="1458"/>
      <c r="BG20" s="1458"/>
      <c r="BH20" s="1458"/>
      <c r="BI20" s="1458"/>
      <c r="BJ20" s="1458"/>
      <c r="BK20" s="1458"/>
      <c r="BL20" s="1458"/>
      <c r="BM20" s="1458"/>
      <c r="BN20" s="1458"/>
      <c r="BO20" s="1458"/>
      <c r="BP20" s="1458"/>
      <c r="BQ20" s="256"/>
      <c r="BR20" s="254"/>
      <c r="BV20" s="71" t="s">
        <v>528</v>
      </c>
      <c r="BW20" s="71" t="s">
        <v>739</v>
      </c>
      <c r="BX20" s="71" t="s">
        <v>111</v>
      </c>
      <c r="BY20" s="71">
        <v>3</v>
      </c>
      <c r="CA20" s="71">
        <v>10</v>
      </c>
    </row>
    <row r="21" spans="1:101" ht="13.5" x14ac:dyDescent="0.25">
      <c r="A21" s="1457"/>
      <c r="B21" s="1459" t="s">
        <v>740</v>
      </c>
      <c r="C21" s="1459"/>
      <c r="D21" s="1459"/>
      <c r="E21" s="1459"/>
      <c r="F21" s="1459"/>
      <c r="G21" s="252" t="s">
        <v>462</v>
      </c>
      <c r="H21" s="1460" t="s">
        <v>489</v>
      </c>
      <c r="I21" s="1460"/>
      <c r="J21" s="1461" t="s">
        <v>741</v>
      </c>
      <c r="K21" s="1461"/>
      <c r="L21" s="1461"/>
      <c r="M21" s="1461"/>
      <c r="N21" s="1461"/>
      <c r="O21" s="252" t="s">
        <v>462</v>
      </c>
      <c r="P21" s="1460" t="s">
        <v>699</v>
      </c>
      <c r="Q21" s="1460"/>
      <c r="R21" s="1460"/>
      <c r="S21" s="1461" t="s">
        <v>742</v>
      </c>
      <c r="T21" s="1461"/>
      <c r="U21" s="1461"/>
      <c r="V21" s="1461"/>
      <c r="W21" s="1461"/>
      <c r="X21" s="1461"/>
      <c r="Y21" s="1461"/>
      <c r="Z21" s="1461"/>
      <c r="AA21" s="252" t="s">
        <v>462</v>
      </c>
      <c r="AB21" s="1462" t="s">
        <v>699</v>
      </c>
      <c r="AC21" s="1462"/>
      <c r="AD21" s="257"/>
      <c r="AE21" s="258" t="s">
        <v>743</v>
      </c>
      <c r="AF21" s="258"/>
      <c r="AG21" s="258"/>
      <c r="AH21" s="258"/>
      <c r="AI21" s="258"/>
      <c r="AJ21" s="258"/>
      <c r="AK21" s="259" t="s">
        <v>462</v>
      </c>
      <c r="AL21" s="1460" t="s">
        <v>699</v>
      </c>
      <c r="AM21" s="1460"/>
      <c r="AN21" s="1463"/>
      <c r="AO21" s="1459" t="s">
        <v>744</v>
      </c>
      <c r="AP21" s="1459"/>
      <c r="AQ21" s="1459"/>
      <c r="AR21" s="1459"/>
      <c r="AS21" s="259" t="s">
        <v>462</v>
      </c>
      <c r="AT21" s="1464">
        <f>+'FICHA SOLIC'!K39</f>
        <v>0</v>
      </c>
      <c r="AU21" s="1464"/>
      <c r="AV21" s="1464"/>
      <c r="AW21" s="1464"/>
      <c r="AX21" s="1464"/>
      <c r="AY21" s="1464"/>
      <c r="AZ21" s="1464"/>
      <c r="BA21" s="1461" t="s">
        <v>745</v>
      </c>
      <c r="BB21" s="1461"/>
      <c r="BC21" s="1461"/>
      <c r="BD21" s="1461"/>
      <c r="BE21" s="1461"/>
      <c r="BF21" s="259" t="s">
        <v>462</v>
      </c>
      <c r="BG21" s="1465"/>
      <c r="BH21" s="1465"/>
      <c r="BI21" s="1465"/>
      <c r="BJ21" s="1465"/>
      <c r="BK21" s="1466"/>
      <c r="BL21" s="1466"/>
      <c r="BM21" s="1466"/>
      <c r="BN21" s="1466"/>
      <c r="BO21" s="1466"/>
      <c r="BP21" s="1466"/>
      <c r="BQ21" s="260"/>
      <c r="BR21" s="254"/>
      <c r="BV21" s="71" t="s">
        <v>505</v>
      </c>
      <c r="BX21" s="71" t="s">
        <v>111</v>
      </c>
      <c r="BY21" s="71">
        <v>4</v>
      </c>
      <c r="CA21" s="71">
        <v>20</v>
      </c>
    </row>
    <row r="22" spans="1:101" ht="13.5" customHeight="1" x14ac:dyDescent="0.25">
      <c r="A22" s="1457"/>
      <c r="B22" s="1417" t="s">
        <v>746</v>
      </c>
      <c r="C22" s="1417"/>
      <c r="D22" s="1417"/>
      <c r="E22" s="1417"/>
      <c r="F22" s="1417"/>
      <c r="G22" s="252" t="s">
        <v>462</v>
      </c>
      <c r="H22" s="1444" t="s">
        <v>699</v>
      </c>
      <c r="I22" s="1444"/>
      <c r="J22" s="1434" t="s">
        <v>747</v>
      </c>
      <c r="K22" s="1434"/>
      <c r="L22" s="1434"/>
      <c r="M22" s="1434"/>
      <c r="N22" s="1434"/>
      <c r="O22" s="252" t="s">
        <v>462</v>
      </c>
      <c r="P22" s="1444" t="s">
        <v>489</v>
      </c>
      <c r="Q22" s="1444"/>
      <c r="R22" s="986"/>
      <c r="S22" s="1434" t="s">
        <v>748</v>
      </c>
      <c r="T22" s="1434"/>
      <c r="U22" s="1434"/>
      <c r="V22" s="1434"/>
      <c r="W22" s="1434"/>
      <c r="X22" s="1434"/>
      <c r="Y22" s="1434"/>
      <c r="Z22" s="1434"/>
      <c r="AA22" s="252" t="s">
        <v>462</v>
      </c>
      <c r="AB22" s="1443" t="s">
        <v>699</v>
      </c>
      <c r="AC22" s="1443"/>
      <c r="AD22" s="261"/>
      <c r="AE22" s="262" t="s">
        <v>749</v>
      </c>
      <c r="AF22" s="262"/>
      <c r="AG22" s="262"/>
      <c r="AH22" s="262"/>
      <c r="AI22" s="262"/>
      <c r="AJ22" s="262"/>
      <c r="AK22" s="252" t="s">
        <v>462</v>
      </c>
      <c r="AL22" s="1444" t="s">
        <v>699</v>
      </c>
      <c r="AM22" s="1444"/>
      <c r="AN22" s="1444"/>
      <c r="AO22" s="1434" t="s">
        <v>750</v>
      </c>
      <c r="AP22" s="1417"/>
      <c r="AQ22" s="1417"/>
      <c r="AR22" s="1417"/>
      <c r="AS22" s="252" t="s">
        <v>462</v>
      </c>
      <c r="AT22" s="1450"/>
      <c r="AU22" s="1450"/>
      <c r="AV22" s="1450"/>
      <c r="AW22" s="1450"/>
      <c r="AX22" s="1450"/>
      <c r="AY22" s="1450"/>
      <c r="AZ22" s="1451"/>
      <c r="BA22" s="1434" t="s">
        <v>751</v>
      </c>
      <c r="BB22" s="1434"/>
      <c r="BC22" s="1434"/>
      <c r="BD22" s="1434"/>
      <c r="BE22" s="1434"/>
      <c r="BF22" s="252" t="s">
        <v>462</v>
      </c>
      <c r="BG22" s="1449"/>
      <c r="BH22" s="1449"/>
      <c r="BI22" s="1449"/>
      <c r="BJ22" s="1449"/>
      <c r="BK22" s="1466"/>
      <c r="BL22" s="1466"/>
      <c r="BM22" s="1466"/>
      <c r="BN22" s="1466"/>
      <c r="BO22" s="1466"/>
      <c r="BP22" s="1466"/>
      <c r="BQ22" s="263"/>
      <c r="BR22" s="254"/>
      <c r="BV22" s="71" t="s">
        <v>502</v>
      </c>
      <c r="BX22" s="71" t="s">
        <v>707</v>
      </c>
      <c r="BY22" s="71">
        <v>3</v>
      </c>
      <c r="BZ22" s="71">
        <v>1</v>
      </c>
      <c r="CA22" s="71">
        <v>20</v>
      </c>
    </row>
    <row r="23" spans="1:101" ht="13.5" customHeight="1" x14ac:dyDescent="0.25">
      <c r="A23" s="1457"/>
      <c r="B23" s="1417" t="s">
        <v>752</v>
      </c>
      <c r="C23" s="1417"/>
      <c r="D23" s="1417"/>
      <c r="E23" s="1417"/>
      <c r="F23" s="1417"/>
      <c r="G23" s="252" t="s">
        <v>462</v>
      </c>
      <c r="H23" s="1444" t="s">
        <v>699</v>
      </c>
      <c r="I23" s="1444"/>
      <c r="J23" s="1434" t="s">
        <v>753</v>
      </c>
      <c r="K23" s="1434"/>
      <c r="L23" s="1434"/>
      <c r="M23" s="1434"/>
      <c r="N23" s="1434"/>
      <c r="O23" s="252" t="s">
        <v>462</v>
      </c>
      <c r="P23" s="1444" t="s">
        <v>699</v>
      </c>
      <c r="Q23" s="1444"/>
      <c r="R23" s="1444"/>
      <c r="S23" s="1434" t="s">
        <v>754</v>
      </c>
      <c r="T23" s="1434"/>
      <c r="U23" s="1434"/>
      <c r="V23" s="1434"/>
      <c r="W23" s="1434"/>
      <c r="X23" s="1434"/>
      <c r="Y23" s="1434"/>
      <c r="Z23" s="1434"/>
      <c r="AA23" s="252" t="s">
        <v>462</v>
      </c>
      <c r="AB23" s="1443" t="s">
        <v>699</v>
      </c>
      <c r="AC23" s="1443"/>
      <c r="AD23" s="261"/>
      <c r="AE23" s="262" t="s">
        <v>755</v>
      </c>
      <c r="AF23" s="262"/>
      <c r="AG23" s="262"/>
      <c r="AH23" s="262"/>
      <c r="AI23" s="262"/>
      <c r="AJ23" s="262"/>
      <c r="AK23" s="252" t="s">
        <v>462</v>
      </c>
      <c r="AL23" s="1444" t="s">
        <v>699</v>
      </c>
      <c r="AM23" s="1444"/>
      <c r="AN23" s="1444"/>
      <c r="AO23" s="1434" t="s">
        <v>756</v>
      </c>
      <c r="AP23" s="1417"/>
      <c r="AQ23" s="1417"/>
      <c r="AR23" s="1417"/>
      <c r="AS23" s="252" t="s">
        <v>462</v>
      </c>
      <c r="AT23" s="1450"/>
      <c r="AU23" s="1450"/>
      <c r="AV23" s="1450"/>
      <c r="AW23" s="1450"/>
      <c r="AX23" s="1450"/>
      <c r="AY23" s="1450"/>
      <c r="AZ23" s="1451"/>
      <c r="BA23" s="1434" t="s">
        <v>757</v>
      </c>
      <c r="BB23" s="1434"/>
      <c r="BC23" s="1434"/>
      <c r="BD23" s="1434"/>
      <c r="BE23" s="1434"/>
      <c r="BF23" s="252" t="s">
        <v>462</v>
      </c>
      <c r="BG23" s="1449"/>
      <c r="BH23" s="1449"/>
      <c r="BI23" s="1449"/>
      <c r="BJ23" s="1449"/>
      <c r="BK23" s="1433"/>
      <c r="BL23" s="1433"/>
      <c r="BM23" s="1433"/>
      <c r="BN23" s="1433"/>
      <c r="BO23" s="1433"/>
      <c r="BP23" s="1433"/>
      <c r="BQ23" s="263"/>
      <c r="BR23" s="254"/>
      <c r="BV23" s="71" t="s">
        <v>583</v>
      </c>
      <c r="BX23" s="71" t="s">
        <v>735</v>
      </c>
      <c r="BY23" s="71">
        <v>3</v>
      </c>
      <c r="CA23" s="71">
        <v>20</v>
      </c>
    </row>
    <row r="24" spans="1:101" ht="12" customHeight="1" x14ac:dyDescent="0.25">
      <c r="A24" s="1457"/>
      <c r="B24" s="1438" t="s">
        <v>758</v>
      </c>
      <c r="C24" s="1438"/>
      <c r="D24" s="1438"/>
      <c r="E24" s="1438"/>
      <c r="F24" s="1438"/>
      <c r="G24" s="603" t="s">
        <v>462</v>
      </c>
      <c r="H24" s="1439" t="str">
        <f>IF(tipoPropiedad="departamento",IF(OR(ooccAdBXC&lt;&gt;0,ooccAdBXU&lt;&gt;0),"SI","NO"),"")</f>
        <v>NO</v>
      </c>
      <c r="I24" s="1439"/>
      <c r="J24" s="1440" t="s">
        <v>759</v>
      </c>
      <c r="K24" s="1440"/>
      <c r="L24" s="1440"/>
      <c r="M24" s="1440"/>
      <c r="N24" s="1440"/>
      <c r="O24" s="603" t="s">
        <v>462</v>
      </c>
      <c r="P24" s="1441" t="str">
        <f>IF(tipoPropiedad="departamento",IF(ooccBD&lt;&gt;0,"SI","NO"),"")</f>
        <v>NO</v>
      </c>
      <c r="Q24" s="1441"/>
      <c r="R24" s="1441"/>
      <c r="S24" s="1442" t="s">
        <v>760</v>
      </c>
      <c r="T24" s="1442"/>
      <c r="U24" s="1442"/>
      <c r="V24" s="1442"/>
      <c r="W24" s="1442"/>
      <c r="X24" s="1442"/>
      <c r="Y24" s="1442"/>
      <c r="Z24" s="1442"/>
      <c r="AA24" s="251" t="s">
        <v>462</v>
      </c>
      <c r="AB24" s="1443" t="s">
        <v>699</v>
      </c>
      <c r="AC24" s="1443"/>
      <c r="AD24" s="264"/>
      <c r="AE24" s="265" t="s">
        <v>761</v>
      </c>
      <c r="AF24" s="265"/>
      <c r="AG24" s="265"/>
      <c r="AH24" s="265"/>
      <c r="AI24" s="265"/>
      <c r="AJ24" s="265"/>
      <c r="AK24" s="251" t="s">
        <v>462</v>
      </c>
      <c r="AL24" s="1444" t="s">
        <v>699</v>
      </c>
      <c r="AM24" s="1444"/>
      <c r="AN24" s="1445"/>
      <c r="AO24" s="1446" t="s">
        <v>762</v>
      </c>
      <c r="AP24" s="1446"/>
      <c r="AQ24" s="1446"/>
      <c r="AR24" s="1446"/>
      <c r="AS24" s="251" t="s">
        <v>462</v>
      </c>
      <c r="AT24" s="1447"/>
      <c r="AU24" s="1447"/>
      <c r="AV24" s="1447"/>
      <c r="AW24" s="1447"/>
      <c r="AX24" s="1447"/>
      <c r="AY24" s="1447"/>
      <c r="AZ24" s="1448"/>
      <c r="BA24" s="1434" t="s">
        <v>763</v>
      </c>
      <c r="BB24" s="1434"/>
      <c r="BC24" s="1434"/>
      <c r="BD24" s="1434"/>
      <c r="BE24" s="1434"/>
      <c r="BF24" s="251" t="s">
        <v>462</v>
      </c>
      <c r="BG24" s="1435"/>
      <c r="BH24" s="1435"/>
      <c r="BI24" s="1435"/>
      <c r="BJ24" s="1435"/>
      <c r="BK24" s="1436">
        <f>+IF(AND(AT21&gt;0,OR(BG23&gt;0,BG24&gt;0)), (BG21+BG22)/(BG23+BG24),0)</f>
        <v>0</v>
      </c>
      <c r="BL24" s="1436"/>
      <c r="BM24" s="1436"/>
      <c r="BN24" s="1436"/>
      <c r="BO24" s="1436"/>
      <c r="BP24" s="1436"/>
      <c r="BQ24" s="263"/>
      <c r="BR24" s="254"/>
      <c r="BV24" s="71" t="s">
        <v>585</v>
      </c>
      <c r="BX24" s="71" t="s">
        <v>735</v>
      </c>
      <c r="BY24" s="71">
        <v>3</v>
      </c>
      <c r="CA24" s="71">
        <v>20</v>
      </c>
    </row>
    <row r="25" spans="1:101" ht="12" customHeight="1" x14ac:dyDescent="0.25">
      <c r="A25" s="1457"/>
      <c r="B25" s="1383" t="s">
        <v>1103</v>
      </c>
      <c r="C25" s="1383"/>
      <c r="D25" s="1383"/>
      <c r="E25" s="1383"/>
      <c r="F25" s="1383"/>
      <c r="G25" s="1383"/>
      <c r="H25" s="1432"/>
      <c r="I25" s="1432"/>
      <c r="J25" s="1432"/>
      <c r="K25" s="1432"/>
      <c r="L25" s="1432"/>
      <c r="M25" s="1432"/>
      <c r="N25" s="1432"/>
      <c r="O25" s="1432"/>
      <c r="P25" s="1432"/>
      <c r="Q25" s="1432"/>
      <c r="R25" s="1432"/>
      <c r="S25" s="1432"/>
      <c r="T25" s="1432"/>
      <c r="U25" s="1432"/>
      <c r="V25" s="1432"/>
      <c r="W25" s="1432"/>
      <c r="X25" s="1432"/>
      <c r="Y25" s="1432"/>
      <c r="Z25" s="1432"/>
      <c r="AA25" s="1432"/>
      <c r="AB25" s="1432"/>
      <c r="AC25" s="1432"/>
      <c r="AD25" s="1432"/>
      <c r="AE25" s="1432"/>
      <c r="AF25" s="1432"/>
      <c r="AG25" s="1432"/>
      <c r="AH25" s="1432"/>
      <c r="AI25" s="1432"/>
      <c r="AJ25" s="1432"/>
      <c r="AK25" s="1432"/>
      <c r="AL25" s="1432"/>
      <c r="AM25" s="1432"/>
      <c r="AN25" s="1432"/>
      <c r="AO25" s="1432"/>
      <c r="AP25" s="1432"/>
      <c r="AQ25" s="1432"/>
      <c r="AR25" s="1432"/>
      <c r="AS25" s="1432"/>
      <c r="AT25" s="1432"/>
      <c r="AU25" s="1432"/>
      <c r="AV25" s="1432"/>
      <c r="AW25" s="1432"/>
      <c r="AX25" s="1432"/>
      <c r="AY25" s="1432"/>
      <c r="AZ25" s="1432"/>
      <c r="BA25" s="1432"/>
      <c r="BB25" s="1432"/>
      <c r="BC25" s="1432"/>
      <c r="BD25" s="1432"/>
      <c r="BE25" s="1432"/>
      <c r="BF25" s="1432"/>
      <c r="BG25" s="1432"/>
      <c r="BH25" s="1432"/>
      <c r="BI25" s="1432"/>
      <c r="BJ25" s="1432"/>
      <c r="BK25" s="1432"/>
      <c r="BL25" s="1432"/>
      <c r="BM25" s="1432"/>
      <c r="BN25" s="1432"/>
      <c r="BO25" s="1432"/>
      <c r="BP25" s="1432"/>
      <c r="BQ25" s="263"/>
      <c r="BR25" s="254"/>
      <c r="BV25" s="71" t="s">
        <v>493</v>
      </c>
      <c r="BW25" s="71" t="s">
        <v>494</v>
      </c>
      <c r="BX25" s="71" t="s">
        <v>111</v>
      </c>
      <c r="BY25" s="71">
        <v>4</v>
      </c>
      <c r="BZ25" s="71">
        <v>0</v>
      </c>
      <c r="CA25" s="71">
        <v>20</v>
      </c>
    </row>
    <row r="26" spans="1:101" ht="12" customHeight="1" x14ac:dyDescent="0.25">
      <c r="A26" s="1457"/>
      <c r="B26" s="1417" t="s">
        <v>1098</v>
      </c>
      <c r="C26" s="1417"/>
      <c r="D26" s="1417"/>
      <c r="E26" s="1417"/>
      <c r="F26" s="1417"/>
      <c r="G26" s="252" t="s">
        <v>462</v>
      </c>
      <c r="H26" s="1418" t="s">
        <v>1107</v>
      </c>
      <c r="I26" s="1391"/>
      <c r="J26" s="1391"/>
      <c r="K26" s="1391"/>
      <c r="L26" s="1391"/>
      <c r="M26" s="1419"/>
      <c r="N26" s="1418" t="s">
        <v>1106</v>
      </c>
      <c r="O26" s="1391"/>
      <c r="P26" s="1391"/>
      <c r="Q26" s="1391"/>
      <c r="R26" s="1391"/>
      <c r="S26" s="1419"/>
      <c r="T26" s="1388"/>
      <c r="U26" s="1389"/>
      <c r="V26" s="1389"/>
      <c r="W26" s="1389"/>
      <c r="X26" s="1390"/>
      <c r="Y26" s="1418" t="s">
        <v>1108</v>
      </c>
      <c r="Z26" s="1391"/>
      <c r="AA26" s="1391"/>
      <c r="AB26" s="1391"/>
      <c r="AC26" s="1391"/>
      <c r="AD26" s="1391"/>
      <c r="AE26" s="1391"/>
      <c r="AF26" s="1419"/>
      <c r="AG26" s="1418"/>
      <c r="AH26" s="1391"/>
      <c r="AI26" s="1391"/>
      <c r="AJ26" s="1391"/>
      <c r="AK26" s="1391"/>
      <c r="AL26" s="1391"/>
      <c r="AM26" s="1391" t="s">
        <v>1101</v>
      </c>
      <c r="AN26" s="1391"/>
      <c r="AO26" s="1391"/>
      <c r="AP26" s="1391"/>
      <c r="AQ26" s="1389"/>
      <c r="AR26" s="1389"/>
      <c r="AS26" s="1389"/>
      <c r="AT26" s="1389"/>
      <c r="AU26" s="1389"/>
      <c r="AV26" s="1389"/>
      <c r="AW26" s="1389"/>
      <c r="AX26" s="1389"/>
      <c r="AY26" s="1389"/>
      <c r="AZ26" s="1390"/>
      <c r="BA26" s="1418" t="s">
        <v>1102</v>
      </c>
      <c r="BB26" s="1391"/>
      <c r="BC26" s="1391"/>
      <c r="BD26" s="1391"/>
      <c r="BE26" s="1391"/>
      <c r="BF26" s="1391"/>
      <c r="BG26" s="1391"/>
      <c r="BH26" s="1381"/>
      <c r="BI26" s="1381"/>
      <c r="BJ26" s="1381"/>
      <c r="BK26" s="1381"/>
      <c r="BL26" s="1381"/>
      <c r="BM26" s="1381"/>
      <c r="BN26" s="1381"/>
      <c r="BO26" s="1381"/>
      <c r="BP26" s="1382"/>
      <c r="BQ26" s="266"/>
      <c r="BR26" s="254"/>
      <c r="BV26" s="71" t="s">
        <v>781</v>
      </c>
      <c r="BY26" s="71">
        <v>3</v>
      </c>
      <c r="CA26" s="71">
        <v>20</v>
      </c>
    </row>
    <row r="27" spans="1:101" ht="12" customHeight="1" x14ac:dyDescent="0.25">
      <c r="A27" s="1457"/>
      <c r="B27" s="1417" t="s">
        <v>1099</v>
      </c>
      <c r="C27" s="1417"/>
      <c r="D27" s="1417"/>
      <c r="E27" s="1417"/>
      <c r="F27" s="1417"/>
      <c r="G27" s="252" t="s">
        <v>462</v>
      </c>
      <c r="H27" s="1418" t="s">
        <v>1107</v>
      </c>
      <c r="I27" s="1391"/>
      <c r="J27" s="1391"/>
      <c r="K27" s="1391"/>
      <c r="L27" s="1391"/>
      <c r="M27" s="1419"/>
      <c r="N27" s="1418" t="s">
        <v>1106</v>
      </c>
      <c r="O27" s="1391"/>
      <c r="P27" s="1391"/>
      <c r="Q27" s="1391"/>
      <c r="R27" s="1391"/>
      <c r="S27" s="1419"/>
      <c r="T27" s="1388"/>
      <c r="U27" s="1389"/>
      <c r="V27" s="1389"/>
      <c r="W27" s="1389"/>
      <c r="X27" s="1390"/>
      <c r="Y27" s="1418" t="s">
        <v>1108</v>
      </c>
      <c r="Z27" s="1391"/>
      <c r="AA27" s="1391"/>
      <c r="AB27" s="1391"/>
      <c r="AC27" s="1391"/>
      <c r="AD27" s="1391"/>
      <c r="AE27" s="1391"/>
      <c r="AF27" s="1419"/>
      <c r="AG27" s="1418"/>
      <c r="AH27" s="1391"/>
      <c r="AI27" s="1391"/>
      <c r="AJ27" s="1391"/>
      <c r="AK27" s="1391"/>
      <c r="AL27" s="1391"/>
      <c r="AM27" s="1391" t="s">
        <v>1101</v>
      </c>
      <c r="AN27" s="1391"/>
      <c r="AO27" s="1391"/>
      <c r="AP27" s="1391"/>
      <c r="AQ27" s="1389"/>
      <c r="AR27" s="1389"/>
      <c r="AS27" s="1389"/>
      <c r="AT27" s="1389"/>
      <c r="AU27" s="1389"/>
      <c r="AV27" s="1389"/>
      <c r="AW27" s="1389"/>
      <c r="AX27" s="1389"/>
      <c r="AY27" s="1389"/>
      <c r="AZ27" s="1390"/>
      <c r="BA27" s="1418" t="s">
        <v>1102</v>
      </c>
      <c r="BB27" s="1391"/>
      <c r="BC27" s="1391"/>
      <c r="BD27" s="1391"/>
      <c r="BE27" s="1391"/>
      <c r="BF27" s="1391"/>
      <c r="BG27" s="1391"/>
      <c r="BH27" s="1381"/>
      <c r="BI27" s="1381"/>
      <c r="BJ27" s="1381"/>
      <c r="BK27" s="1381"/>
      <c r="BL27" s="1381"/>
      <c r="BM27" s="1381"/>
      <c r="BN27" s="1381"/>
      <c r="BO27" s="1381"/>
      <c r="BP27" s="1382"/>
      <c r="BQ27" s="260"/>
      <c r="BR27" s="254"/>
      <c r="BV27" s="71" t="s">
        <v>486</v>
      </c>
      <c r="BW27" s="71" t="s">
        <v>487</v>
      </c>
      <c r="BX27" s="71" t="s">
        <v>111</v>
      </c>
      <c r="BY27" s="71">
        <v>2</v>
      </c>
      <c r="CA27" s="71">
        <v>10</v>
      </c>
    </row>
    <row r="28" spans="1:101" ht="12" customHeight="1" x14ac:dyDescent="0.25">
      <c r="A28" s="1457"/>
      <c r="B28" s="1417" t="s">
        <v>1100</v>
      </c>
      <c r="C28" s="1417"/>
      <c r="D28" s="1417"/>
      <c r="E28" s="1417"/>
      <c r="F28" s="1417"/>
      <c r="G28" s="267" t="s">
        <v>462</v>
      </c>
      <c r="H28" s="1418" t="s">
        <v>1107</v>
      </c>
      <c r="I28" s="1391"/>
      <c r="J28" s="1391"/>
      <c r="K28" s="1391"/>
      <c r="L28" s="1391"/>
      <c r="M28" s="1419"/>
      <c r="N28" s="1418" t="s">
        <v>1106</v>
      </c>
      <c r="O28" s="1391"/>
      <c r="P28" s="1391"/>
      <c r="Q28" s="1391"/>
      <c r="R28" s="1391"/>
      <c r="S28" s="1419"/>
      <c r="T28" s="1388"/>
      <c r="U28" s="1389"/>
      <c r="V28" s="1389"/>
      <c r="W28" s="1389"/>
      <c r="X28" s="1390"/>
      <c r="Y28" s="1418" t="s">
        <v>1108</v>
      </c>
      <c r="Z28" s="1391"/>
      <c r="AA28" s="1391"/>
      <c r="AB28" s="1391"/>
      <c r="AC28" s="1391"/>
      <c r="AD28" s="1391"/>
      <c r="AE28" s="1391"/>
      <c r="AF28" s="1419"/>
      <c r="AG28" s="1418"/>
      <c r="AH28" s="1391"/>
      <c r="AI28" s="1391"/>
      <c r="AJ28" s="1391"/>
      <c r="AK28" s="1391"/>
      <c r="AL28" s="1391"/>
      <c r="AM28" s="1391" t="s">
        <v>1101</v>
      </c>
      <c r="AN28" s="1391"/>
      <c r="AO28" s="1391"/>
      <c r="AP28" s="1391"/>
      <c r="AQ28" s="1389"/>
      <c r="AR28" s="1389"/>
      <c r="AS28" s="1389"/>
      <c r="AT28" s="1389"/>
      <c r="AU28" s="1389"/>
      <c r="AV28" s="1389"/>
      <c r="AW28" s="1389"/>
      <c r="AX28" s="1389"/>
      <c r="AY28" s="1389"/>
      <c r="AZ28" s="1390"/>
      <c r="BA28" s="1418" t="s">
        <v>1102</v>
      </c>
      <c r="BB28" s="1391"/>
      <c r="BC28" s="1391"/>
      <c r="BD28" s="1391"/>
      <c r="BE28" s="1391"/>
      <c r="BF28" s="1391"/>
      <c r="BG28" s="1391"/>
      <c r="BH28" s="1381"/>
      <c r="BI28" s="1381"/>
      <c r="BJ28" s="1381"/>
      <c r="BK28" s="1381"/>
      <c r="BL28" s="1381"/>
      <c r="BM28" s="1381"/>
      <c r="BN28" s="1381"/>
      <c r="BO28" s="1381"/>
      <c r="BP28" s="1382"/>
      <c r="BQ28" s="263"/>
      <c r="BR28" s="254"/>
      <c r="BV28" s="71" t="s">
        <v>784</v>
      </c>
      <c r="BW28" s="71" t="s">
        <v>487</v>
      </c>
      <c r="BX28" s="71" t="s">
        <v>707</v>
      </c>
      <c r="BY28" s="71">
        <v>3</v>
      </c>
      <c r="CA28" s="71">
        <v>10</v>
      </c>
    </row>
    <row r="29" spans="1:101" ht="15" x14ac:dyDescent="0.25">
      <c r="A29" s="1457"/>
      <c r="B29" s="1383" t="s">
        <v>764</v>
      </c>
      <c r="C29" s="1383"/>
      <c r="D29" s="1383"/>
      <c r="E29" s="1383"/>
      <c r="F29" s="1383"/>
      <c r="G29" s="1383"/>
      <c r="H29" s="1432" t="s">
        <v>765</v>
      </c>
      <c r="I29" s="1432"/>
      <c r="J29" s="1432"/>
      <c r="K29" s="1432" t="s">
        <v>766</v>
      </c>
      <c r="L29" s="1432"/>
      <c r="M29" s="1432"/>
      <c r="N29" s="1432" t="s">
        <v>767</v>
      </c>
      <c r="O29" s="1432"/>
      <c r="P29" s="1432"/>
      <c r="Q29" s="1432"/>
      <c r="R29" s="1432" t="s">
        <v>768</v>
      </c>
      <c r="S29" s="1432"/>
      <c r="T29" s="1432"/>
      <c r="U29" s="1432" t="s">
        <v>769</v>
      </c>
      <c r="V29" s="1432"/>
      <c r="W29" s="1432"/>
      <c r="X29" s="1432"/>
      <c r="Y29" s="1432" t="s">
        <v>770</v>
      </c>
      <c r="Z29" s="1432"/>
      <c r="AA29" s="1432"/>
      <c r="AB29" s="1432"/>
      <c r="AC29" s="1432" t="s">
        <v>771</v>
      </c>
      <c r="AD29" s="1432"/>
      <c r="AE29" s="1432"/>
      <c r="AF29" s="1432"/>
      <c r="AG29" s="1432" t="s">
        <v>772</v>
      </c>
      <c r="AH29" s="1432"/>
      <c r="AI29" s="1432"/>
      <c r="AJ29" s="1432"/>
      <c r="AK29" s="1437" t="s">
        <v>773</v>
      </c>
      <c r="AL29" s="1437"/>
      <c r="AM29" s="1437"/>
      <c r="AN29" s="1437"/>
      <c r="AO29" s="1437"/>
      <c r="AP29" s="1437" t="s">
        <v>774</v>
      </c>
      <c r="AQ29" s="1437"/>
      <c r="AR29" s="1437"/>
      <c r="AS29" s="1432" t="s">
        <v>775</v>
      </c>
      <c r="AT29" s="1432"/>
      <c r="AU29" s="1432"/>
      <c r="AV29" s="1432"/>
      <c r="AW29" s="1432" t="s">
        <v>776</v>
      </c>
      <c r="AX29" s="1432"/>
      <c r="AY29" s="1432"/>
      <c r="AZ29" s="1432"/>
      <c r="BA29" s="1432" t="s">
        <v>777</v>
      </c>
      <c r="BB29" s="1432"/>
      <c r="BC29" s="1432"/>
      <c r="BD29" s="1432"/>
      <c r="BE29" s="1432"/>
      <c r="BF29" s="1432" t="s">
        <v>778</v>
      </c>
      <c r="BG29" s="1432"/>
      <c r="BH29" s="1432"/>
      <c r="BI29" s="1432"/>
      <c r="BJ29" s="1432"/>
      <c r="BK29" s="1432" t="s">
        <v>779</v>
      </c>
      <c r="BL29" s="1432"/>
      <c r="BM29" s="1432"/>
      <c r="BN29" s="1432"/>
      <c r="BO29" s="1432"/>
      <c r="BP29" s="1432"/>
      <c r="BQ29" s="263"/>
      <c r="BR29" s="254"/>
      <c r="BT29" s="1018"/>
      <c r="BU29" s="1018"/>
      <c r="BV29" s="1019" t="s">
        <v>598</v>
      </c>
      <c r="BW29" s="1018"/>
      <c r="BX29" s="1019" t="s">
        <v>707</v>
      </c>
      <c r="BY29" s="1019">
        <v>3</v>
      </c>
      <c r="BZ29" s="1019">
        <v>1</v>
      </c>
      <c r="CA29" s="1019">
        <v>10</v>
      </c>
      <c r="CB29" s="1019">
        <v>1</v>
      </c>
      <c r="CC29" s="1018"/>
      <c r="CD29" s="1018"/>
      <c r="CE29" s="1018"/>
      <c r="CF29" s="1018"/>
      <c r="CG29" s="1018"/>
      <c r="CH29" s="1018"/>
      <c r="CI29" s="1018"/>
      <c r="CJ29" s="1018"/>
      <c r="CK29" s="1018"/>
      <c r="CL29" s="1018"/>
      <c r="CM29" s="1018"/>
      <c r="CN29" s="1018"/>
      <c r="CO29" s="1018"/>
      <c r="CP29" s="1018"/>
      <c r="CQ29" s="1018"/>
      <c r="CR29" s="1018"/>
      <c r="CS29" s="1018"/>
      <c r="CT29" s="1018"/>
      <c r="CU29" s="1018"/>
      <c r="CV29" s="1020" t="s">
        <v>2630</v>
      </c>
      <c r="CW29" s="1020"/>
    </row>
    <row r="30" spans="1:101" ht="13.5" x14ac:dyDescent="0.25">
      <c r="A30" s="1457"/>
      <c r="B30" s="1400" t="s">
        <v>780</v>
      </c>
      <c r="C30" s="1400"/>
      <c r="D30" s="1400"/>
      <c r="E30" s="1400"/>
      <c r="F30" s="1400"/>
      <c r="G30" s="252" t="s">
        <v>462</v>
      </c>
      <c r="H30" s="1418"/>
      <c r="I30" s="1418"/>
      <c r="J30" s="1418"/>
      <c r="K30" s="1409"/>
      <c r="L30" s="1409"/>
      <c r="M30" s="1409"/>
      <c r="N30" s="1409"/>
      <c r="O30" s="1409"/>
      <c r="P30" s="1409"/>
      <c r="Q30" s="1409"/>
      <c r="R30" s="1412"/>
      <c r="S30" s="1412"/>
      <c r="T30" s="1412"/>
      <c r="U30" s="1409"/>
      <c r="V30" s="1409"/>
      <c r="W30" s="1409"/>
      <c r="X30" s="1409"/>
      <c r="Y30" s="1409"/>
      <c r="Z30" s="1409"/>
      <c r="AA30" s="1409"/>
      <c r="AB30" s="1409"/>
      <c r="AC30" s="1409"/>
      <c r="AD30" s="1409"/>
      <c r="AE30" s="1409"/>
      <c r="AF30" s="1409"/>
      <c r="AG30" s="1409"/>
      <c r="AH30" s="1409"/>
      <c r="AI30" s="1409"/>
      <c r="AJ30" s="1409"/>
      <c r="AK30" s="1409"/>
      <c r="AL30" s="1409"/>
      <c r="AM30" s="1409"/>
      <c r="AN30" s="1409"/>
      <c r="AO30" s="1409"/>
      <c r="AP30" s="1412"/>
      <c r="AQ30" s="1412"/>
      <c r="AR30" s="1412"/>
      <c r="AS30" s="1409"/>
      <c r="AT30" s="1409"/>
      <c r="AU30" s="1409"/>
      <c r="AV30" s="1409"/>
      <c r="AW30" s="1409"/>
      <c r="AX30" s="1409"/>
      <c r="AY30" s="1409"/>
      <c r="AZ30" s="1409"/>
      <c r="BA30" s="1409"/>
      <c r="BB30" s="1409"/>
      <c r="BC30" s="1409"/>
      <c r="BD30" s="1409"/>
      <c r="BE30" s="1409"/>
      <c r="BF30" s="1409"/>
      <c r="BG30" s="1409"/>
      <c r="BH30" s="1409"/>
      <c r="BI30" s="1409"/>
      <c r="BJ30" s="1409"/>
      <c r="BK30" s="1416" t="str">
        <f>IF(tipoPropiedad="Departamento","",m2sup1)</f>
        <v/>
      </c>
      <c r="BL30" s="1416"/>
      <c r="BM30" s="1416"/>
      <c r="BN30" s="1416"/>
      <c r="BO30" s="1416"/>
      <c r="BP30" s="1416"/>
      <c r="BQ30" s="269"/>
      <c r="BR30" s="254"/>
      <c r="BT30" s="1018"/>
      <c r="BU30" s="1018"/>
      <c r="BV30" s="1019" t="s">
        <v>597</v>
      </c>
      <c r="BW30" s="1018"/>
      <c r="BX30" s="1019" t="s">
        <v>735</v>
      </c>
      <c r="BY30" s="1019">
        <v>3</v>
      </c>
      <c r="BZ30" s="1019">
        <v>1</v>
      </c>
      <c r="CA30" s="1019">
        <v>20</v>
      </c>
      <c r="CB30" s="1018"/>
      <c r="CC30" s="1018"/>
      <c r="CD30" s="1018"/>
      <c r="CE30" s="1018"/>
      <c r="CF30" s="1018"/>
      <c r="CG30" s="1018"/>
      <c r="CH30" s="1018"/>
      <c r="CI30" s="1018"/>
      <c r="CJ30" s="1018"/>
      <c r="CK30" s="1018"/>
      <c r="CL30" s="1018"/>
      <c r="CM30" s="1018"/>
      <c r="CN30" s="1018"/>
      <c r="CO30" s="1018"/>
      <c r="CP30" s="1018"/>
      <c r="CQ30" s="1018"/>
      <c r="CR30" s="1018"/>
      <c r="CS30" s="1018"/>
      <c r="CT30" s="1018"/>
      <c r="CU30" s="1018"/>
      <c r="CV30" s="1016" t="str">
        <f>+IF(BK34=Portada!AN59,"OK","ERROR")</f>
        <v>OK</v>
      </c>
      <c r="CW30" s="1020"/>
    </row>
    <row r="31" spans="1:101" ht="13.5" x14ac:dyDescent="0.25">
      <c r="A31" s="1457"/>
      <c r="B31" s="1400" t="s">
        <v>782</v>
      </c>
      <c r="C31" s="1400"/>
      <c r="D31" s="1400"/>
      <c r="E31" s="1400"/>
      <c r="F31" s="1400"/>
      <c r="G31" s="252" t="s">
        <v>462</v>
      </c>
      <c r="H31" s="1418">
        <v>1</v>
      </c>
      <c r="I31" s="1418"/>
      <c r="J31" s="1418"/>
      <c r="K31" s="1409">
        <v>1</v>
      </c>
      <c r="L31" s="1409"/>
      <c r="M31" s="1409"/>
      <c r="N31" s="1409"/>
      <c r="O31" s="1409"/>
      <c r="P31" s="1409"/>
      <c r="Q31" s="1409"/>
      <c r="R31" s="1412"/>
      <c r="S31" s="1412"/>
      <c r="T31" s="1412"/>
      <c r="U31" s="1409"/>
      <c r="V31" s="1409"/>
      <c r="W31" s="1409"/>
      <c r="X31" s="1409"/>
      <c r="Y31" s="1409">
        <v>2</v>
      </c>
      <c r="Z31" s="1409"/>
      <c r="AA31" s="1409"/>
      <c r="AB31" s="1409"/>
      <c r="AC31" s="1409"/>
      <c r="AD31" s="1409"/>
      <c r="AE31" s="1409"/>
      <c r="AF31" s="1409"/>
      <c r="AG31" s="1409">
        <v>1</v>
      </c>
      <c r="AH31" s="1409"/>
      <c r="AI31" s="1409"/>
      <c r="AJ31" s="1409"/>
      <c r="AK31" s="1409"/>
      <c r="AL31" s="1409"/>
      <c r="AM31" s="1409"/>
      <c r="AN31" s="1409"/>
      <c r="AO31" s="1409"/>
      <c r="AP31" s="1412">
        <v>1</v>
      </c>
      <c r="AQ31" s="1412"/>
      <c r="AR31" s="1412"/>
      <c r="AS31" s="1409"/>
      <c r="AT31" s="1409"/>
      <c r="AU31" s="1409"/>
      <c r="AV31" s="1409"/>
      <c r="AW31" s="1409"/>
      <c r="AX31" s="1409"/>
      <c r="AY31" s="1409"/>
      <c r="AZ31" s="1409"/>
      <c r="BA31" s="1409"/>
      <c r="BB31" s="1409"/>
      <c r="BC31" s="1409"/>
      <c r="BD31" s="1409"/>
      <c r="BE31" s="1409"/>
      <c r="BF31" s="1409"/>
      <c r="BG31" s="1409"/>
      <c r="BH31" s="1409"/>
      <c r="BI31" s="1409"/>
      <c r="BJ31" s="1409"/>
      <c r="BK31" s="1410">
        <f>IF(tipoPropiedad="Departamento",m2sup1+m2sup3,m2sup2)</f>
        <v>41</v>
      </c>
      <c r="BL31" s="1410"/>
      <c r="BM31" s="1410"/>
      <c r="BN31" s="1410"/>
      <c r="BO31" s="1410"/>
      <c r="BP31" s="1410"/>
      <c r="BQ31" s="270"/>
      <c r="BR31" s="254"/>
      <c r="BV31" s="71" t="s">
        <v>794</v>
      </c>
      <c r="BX31" s="71" t="s">
        <v>707</v>
      </c>
      <c r="BY31" s="71">
        <v>3</v>
      </c>
      <c r="BZ31" s="71">
        <v>1</v>
      </c>
      <c r="CA31" s="71">
        <v>20</v>
      </c>
      <c r="CB31" s="71">
        <v>1</v>
      </c>
    </row>
    <row r="32" spans="1:101" ht="13.5" customHeight="1" x14ac:dyDescent="0.25">
      <c r="A32" s="1457"/>
      <c r="B32" s="1400" t="s">
        <v>783</v>
      </c>
      <c r="C32" s="1400"/>
      <c r="D32" s="1400"/>
      <c r="E32" s="1400"/>
      <c r="F32" s="1400"/>
      <c r="G32" s="252" t="s">
        <v>462</v>
      </c>
      <c r="H32" s="1418"/>
      <c r="I32" s="1418"/>
      <c r="J32" s="1418"/>
      <c r="K32" s="1409"/>
      <c r="L32" s="1409"/>
      <c r="M32" s="1409"/>
      <c r="N32" s="1409"/>
      <c r="O32" s="1409"/>
      <c r="P32" s="1409"/>
      <c r="Q32" s="1409"/>
      <c r="R32" s="1412"/>
      <c r="S32" s="1412"/>
      <c r="T32" s="1412"/>
      <c r="U32" s="1409"/>
      <c r="V32" s="1409"/>
      <c r="W32" s="1409"/>
      <c r="X32" s="1409"/>
      <c r="Y32" s="1409"/>
      <c r="Z32" s="1409"/>
      <c r="AA32" s="1409"/>
      <c r="AB32" s="1409"/>
      <c r="AC32" s="1409"/>
      <c r="AD32" s="1409"/>
      <c r="AE32" s="1409"/>
      <c r="AF32" s="1409"/>
      <c r="AG32" s="1409"/>
      <c r="AH32" s="1409"/>
      <c r="AI32" s="1409"/>
      <c r="AJ32" s="1409"/>
      <c r="AK32" s="1409"/>
      <c r="AL32" s="1409"/>
      <c r="AM32" s="1409"/>
      <c r="AN32" s="1409"/>
      <c r="AO32" s="1409"/>
      <c r="AP32" s="1412"/>
      <c r="AQ32" s="1412"/>
      <c r="AR32" s="1412"/>
      <c r="AS32" s="1409"/>
      <c r="AT32" s="1409"/>
      <c r="AU32" s="1409"/>
      <c r="AV32" s="1409"/>
      <c r="AW32" s="1409"/>
      <c r="AX32" s="1409"/>
      <c r="AY32" s="1409"/>
      <c r="AZ32" s="1409"/>
      <c r="BA32" s="1409"/>
      <c r="BB32" s="1409"/>
      <c r="BC32" s="1409"/>
      <c r="BD32" s="1409"/>
      <c r="BE32" s="1409"/>
      <c r="BF32" s="1409"/>
      <c r="BG32" s="1409"/>
      <c r="BH32" s="1409"/>
      <c r="BI32" s="1409"/>
      <c r="BJ32" s="1409"/>
      <c r="BK32" s="1416" t="str">
        <f>IF(tipoPropiedad="Departamento","",IF(m2sup3&lt;&gt;0,m2sup3,m2sup5))</f>
        <v/>
      </c>
      <c r="BL32" s="1416"/>
      <c r="BM32" s="1416"/>
      <c r="BN32" s="1416"/>
      <c r="BO32" s="1416"/>
      <c r="BP32" s="1416"/>
      <c r="BQ32" s="272"/>
      <c r="BR32" s="254"/>
      <c r="BV32" s="71" t="s">
        <v>547</v>
      </c>
      <c r="BX32" s="71" t="s">
        <v>707</v>
      </c>
      <c r="BY32" s="71">
        <v>3</v>
      </c>
      <c r="BZ32" s="71">
        <v>1</v>
      </c>
      <c r="CA32" s="71">
        <v>20</v>
      </c>
    </row>
    <row r="33" spans="1:93" ht="13.5" x14ac:dyDescent="0.25">
      <c r="A33" s="1457"/>
      <c r="B33" s="1400" t="s">
        <v>785</v>
      </c>
      <c r="C33" s="1400"/>
      <c r="D33" s="1400"/>
      <c r="E33" s="1400"/>
      <c r="F33" s="1400"/>
      <c r="G33" s="267" t="s">
        <v>462</v>
      </c>
      <c r="H33" s="1401"/>
      <c r="I33" s="1401"/>
      <c r="J33" s="1401"/>
      <c r="K33" s="1395"/>
      <c r="L33" s="1395"/>
      <c r="M33" s="1395"/>
      <c r="N33" s="1395"/>
      <c r="O33" s="1395"/>
      <c r="P33" s="1395"/>
      <c r="Q33" s="1395"/>
      <c r="R33" s="1429"/>
      <c r="S33" s="1429"/>
      <c r="T33" s="1429"/>
      <c r="U33" s="1395"/>
      <c r="V33" s="1395"/>
      <c r="W33" s="1395"/>
      <c r="X33" s="1395"/>
      <c r="Y33" s="1395"/>
      <c r="Z33" s="1395"/>
      <c r="AA33" s="1395"/>
      <c r="AB33" s="1395"/>
      <c r="AC33" s="1395"/>
      <c r="AD33" s="1395"/>
      <c r="AE33" s="1395"/>
      <c r="AF33" s="1395"/>
      <c r="AG33" s="1395"/>
      <c r="AH33" s="1395"/>
      <c r="AI33" s="1395"/>
      <c r="AJ33" s="1395"/>
      <c r="AK33" s="1395"/>
      <c r="AL33" s="1395"/>
      <c r="AM33" s="1395"/>
      <c r="AN33" s="1395"/>
      <c r="AO33" s="1395"/>
      <c r="AP33" s="1429"/>
      <c r="AQ33" s="1429"/>
      <c r="AR33" s="1429"/>
      <c r="AS33" s="1395"/>
      <c r="AT33" s="1395"/>
      <c r="AU33" s="1395"/>
      <c r="AV33" s="1395"/>
      <c r="AW33" s="1395"/>
      <c r="AX33" s="1395"/>
      <c r="AY33" s="1395"/>
      <c r="AZ33" s="1395"/>
      <c r="BA33" s="1395"/>
      <c r="BB33" s="1395"/>
      <c r="BC33" s="1395"/>
      <c r="BD33" s="1395"/>
      <c r="BE33" s="1395"/>
      <c r="BF33" s="1395"/>
      <c r="BG33" s="1395"/>
      <c r="BH33" s="1395"/>
      <c r="BI33" s="1395"/>
      <c r="BJ33" s="1395"/>
      <c r="BK33" s="1413" t="str">
        <f>IF(tipoPropiedad="Departamento","",IF(m2sup3&lt;&gt;0,IF(m2sup4&lt;&gt;0,m2sup4,m2sup5),""))</f>
        <v/>
      </c>
      <c r="BL33" s="1414"/>
      <c r="BM33" s="1414"/>
      <c r="BN33" s="1414"/>
      <c r="BO33" s="1414"/>
      <c r="BP33" s="1415"/>
      <c r="BQ33" s="263"/>
      <c r="BR33" s="254"/>
      <c r="BV33" s="71" t="s">
        <v>800</v>
      </c>
      <c r="BX33" s="71" t="s">
        <v>707</v>
      </c>
      <c r="BY33" s="71">
        <v>3</v>
      </c>
      <c r="BZ33" s="71">
        <v>1</v>
      </c>
      <c r="CA33" s="71">
        <v>20</v>
      </c>
      <c r="CB33" s="71">
        <v>1</v>
      </c>
    </row>
    <row r="34" spans="1:93" ht="13.5" x14ac:dyDescent="0.25">
      <c r="A34" s="1457"/>
      <c r="B34" s="1396" t="s">
        <v>786</v>
      </c>
      <c r="C34" s="1396"/>
      <c r="D34" s="1396"/>
      <c r="E34" s="1397" t="s">
        <v>787</v>
      </c>
      <c r="F34" s="1397"/>
      <c r="G34" s="1397"/>
      <c r="H34" s="1397"/>
      <c r="I34" s="1397"/>
      <c r="J34" s="1397"/>
      <c r="K34" s="1397"/>
      <c r="L34" s="1398">
        <f>SUM(H30:BJ33)</f>
        <v>6</v>
      </c>
      <c r="M34" s="1398"/>
      <c r="N34" s="1398"/>
      <c r="O34" s="1398"/>
      <c r="P34" s="1398"/>
      <c r="Q34" s="1398"/>
      <c r="R34" s="1398"/>
      <c r="S34" s="1398"/>
      <c r="T34" s="1398"/>
      <c r="U34" s="1398" t="s">
        <v>788</v>
      </c>
      <c r="V34" s="1398"/>
      <c r="W34" s="1398"/>
      <c r="X34" s="1398"/>
      <c r="Y34" s="1397">
        <f>SUM(U30:AB33)</f>
        <v>2</v>
      </c>
      <c r="Z34" s="1397"/>
      <c r="AA34" s="1397"/>
      <c r="AB34" s="1397"/>
      <c r="AC34" s="1398" t="s">
        <v>789</v>
      </c>
      <c r="AD34" s="1398"/>
      <c r="AE34" s="1398"/>
      <c r="AF34" s="1398"/>
      <c r="AG34" s="1398">
        <f>SUM(AP30:AV33)</f>
        <v>1</v>
      </c>
      <c r="AH34" s="1398"/>
      <c r="AI34" s="1398"/>
      <c r="AJ34" s="1398"/>
      <c r="AK34" s="1431" t="s">
        <v>790</v>
      </c>
      <c r="AL34" s="1431"/>
      <c r="AM34" s="1431"/>
      <c r="AN34" s="1431"/>
      <c r="AO34" s="1431"/>
      <c r="AP34" s="1397">
        <f>SUM(AC30:AF33)</f>
        <v>0</v>
      </c>
      <c r="AQ34" s="1397"/>
      <c r="AR34" s="1397"/>
      <c r="AS34" s="1411" t="s">
        <v>791</v>
      </c>
      <c r="AT34" s="1411"/>
      <c r="AU34" s="1411"/>
      <c r="AV34" s="1411"/>
      <c r="AW34" s="1411"/>
      <c r="AX34" s="1411"/>
      <c r="AY34" s="1397">
        <f>SUM(AW30:AZ33)</f>
        <v>0</v>
      </c>
      <c r="AZ34" s="1397"/>
      <c r="BA34" s="1397"/>
      <c r="BB34" s="1397"/>
      <c r="BC34" s="1397"/>
      <c r="BD34" s="1397"/>
      <c r="BE34" s="1397"/>
      <c r="BF34" s="1411" t="s">
        <v>792</v>
      </c>
      <c r="BG34" s="1411"/>
      <c r="BH34" s="1411"/>
      <c r="BI34" s="1411"/>
      <c r="BJ34" s="268" t="s">
        <v>462</v>
      </c>
      <c r="BK34" s="1399">
        <f>SUM('FICHA SOLIC'!K38:O38)+AmpM1+AmpM2+AmpM3</f>
        <v>41</v>
      </c>
      <c r="BL34" s="1399"/>
      <c r="BM34" s="1399"/>
      <c r="BN34" s="1399"/>
      <c r="BO34" s="1399"/>
      <c r="BP34" s="1399"/>
      <c r="BQ34" s="263"/>
      <c r="BR34" s="254"/>
      <c r="BZ34" s="71">
        <v>0</v>
      </c>
    </row>
    <row r="35" spans="1:93" ht="13.5" customHeight="1" x14ac:dyDescent="0.25">
      <c r="A35" s="1457"/>
      <c r="B35" s="1402" t="s">
        <v>793</v>
      </c>
      <c r="C35" s="1402"/>
      <c r="D35" s="1402"/>
      <c r="E35" s="1402"/>
      <c r="F35" s="1402"/>
      <c r="G35" s="1402"/>
      <c r="H35" s="1402"/>
      <c r="I35" s="1402"/>
      <c r="J35" s="1402"/>
      <c r="K35" s="1402"/>
      <c r="L35" s="1402"/>
      <c r="M35" s="1402"/>
      <c r="N35" s="1402"/>
      <c r="O35" s="1402"/>
      <c r="P35" s="1402"/>
      <c r="Q35" s="1402"/>
      <c r="R35" s="1402"/>
      <c r="S35" s="1402"/>
      <c r="T35" s="1402"/>
      <c r="U35" s="1402"/>
      <c r="V35" s="1402"/>
      <c r="W35" s="1402"/>
      <c r="X35" s="1402"/>
      <c r="Y35" s="1402"/>
      <c r="Z35" s="1402"/>
      <c r="AA35" s="1402"/>
      <c r="AB35" s="1402"/>
      <c r="AC35" s="1402"/>
      <c r="AD35" s="1402"/>
      <c r="AE35" s="1402"/>
      <c r="AF35" s="1402"/>
      <c r="AG35" s="1402"/>
      <c r="AH35" s="1402"/>
      <c r="AI35" s="1402"/>
      <c r="AJ35" s="1402"/>
      <c r="AK35" s="1402"/>
      <c r="AL35" s="1402"/>
      <c r="AM35" s="1402"/>
      <c r="AN35" s="1402"/>
      <c r="AO35" s="1402"/>
      <c r="AP35" s="1402"/>
      <c r="AQ35" s="1402"/>
      <c r="AR35" s="1402"/>
      <c r="AS35" s="1402"/>
      <c r="AT35" s="1402"/>
      <c r="AU35" s="1402"/>
      <c r="AV35" s="1402"/>
      <c r="AW35" s="1402"/>
      <c r="AX35" s="1402"/>
      <c r="AY35" s="1402"/>
      <c r="AZ35" s="1402"/>
      <c r="BA35" s="1402"/>
      <c r="BB35" s="1402"/>
      <c r="BC35" s="1402"/>
      <c r="BD35" s="1402"/>
      <c r="BE35" s="1402"/>
      <c r="BF35" s="1402"/>
      <c r="BG35" s="1402"/>
      <c r="BH35" s="1402"/>
      <c r="BI35" s="1402"/>
      <c r="BJ35" s="1402"/>
      <c r="BK35" s="1402"/>
      <c r="BL35" s="1402"/>
      <c r="BM35" s="1402"/>
      <c r="BN35" s="1402"/>
      <c r="BO35" s="1402"/>
      <c r="BP35" s="1402"/>
      <c r="BQ35" s="263"/>
      <c r="BR35" s="254"/>
      <c r="BV35" s="71">
        <v>0</v>
      </c>
    </row>
    <row r="36" spans="1:93" ht="13.5" x14ac:dyDescent="0.25">
      <c r="A36" s="1457"/>
      <c r="B36" s="1403" t="s">
        <v>795</v>
      </c>
      <c r="C36" s="1403"/>
      <c r="D36" s="1403"/>
      <c r="E36" s="1403"/>
      <c r="F36" s="1403"/>
      <c r="G36" s="1403"/>
      <c r="H36" s="1403"/>
      <c r="I36" s="1403"/>
      <c r="J36" s="1403"/>
      <c r="K36" s="1403"/>
      <c r="L36" s="1403"/>
      <c r="M36" s="1404" t="s">
        <v>796</v>
      </c>
      <c r="N36" s="1404"/>
      <c r="O36" s="1404"/>
      <c r="P36" s="1404"/>
      <c r="Q36" s="1404"/>
      <c r="R36" s="1404"/>
      <c r="S36" s="1404"/>
      <c r="T36" s="1404"/>
      <c r="U36" s="1404"/>
      <c r="V36" s="1404"/>
      <c r="W36" s="1404"/>
      <c r="X36" s="1404"/>
      <c r="Y36" s="1405" t="s">
        <v>797</v>
      </c>
      <c r="Z36" s="1405"/>
      <c r="AA36" s="1405"/>
      <c r="AB36" s="1405"/>
      <c r="AC36" s="1405"/>
      <c r="AD36" s="1405"/>
      <c r="AE36" s="1405"/>
      <c r="AF36" s="1406" t="s">
        <v>627</v>
      </c>
      <c r="AG36" s="1406"/>
      <c r="AH36" s="1406"/>
      <c r="AI36" s="1406"/>
      <c r="AJ36" s="1406"/>
      <c r="AK36" s="271"/>
      <c r="AL36" s="1407" t="s">
        <v>561</v>
      </c>
      <c r="AM36" s="1407"/>
      <c r="AN36" s="1407"/>
      <c r="AO36" s="1407"/>
      <c r="AP36" s="1407"/>
      <c r="AQ36" s="1407"/>
      <c r="AR36" s="1408" t="s">
        <v>796</v>
      </c>
      <c r="AS36" s="1408"/>
      <c r="AT36" s="1408"/>
      <c r="AU36" s="1408"/>
      <c r="AV36" s="1408"/>
      <c r="AW36" s="1408"/>
      <c r="AX36" s="1408"/>
      <c r="AY36" s="1408"/>
      <c r="AZ36" s="1408"/>
      <c r="BA36" s="1408"/>
      <c r="BB36" s="1408"/>
      <c r="BC36" s="1408"/>
      <c r="BD36" s="1408"/>
      <c r="BE36" s="1406" t="s">
        <v>797</v>
      </c>
      <c r="BF36" s="1406"/>
      <c r="BG36" s="1406"/>
      <c r="BH36" s="1406"/>
      <c r="BI36" s="1406"/>
      <c r="BJ36" s="1406"/>
      <c r="BK36" s="1406"/>
      <c r="BL36" s="1406" t="s">
        <v>627</v>
      </c>
      <c r="BM36" s="1406"/>
      <c r="BN36" s="1406"/>
      <c r="BO36" s="1406"/>
      <c r="BP36" s="1406"/>
      <c r="BQ36" s="263"/>
      <c r="BR36" s="254"/>
    </row>
    <row r="37" spans="1:93" ht="13.5" x14ac:dyDescent="0.25">
      <c r="A37" s="1457"/>
      <c r="B37" s="1384" t="s">
        <v>798</v>
      </c>
      <c r="C37" s="1384"/>
      <c r="D37" s="1384"/>
      <c r="E37" s="1384"/>
      <c r="F37" s="1384"/>
      <c r="G37" s="273" t="s">
        <v>462</v>
      </c>
      <c r="H37" s="1392" t="s">
        <v>894</v>
      </c>
      <c r="I37" s="1392"/>
      <c r="J37" s="1392"/>
      <c r="K37" s="1392"/>
      <c r="L37" s="1392"/>
      <c r="M37" s="1392"/>
      <c r="N37" s="1392"/>
      <c r="O37" s="1392"/>
      <c r="P37" s="1392"/>
      <c r="Q37" s="1392"/>
      <c r="R37" s="1392"/>
      <c r="S37" s="1392"/>
      <c r="T37" s="1392"/>
      <c r="U37" s="1392"/>
      <c r="V37" s="1392"/>
      <c r="W37" s="1392"/>
      <c r="X37" s="1392"/>
      <c r="Y37" s="1393" t="str">
        <f>IF('FICHA SOLIC'!K36="USADO","BUENA","BUENA")</f>
        <v>BUENA</v>
      </c>
      <c r="Z37" s="1393"/>
      <c r="AA37" s="1393"/>
      <c r="AB37" s="1393"/>
      <c r="AC37" s="1393"/>
      <c r="AD37" s="1393"/>
      <c r="AE37" s="1393"/>
      <c r="AF37" s="1430" t="str">
        <f>IF('FICHA SOLIC'!K36="USADO","BUENO","NUEVO S/USO")</f>
        <v>BUENO</v>
      </c>
      <c r="AG37" s="1430"/>
      <c r="AH37" s="1430"/>
      <c r="AI37" s="1430"/>
      <c r="AJ37" s="1430"/>
      <c r="AK37" s="262"/>
      <c r="AL37" s="1394" t="s">
        <v>799</v>
      </c>
      <c r="AM37" s="1394"/>
      <c r="AN37" s="1394"/>
      <c r="AO37" s="1394"/>
      <c r="AP37" s="1394"/>
      <c r="AQ37" s="273" t="s">
        <v>462</v>
      </c>
      <c r="AR37" s="1385" t="str">
        <f>IF(tipoPropiedad="Departamento","NO PRESENTA","NO PRESENTA")</f>
        <v>NO PRESENTA</v>
      </c>
      <c r="AS37" s="1385"/>
      <c r="AT37" s="1385"/>
      <c r="AU37" s="1385"/>
      <c r="AV37" s="1385"/>
      <c r="AW37" s="1385"/>
      <c r="AX37" s="1385"/>
      <c r="AY37" s="1385"/>
      <c r="AZ37" s="1385"/>
      <c r="BA37" s="1385"/>
      <c r="BB37" s="1385"/>
      <c r="BC37" s="1385"/>
      <c r="BD37" s="1385"/>
      <c r="BE37" s="1393" t="str">
        <f>IF(AR37&lt;&gt;"NO PRESENTA",IF(estadoUso="Nuevo","BUENA","BUENA"),"")</f>
        <v/>
      </c>
      <c r="BF37" s="1393"/>
      <c r="BG37" s="1393"/>
      <c r="BH37" s="1393"/>
      <c r="BI37" s="1393"/>
      <c r="BJ37" s="1393"/>
      <c r="BK37" s="1393"/>
      <c r="BL37" s="1393" t="str">
        <f>IF(AR37&lt;&gt;"NO PRESENTA",IF(estadoUso="Nuevo","NUEVO S/USO","BUENA"),"")</f>
        <v/>
      </c>
      <c r="BM37" s="1393"/>
      <c r="BN37" s="1393"/>
      <c r="BO37" s="1393"/>
      <c r="BP37" s="1393"/>
      <c r="BQ37" s="263"/>
      <c r="BR37" s="254"/>
    </row>
    <row r="38" spans="1:93" ht="13.5" x14ac:dyDescent="0.25">
      <c r="A38" s="1457"/>
      <c r="B38" s="1384" t="s">
        <v>801</v>
      </c>
      <c r="C38" s="1384"/>
      <c r="D38" s="1384"/>
      <c r="E38" s="1384"/>
      <c r="F38" s="1384"/>
      <c r="G38" s="273" t="s">
        <v>462</v>
      </c>
      <c r="H38" s="1392" t="str">
        <f>IF(tipoPropiedad="Departamento","ACERO VOLCANITA","ACERO VOLCANITA")</f>
        <v>ACERO VOLCANITA</v>
      </c>
      <c r="I38" s="1392"/>
      <c r="J38" s="1392"/>
      <c r="K38" s="1392"/>
      <c r="L38" s="1392"/>
      <c r="M38" s="1392"/>
      <c r="N38" s="1392"/>
      <c r="O38" s="1392"/>
      <c r="P38" s="1392"/>
      <c r="Q38" s="1392"/>
      <c r="R38" s="1392"/>
      <c r="S38" s="1392"/>
      <c r="T38" s="1392"/>
      <c r="U38" s="1392"/>
      <c r="V38" s="1392"/>
      <c r="W38" s="1392"/>
      <c r="X38" s="1392"/>
      <c r="Y38" s="1393" t="str">
        <f>IF('FICHA SOLIC'!K36="USADO","BUENA","BUENA")</f>
        <v>BUENA</v>
      </c>
      <c r="Z38" s="1393"/>
      <c r="AA38" s="1393"/>
      <c r="AB38" s="1393"/>
      <c r="AC38" s="1393"/>
      <c r="AD38" s="1393"/>
      <c r="AE38" s="1393"/>
      <c r="AF38" s="1393" t="str">
        <f>IF('FICHA SOLIC'!K36="USADO","BUENO","NUEVO S/USO")</f>
        <v>BUENO</v>
      </c>
      <c r="AG38" s="1393"/>
      <c r="AH38" s="1393"/>
      <c r="AI38" s="1393"/>
      <c r="AJ38" s="1393"/>
      <c r="AK38" s="262"/>
      <c r="AL38" s="1394" t="s">
        <v>748</v>
      </c>
      <c r="AM38" s="1394"/>
      <c r="AN38" s="1394"/>
      <c r="AO38" s="1394"/>
      <c r="AP38" s="1394"/>
      <c r="AQ38" s="273" t="s">
        <v>462</v>
      </c>
      <c r="AR38" s="1392" t="str">
        <f>IF(AB22="SI","LOSA RADIANTE","NO PRESENTA")</f>
        <v>NO PRESENTA</v>
      </c>
      <c r="AS38" s="1392"/>
      <c r="AT38" s="1392"/>
      <c r="AU38" s="1392"/>
      <c r="AV38" s="1392"/>
      <c r="AW38" s="1392"/>
      <c r="AX38" s="1392"/>
      <c r="AY38" s="1392"/>
      <c r="AZ38" s="1392"/>
      <c r="BA38" s="1392"/>
      <c r="BB38" s="1392"/>
      <c r="BC38" s="1392"/>
      <c r="BD38" s="1392"/>
      <c r="BE38" s="1393" t="str">
        <f>IF(AR38&lt;&gt;"NO PRESENTA",IF(estadoUso="Nuevo","BUENA","BUENA"),"")</f>
        <v/>
      </c>
      <c r="BF38" s="1393"/>
      <c r="BG38" s="1393"/>
      <c r="BH38" s="1393"/>
      <c r="BI38" s="1393"/>
      <c r="BJ38" s="1393"/>
      <c r="BK38" s="1393"/>
      <c r="BL38" s="1393" t="str">
        <f>IF(AR38&lt;&gt;"NO PRESENTA",IF(estadoUso="Nuevo","NUEVO S/USO","BUENA"),"")</f>
        <v/>
      </c>
      <c r="BM38" s="1393"/>
      <c r="BN38" s="1393"/>
      <c r="BO38" s="1393"/>
      <c r="BP38" s="1393"/>
      <c r="BQ38" s="274"/>
      <c r="BR38" s="254"/>
    </row>
    <row r="39" spans="1:93" ht="13.5" x14ac:dyDescent="0.25">
      <c r="A39" s="1457"/>
      <c r="B39" s="1384" t="s">
        <v>802</v>
      </c>
      <c r="C39" s="1384"/>
      <c r="D39" s="1384"/>
      <c r="E39" s="1384"/>
      <c r="F39" s="1384"/>
      <c r="G39" s="273" t="s">
        <v>462</v>
      </c>
      <c r="H39" s="1392" t="str">
        <f>IF(tipoPropiedad="Departamento","LOSA DE HORMIGON ARMADO",IF(AND(tipoPropiedad="Casa",numeroPisos=1),"","LOSA DE HORMIGON ARMADO"))</f>
        <v>LOSA DE HORMIGON ARMADO</v>
      </c>
      <c r="I39" s="1392"/>
      <c r="J39" s="1392"/>
      <c r="K39" s="1392"/>
      <c r="L39" s="1392"/>
      <c r="M39" s="1392"/>
      <c r="N39" s="1392"/>
      <c r="O39" s="1392"/>
      <c r="P39" s="1392"/>
      <c r="Q39" s="1392"/>
      <c r="R39" s="1392"/>
      <c r="S39" s="1392"/>
      <c r="T39" s="1392"/>
      <c r="U39" s="1392"/>
      <c r="V39" s="1392"/>
      <c r="W39" s="1392"/>
      <c r="X39" s="1392"/>
      <c r="Y39" s="1393" t="str">
        <f>IF('FICHA SOLIC'!K36="USADO","BUENA","BUENA")</f>
        <v>BUENA</v>
      </c>
      <c r="Z39" s="1393"/>
      <c r="AA39" s="1393"/>
      <c r="AB39" s="1393"/>
      <c r="AC39" s="1393"/>
      <c r="AD39" s="1393"/>
      <c r="AE39" s="1393"/>
      <c r="AF39" s="1393" t="str">
        <f>IF('FICHA SOLIC'!K36="USADO","BUENO","NUEVO S/USO")</f>
        <v>BUENO</v>
      </c>
      <c r="AG39" s="1393"/>
      <c r="AH39" s="1393"/>
      <c r="AI39" s="1393"/>
      <c r="AJ39" s="1393"/>
      <c r="AK39" s="262"/>
      <c r="AL39" s="1394" t="s">
        <v>803</v>
      </c>
      <c r="AM39" s="1394"/>
      <c r="AN39" s="1394"/>
      <c r="AO39" s="1394"/>
      <c r="AP39" s="1394"/>
      <c r="AQ39" s="273" t="s">
        <v>462</v>
      </c>
      <c r="AR39" s="1385" t="str">
        <f>IF(tipoPropiedad="Departamento","MELAMINA","MELAMINA")</f>
        <v>MELAMINA</v>
      </c>
      <c r="AS39" s="1385"/>
      <c r="AT39" s="1385"/>
      <c r="AU39" s="1385"/>
      <c r="AV39" s="1385"/>
      <c r="AW39" s="1385"/>
      <c r="AX39" s="1385"/>
      <c r="AY39" s="1385"/>
      <c r="AZ39" s="1385"/>
      <c r="BA39" s="1385"/>
      <c r="BB39" s="1385"/>
      <c r="BC39" s="1385"/>
      <c r="BD39" s="1385"/>
      <c r="BE39" s="1393" t="str">
        <f>IF('FICHA SOLIC'!K36="USADO","BUENA","BUENA")</f>
        <v>BUENA</v>
      </c>
      <c r="BF39" s="1393"/>
      <c r="BG39" s="1393"/>
      <c r="BH39" s="1393"/>
      <c r="BI39" s="1393"/>
      <c r="BJ39" s="1393"/>
      <c r="BK39" s="1393"/>
      <c r="BL39" s="1421" t="str">
        <f>+Z15</f>
        <v>BUENO</v>
      </c>
      <c r="BM39" s="1421"/>
      <c r="BN39" s="1421"/>
      <c r="BO39" s="1421"/>
      <c r="BP39" s="1421"/>
      <c r="BQ39" s="275"/>
      <c r="BR39" s="254"/>
    </row>
    <row r="40" spans="1:93" ht="13.5" x14ac:dyDescent="0.25">
      <c r="A40" s="1457"/>
      <c r="B40" s="1384" t="s">
        <v>804</v>
      </c>
      <c r="C40" s="1384"/>
      <c r="D40" s="1384"/>
      <c r="E40" s="1384"/>
      <c r="F40" s="1384"/>
      <c r="G40" s="273" t="s">
        <v>462</v>
      </c>
      <c r="H40" s="1392" t="s">
        <v>838</v>
      </c>
      <c r="I40" s="1392"/>
      <c r="J40" s="1392"/>
      <c r="K40" s="1392"/>
      <c r="L40" s="1392"/>
      <c r="M40" s="1392"/>
      <c r="N40" s="1392"/>
      <c r="O40" s="1392"/>
      <c r="P40" s="1392"/>
      <c r="Q40" s="1392"/>
      <c r="R40" s="1392"/>
      <c r="S40" s="1392"/>
      <c r="T40" s="1392"/>
      <c r="U40" s="1392"/>
      <c r="V40" s="1392"/>
      <c r="W40" s="1392"/>
      <c r="X40" s="1392"/>
      <c r="Y40" s="1393" t="str">
        <f>IF('FICHA SOLIC'!K36="USADO","BUENA","BUENA")</f>
        <v>BUENA</v>
      </c>
      <c r="Z40" s="1393"/>
      <c r="AA40" s="1393"/>
      <c r="AB40" s="1393"/>
      <c r="AC40" s="1393"/>
      <c r="AD40" s="1393"/>
      <c r="AE40" s="1393"/>
      <c r="AF40" s="1393" t="str">
        <f>IF('FICHA SOLIC'!K36="USADO","BUENO","NUEVO S/USO")</f>
        <v>BUENO</v>
      </c>
      <c r="AG40" s="1393"/>
      <c r="AH40" s="1393"/>
      <c r="AI40" s="1393"/>
      <c r="AJ40" s="1393"/>
      <c r="AK40" s="262"/>
      <c r="AL40" s="1394" t="s">
        <v>805</v>
      </c>
      <c r="AM40" s="1394"/>
      <c r="AN40" s="1394"/>
      <c r="AO40" s="1394"/>
      <c r="AP40" s="1394"/>
      <c r="AQ40" s="273" t="s">
        <v>462</v>
      </c>
      <c r="AR40" s="1385" t="s">
        <v>1751</v>
      </c>
      <c r="AS40" s="1385"/>
      <c r="AT40" s="1385"/>
      <c r="AU40" s="1385"/>
      <c r="AV40" s="1385"/>
      <c r="AW40" s="1385"/>
      <c r="AX40" s="1385"/>
      <c r="AY40" s="1385"/>
      <c r="AZ40" s="1385"/>
      <c r="BA40" s="1385"/>
      <c r="BB40" s="1385"/>
      <c r="BC40" s="1385"/>
      <c r="BD40" s="1385"/>
      <c r="BE40" s="1393" t="str">
        <f>IF('FICHA SOLIC'!K36="USADO","BUENA","BUENA")</f>
        <v>BUENA</v>
      </c>
      <c r="BF40" s="1393"/>
      <c r="BG40" s="1393"/>
      <c r="BH40" s="1393"/>
      <c r="BI40" s="1393"/>
      <c r="BJ40" s="1393"/>
      <c r="BK40" s="1393"/>
      <c r="BL40" s="1421" t="str">
        <f>+Z15</f>
        <v>BUENO</v>
      </c>
      <c r="BM40" s="1421"/>
      <c r="BN40" s="1421"/>
      <c r="BO40" s="1421"/>
      <c r="BP40" s="1421"/>
      <c r="BQ40" s="275"/>
      <c r="BR40" s="254"/>
    </row>
    <row r="41" spans="1:93" ht="13.5" customHeight="1" x14ac:dyDescent="0.25">
      <c r="A41" s="1457"/>
      <c r="B41" s="1384" t="s">
        <v>806</v>
      </c>
      <c r="C41" s="1384"/>
      <c r="D41" s="1384"/>
      <c r="E41" s="1384"/>
      <c r="F41" s="1384"/>
      <c r="G41" s="273" t="s">
        <v>462</v>
      </c>
      <c r="H41" s="1392" t="str">
        <f>IF(tipoPropiedad="Departamento","ESTUCO Y PINTURA","ESTUCO Y PINTURA")</f>
        <v>ESTUCO Y PINTURA</v>
      </c>
      <c r="I41" s="1392"/>
      <c r="J41" s="1392"/>
      <c r="K41" s="1392"/>
      <c r="L41" s="1392"/>
      <c r="M41" s="1392"/>
      <c r="N41" s="1392"/>
      <c r="O41" s="1392"/>
      <c r="P41" s="1392"/>
      <c r="Q41" s="1392"/>
      <c r="R41" s="1392"/>
      <c r="S41" s="1392"/>
      <c r="T41" s="1392"/>
      <c r="U41" s="1392"/>
      <c r="V41" s="1392"/>
      <c r="W41" s="1392"/>
      <c r="X41" s="1392"/>
      <c r="Y41" s="1393" t="str">
        <f>IF('FICHA SOLIC'!K36="USADO","BUENA","BUENA")</f>
        <v>BUENA</v>
      </c>
      <c r="Z41" s="1393"/>
      <c r="AA41" s="1393"/>
      <c r="AB41" s="1393"/>
      <c r="AC41" s="1393"/>
      <c r="AD41" s="1393"/>
      <c r="AE41" s="1393"/>
      <c r="AF41" s="1393" t="str">
        <f>IF('FICHA SOLIC'!K36="USADO","BUENO","NUEVO S/USO")</f>
        <v>BUENO</v>
      </c>
      <c r="AG41" s="1393"/>
      <c r="AH41" s="1393"/>
      <c r="AI41" s="1393"/>
      <c r="AJ41" s="1393"/>
      <c r="AK41" s="262"/>
      <c r="AL41" s="1394" t="s">
        <v>807</v>
      </c>
      <c r="AM41" s="1394"/>
      <c r="AN41" s="1394"/>
      <c r="AO41" s="1394"/>
      <c r="AP41" s="1394"/>
      <c r="AQ41" s="273" t="s">
        <v>462</v>
      </c>
      <c r="AR41" s="1385" t="str">
        <f>IF(tipoPropiedad="Departamento","LOSA NACIONAL CORRIENTE","LOSA NACIONAL CORRIENTE")</f>
        <v>LOSA NACIONAL CORRIENTE</v>
      </c>
      <c r="AS41" s="1385"/>
      <c r="AT41" s="1385"/>
      <c r="AU41" s="1385"/>
      <c r="AV41" s="1385"/>
      <c r="AW41" s="1385"/>
      <c r="AX41" s="1385"/>
      <c r="AY41" s="1385"/>
      <c r="AZ41" s="1385"/>
      <c r="BA41" s="1385"/>
      <c r="BB41" s="1385"/>
      <c r="BC41" s="1385"/>
      <c r="BD41" s="1385"/>
      <c r="BE41" s="1393" t="str">
        <f>IF('FICHA SOLIC'!K36="USADO","BUENA","BUENA")</f>
        <v>BUENA</v>
      </c>
      <c r="BF41" s="1393"/>
      <c r="BG41" s="1393"/>
      <c r="BH41" s="1393"/>
      <c r="BI41" s="1393"/>
      <c r="BJ41" s="1393"/>
      <c r="BK41" s="1393"/>
      <c r="BL41" s="1421" t="str">
        <f>+Z15</f>
        <v>BUENO</v>
      </c>
      <c r="BM41" s="1421"/>
      <c r="BN41" s="1421"/>
      <c r="BO41" s="1421"/>
      <c r="BP41" s="1421"/>
      <c r="BQ41" s="277"/>
      <c r="BR41" s="254"/>
    </row>
    <row r="42" spans="1:93" ht="13.5" x14ac:dyDescent="0.25">
      <c r="A42" s="1457"/>
      <c r="B42" s="1384" t="s">
        <v>808</v>
      </c>
      <c r="C42" s="1384"/>
      <c r="D42" s="1384"/>
      <c r="E42" s="1384"/>
      <c r="F42" s="1384"/>
      <c r="G42" s="273" t="s">
        <v>462</v>
      </c>
      <c r="H42" s="1392" t="s">
        <v>2731</v>
      </c>
      <c r="I42" s="1392"/>
      <c r="J42" s="1392"/>
      <c r="K42" s="1392"/>
      <c r="L42" s="1392"/>
      <c r="M42" s="1392"/>
      <c r="N42" s="1392"/>
      <c r="O42" s="1392"/>
      <c r="P42" s="1392"/>
      <c r="Q42" s="1392"/>
      <c r="R42" s="1392"/>
      <c r="S42" s="1392"/>
      <c r="T42" s="1392"/>
      <c r="U42" s="1392"/>
      <c r="V42" s="1392"/>
      <c r="W42" s="1392"/>
      <c r="X42" s="1392"/>
      <c r="Y42" s="1393" t="str">
        <f>IF('FICHA SOLIC'!K36="USADO","BUENA","BUENA")</f>
        <v>BUENA</v>
      </c>
      <c r="Z42" s="1393"/>
      <c r="AA42" s="1393"/>
      <c r="AB42" s="1393"/>
      <c r="AC42" s="1393"/>
      <c r="AD42" s="1393"/>
      <c r="AE42" s="1393"/>
      <c r="AF42" s="1393" t="str">
        <f>IF('FICHA SOLIC'!K36="USADO","BUENO","NUEVO S/USO")</f>
        <v>BUENO</v>
      </c>
      <c r="AG42" s="1393"/>
      <c r="AH42" s="1393"/>
      <c r="AI42" s="1393"/>
      <c r="AJ42" s="1393"/>
      <c r="AK42" s="262"/>
      <c r="AL42" s="1394" t="s">
        <v>809</v>
      </c>
      <c r="AM42" s="1394"/>
      <c r="AN42" s="1394"/>
      <c r="AO42" s="1394"/>
      <c r="AP42" s="1394"/>
      <c r="AQ42" s="273" t="s">
        <v>462</v>
      </c>
      <c r="AR42" s="1385" t="str">
        <f>IF(tipoPropiedad="Departamento","NACIONAL CORRIENTE","NACIONAL CORRIENTE")</f>
        <v>NACIONAL CORRIENTE</v>
      </c>
      <c r="AS42" s="1385"/>
      <c r="AT42" s="1385"/>
      <c r="AU42" s="1385"/>
      <c r="AV42" s="1385"/>
      <c r="AW42" s="1385"/>
      <c r="AX42" s="1385"/>
      <c r="AY42" s="1385"/>
      <c r="AZ42" s="1385"/>
      <c r="BA42" s="1385"/>
      <c r="BB42" s="1385"/>
      <c r="BC42" s="1385"/>
      <c r="BD42" s="1385"/>
      <c r="BE42" s="1393" t="str">
        <f>IF('FICHA SOLIC'!K36="USADO","BUENA","BUENA")</f>
        <v>BUENA</v>
      </c>
      <c r="BF42" s="1393"/>
      <c r="BG42" s="1393"/>
      <c r="BH42" s="1393"/>
      <c r="BI42" s="1393"/>
      <c r="BJ42" s="1393"/>
      <c r="BK42" s="1393"/>
      <c r="BL42" s="1421" t="str">
        <f>+Z15</f>
        <v>BUENO</v>
      </c>
      <c r="BM42" s="1421"/>
      <c r="BN42" s="1421"/>
      <c r="BO42" s="1421"/>
      <c r="BP42" s="1421"/>
      <c r="BQ42" s="277"/>
      <c r="BR42" s="254"/>
    </row>
    <row r="43" spans="1:93" ht="13.5" x14ac:dyDescent="0.25">
      <c r="A43" s="1457"/>
      <c r="B43" s="1384" t="s">
        <v>810</v>
      </c>
      <c r="C43" s="1384"/>
      <c r="D43" s="1384"/>
      <c r="E43" s="1384"/>
      <c r="F43" s="1384"/>
      <c r="G43" s="273" t="s">
        <v>462</v>
      </c>
      <c r="H43" s="1392" t="s">
        <v>1129</v>
      </c>
      <c r="I43" s="1392"/>
      <c r="J43" s="1392"/>
      <c r="K43" s="1392"/>
      <c r="L43" s="1392"/>
      <c r="M43" s="1392"/>
      <c r="N43" s="1392"/>
      <c r="O43" s="1392"/>
      <c r="P43" s="1392"/>
      <c r="Q43" s="1392"/>
      <c r="R43" s="1392"/>
      <c r="S43" s="1392"/>
      <c r="T43" s="1392"/>
      <c r="U43" s="1392"/>
      <c r="V43" s="1392"/>
      <c r="W43" s="1392"/>
      <c r="X43" s="1392"/>
      <c r="Y43" s="1393" t="str">
        <f>IF(H43&lt;&gt;"",IF(estadoUso="Nuevo","BUENA","BUENA"),"")</f>
        <v>BUENA</v>
      </c>
      <c r="Z43" s="1393"/>
      <c r="AA43" s="1393"/>
      <c r="AB43" s="1393"/>
      <c r="AC43" s="1393"/>
      <c r="AD43" s="1393"/>
      <c r="AE43" s="1393"/>
      <c r="AF43" s="1393" t="str">
        <f>IF(H43&lt;&gt;"",IF(estadoUso="Nuevo","NUEVO S/USO","BUENA"),"")</f>
        <v>BUENA</v>
      </c>
      <c r="AG43" s="1393"/>
      <c r="AH43" s="1393"/>
      <c r="AI43" s="1393"/>
      <c r="AJ43" s="1393"/>
      <c r="AK43" s="262"/>
      <c r="AL43" s="1394" t="s">
        <v>811</v>
      </c>
      <c r="AM43" s="1394"/>
      <c r="AN43" s="1394"/>
      <c r="AO43" s="1394"/>
      <c r="AP43" s="1394"/>
      <c r="AQ43" s="273" t="s">
        <v>462</v>
      </c>
      <c r="AR43" s="1428" t="str">
        <f>IF(tipoPropiedad="Departamento","MADERA","MADERA")</f>
        <v>MADERA</v>
      </c>
      <c r="AS43" s="1428"/>
      <c r="AT43" s="1428"/>
      <c r="AU43" s="1428"/>
      <c r="AV43" s="1428"/>
      <c r="AW43" s="1428"/>
      <c r="AX43" s="1428"/>
      <c r="AY43" s="1428"/>
      <c r="AZ43" s="1428"/>
      <c r="BA43" s="1428"/>
      <c r="BB43" s="1428"/>
      <c r="BC43" s="1428"/>
      <c r="BD43" s="1428"/>
      <c r="BE43" s="1393" t="str">
        <f>IF('FICHA SOLIC'!K36="USADO","BUENA","BUENA")</f>
        <v>BUENA</v>
      </c>
      <c r="BF43" s="1393"/>
      <c r="BG43" s="1393"/>
      <c r="BH43" s="1393"/>
      <c r="BI43" s="1393"/>
      <c r="BJ43" s="1393"/>
      <c r="BK43" s="1393"/>
      <c r="BL43" s="1421" t="str">
        <f>+Z15</f>
        <v>BUENO</v>
      </c>
      <c r="BM43" s="1421"/>
      <c r="BN43" s="1421"/>
      <c r="BO43" s="1421"/>
      <c r="BP43" s="1421"/>
      <c r="BQ43" s="277"/>
      <c r="BR43" s="254"/>
    </row>
    <row r="44" spans="1:93" ht="13.5" x14ac:dyDescent="0.25">
      <c r="A44" s="1457"/>
      <c r="B44" s="1425" t="s">
        <v>812</v>
      </c>
      <c r="C44" s="1425"/>
      <c r="D44" s="1425"/>
      <c r="E44" s="1425"/>
      <c r="F44" s="1425"/>
      <c r="G44" s="276" t="s">
        <v>462</v>
      </c>
      <c r="H44" s="1426"/>
      <c r="I44" s="1426"/>
      <c r="J44" s="1426"/>
      <c r="K44" s="1426"/>
      <c r="L44" s="1426"/>
      <c r="M44" s="1426"/>
      <c r="N44" s="1426"/>
      <c r="O44" s="1426"/>
      <c r="P44" s="1426"/>
      <c r="Q44" s="1426"/>
      <c r="R44" s="1426"/>
      <c r="S44" s="1426"/>
      <c r="T44" s="1426"/>
      <c r="U44" s="1426"/>
      <c r="V44" s="1426"/>
      <c r="W44" s="1426"/>
      <c r="X44" s="1426"/>
      <c r="Y44" s="1393" t="str">
        <f>IF(H44&lt;&gt;"",IF(estadoUso="Nuevo","BUENA","BUENA"),"")</f>
        <v/>
      </c>
      <c r="Z44" s="1393"/>
      <c r="AA44" s="1393"/>
      <c r="AB44" s="1393"/>
      <c r="AC44" s="1393"/>
      <c r="AD44" s="1393"/>
      <c r="AE44" s="1393"/>
      <c r="AF44" s="1393" t="str">
        <f>IF(H44&lt;&gt;"",IF(estadoUso="Nuevo","NUEVO S/USO","BUENA"),"")</f>
        <v/>
      </c>
      <c r="AG44" s="1393"/>
      <c r="AH44" s="1393"/>
      <c r="AI44" s="1393"/>
      <c r="AJ44" s="1393"/>
      <c r="AK44" s="265"/>
      <c r="AL44" s="852" t="s">
        <v>813</v>
      </c>
      <c r="AM44" s="853"/>
      <c r="AN44" s="854"/>
      <c r="AO44" s="854"/>
      <c r="AP44" s="854"/>
      <c r="AQ44" s="276" t="s">
        <v>462</v>
      </c>
      <c r="AR44" s="1427" t="s">
        <v>883</v>
      </c>
      <c r="AS44" s="1427"/>
      <c r="AT44" s="1427"/>
      <c r="AU44" s="1427"/>
      <c r="AV44" s="1427"/>
      <c r="AW44" s="1427"/>
      <c r="AX44" s="1427"/>
      <c r="AY44" s="1427"/>
      <c r="AZ44" s="1427"/>
      <c r="BA44" s="1427"/>
      <c r="BB44" s="1427"/>
      <c r="BC44" s="1427"/>
      <c r="BD44" s="1427"/>
      <c r="BE44" s="1426" t="str">
        <f>IF('FICHA SOLIC'!K36="USADO","BUENA","BUENA")</f>
        <v>BUENA</v>
      </c>
      <c r="BF44" s="1426"/>
      <c r="BG44" s="1426"/>
      <c r="BH44" s="1426"/>
      <c r="BI44" s="1426"/>
      <c r="BJ44" s="1426"/>
      <c r="BK44" s="1426"/>
      <c r="BL44" s="1421" t="str">
        <f>+Z15</f>
        <v>BUENO</v>
      </c>
      <c r="BM44" s="1421"/>
      <c r="BN44" s="1421"/>
      <c r="BO44" s="1421"/>
      <c r="BP44" s="1421"/>
      <c r="BQ44" s="277"/>
      <c r="BR44" s="254"/>
      <c r="CH44" t="s">
        <v>1112</v>
      </c>
      <c r="CK44" t="s">
        <v>1123</v>
      </c>
      <c r="CO44" t="s">
        <v>859</v>
      </c>
    </row>
    <row r="45" spans="1:93" ht="13.5" x14ac:dyDescent="0.25">
      <c r="A45" s="1457"/>
      <c r="B45" s="1386" t="s">
        <v>814</v>
      </c>
      <c r="C45" s="1386"/>
      <c r="D45" s="1386"/>
      <c r="E45" s="1386"/>
      <c r="F45" s="1386"/>
      <c r="G45" s="1386"/>
      <c r="H45" s="1387" t="s">
        <v>815</v>
      </c>
      <c r="I45" s="1387"/>
      <c r="J45" s="1387"/>
      <c r="K45" s="1387"/>
      <c r="L45" s="1387"/>
      <c r="M45" s="1387"/>
      <c r="N45" s="1387"/>
      <c r="O45" s="1387"/>
      <c r="P45" s="1387"/>
      <c r="Q45" s="1387"/>
      <c r="R45" s="1387"/>
      <c r="S45" s="1387"/>
      <c r="T45" s="1387"/>
      <c r="U45" s="1387"/>
      <c r="V45" s="1387"/>
      <c r="W45" s="1387" t="s">
        <v>816</v>
      </c>
      <c r="X45" s="1387"/>
      <c r="Y45" s="1387"/>
      <c r="Z45" s="1387"/>
      <c r="AA45" s="1387"/>
      <c r="AB45" s="1387"/>
      <c r="AC45" s="1387"/>
      <c r="AD45" s="1387"/>
      <c r="AE45" s="1387"/>
      <c r="AF45" s="1387"/>
      <c r="AG45" s="1387"/>
      <c r="AH45" s="1387"/>
      <c r="AI45" s="1387" t="s">
        <v>817</v>
      </c>
      <c r="AJ45" s="1387"/>
      <c r="AK45" s="1387"/>
      <c r="AL45" s="1387"/>
      <c r="AM45" s="1387"/>
      <c r="AN45" s="1387"/>
      <c r="AO45" s="1387"/>
      <c r="AP45" s="1387"/>
      <c r="AQ45" s="1387"/>
      <c r="AR45" s="1387"/>
      <c r="AS45" s="1387" t="s">
        <v>818</v>
      </c>
      <c r="AT45" s="1387"/>
      <c r="AU45" s="1387"/>
      <c r="AV45" s="1387"/>
      <c r="AW45" s="1387"/>
      <c r="AX45" s="1387"/>
      <c r="AY45" s="1387"/>
      <c r="AZ45" s="1387"/>
      <c r="BA45" s="1387"/>
      <c r="BB45" s="1387"/>
      <c r="BC45" s="1387"/>
      <c r="BD45" s="1387"/>
      <c r="BE45" s="1422" t="s">
        <v>819</v>
      </c>
      <c r="BF45" s="1422"/>
      <c r="BG45" s="1422"/>
      <c r="BH45" s="1422"/>
      <c r="BI45" s="1422"/>
      <c r="BJ45" s="1422"/>
      <c r="BK45" s="1422"/>
      <c r="BL45" s="1422" t="s">
        <v>627</v>
      </c>
      <c r="BM45" s="1422"/>
      <c r="BN45" s="1422"/>
      <c r="BO45" s="1422"/>
      <c r="BP45" s="1422"/>
      <c r="BQ45" s="277"/>
      <c r="BR45" s="254"/>
      <c r="BV45" s="71" t="s">
        <v>757</v>
      </c>
      <c r="BW45" s="71" t="s">
        <v>824</v>
      </c>
      <c r="BX45" s="71" t="s">
        <v>825</v>
      </c>
      <c r="BZ45" s="71" t="s">
        <v>826</v>
      </c>
      <c r="CE45" s="71" t="s">
        <v>827</v>
      </c>
      <c r="CH45" t="s">
        <v>1113</v>
      </c>
      <c r="CK45" t="s">
        <v>1124</v>
      </c>
      <c r="CO45" t="s">
        <v>1755</v>
      </c>
    </row>
    <row r="46" spans="1:93" ht="13.5" x14ac:dyDescent="0.25">
      <c r="A46" s="1457"/>
      <c r="B46" s="1384" t="s">
        <v>820</v>
      </c>
      <c r="C46" s="1384"/>
      <c r="D46" s="1384"/>
      <c r="E46" s="1384"/>
      <c r="F46" s="1384"/>
      <c r="G46" s="278" t="s">
        <v>462</v>
      </c>
      <c r="H46" s="1385" t="s">
        <v>2732</v>
      </c>
      <c r="I46" s="1385"/>
      <c r="J46" s="1385"/>
      <c r="K46" s="1385"/>
      <c r="L46" s="1385"/>
      <c r="M46" s="1385"/>
      <c r="N46" s="1385"/>
      <c r="O46" s="1385"/>
      <c r="P46" s="1385"/>
      <c r="Q46" s="1385"/>
      <c r="R46" s="1385"/>
      <c r="S46" s="1385"/>
      <c r="T46" s="1385"/>
      <c r="U46" s="1385"/>
      <c r="V46" s="1385"/>
      <c r="W46" s="1385" t="str">
        <f>IF(H46="PISO FLOTANTE","TIPO LAMINADO",IF(H46="CERAMICO","TIPO CORDILLERA",IF(H46="ALFOMBRA","ALFOMBRA",IF(H46="ENMADERADO","MADERA",IF(H46="CUBREPISO","CUBREPISO",IF(H46="FLEXIT","FLEXIT",IF(H46="BATUCO","BATUCO",IF(H46="PIEDRA","PIEDRA",IF(H46="MARMOL","MARMOL",IF(H46="ADOQUIN","ADOQUIN",IF(H46="LADRILLO","LADRILLO",IF(H46="VINILICO","VINILICO",IF(H46="VIDRIO","VIDRIO",IF(H46="SUELO CEMENTO","CEMENTO",IF(H46="AFINADO CEMENTO","CEMENTO","SIN TERMINACION")))))))))))))))</f>
        <v>TIPO CORDILLERA</v>
      </c>
      <c r="X46" s="1385"/>
      <c r="Y46" s="1385"/>
      <c r="Z46" s="1385"/>
      <c r="AA46" s="1385"/>
      <c r="AB46" s="1385"/>
      <c r="AC46" s="1385"/>
      <c r="AD46" s="1385"/>
      <c r="AE46" s="1385"/>
      <c r="AF46" s="1385"/>
      <c r="AG46" s="1385"/>
      <c r="AH46" s="1385"/>
      <c r="AI46" s="1385" t="s">
        <v>2734</v>
      </c>
      <c r="AJ46" s="1385"/>
      <c r="AK46" s="1385"/>
      <c r="AL46" s="1385"/>
      <c r="AM46" s="1385"/>
      <c r="AN46" s="1385"/>
      <c r="AO46" s="1385"/>
      <c r="AP46" s="1385"/>
      <c r="AQ46" s="1385"/>
      <c r="AR46" s="1385"/>
      <c r="AS46" s="1385" t="str">
        <f>IF(tipoPropiedad="Departamento","ENLUCIDO / PINTURA","ENLUCIDO / PINTURA")</f>
        <v>ENLUCIDO / PINTURA</v>
      </c>
      <c r="AT46" s="1385"/>
      <c r="AU46" s="1385"/>
      <c r="AV46" s="1385"/>
      <c r="AW46" s="1385"/>
      <c r="AX46" s="1385"/>
      <c r="AY46" s="1385"/>
      <c r="AZ46" s="1385"/>
      <c r="BA46" s="1385"/>
      <c r="BB46" s="1385"/>
      <c r="BC46" s="1385"/>
      <c r="BD46" s="1385"/>
      <c r="BE46" s="1420" t="str">
        <f>IF(tipoPropiedad="Departamento","BUENA","BUENA")</f>
        <v>BUENA</v>
      </c>
      <c r="BF46" s="1420"/>
      <c r="BG46" s="1420"/>
      <c r="BH46" s="1420"/>
      <c r="BI46" s="1420"/>
      <c r="BJ46" s="1420"/>
      <c r="BK46" s="1420"/>
      <c r="BL46" s="1421" t="str">
        <f>+Z15</f>
        <v>BUENO</v>
      </c>
      <c r="BM46" s="1421"/>
      <c r="BN46" s="1421"/>
      <c r="BO46" s="1421"/>
      <c r="BP46" s="1421"/>
      <c r="BQ46" s="280"/>
      <c r="BR46" s="254"/>
      <c r="BV46" s="71" t="s">
        <v>763</v>
      </c>
      <c r="BW46" s="71" t="s">
        <v>825</v>
      </c>
      <c r="BX46" s="71" t="s">
        <v>824</v>
      </c>
      <c r="BZ46" s="71" t="s">
        <v>829</v>
      </c>
      <c r="CE46" s="71" t="s">
        <v>830</v>
      </c>
      <c r="CH46" t="s">
        <v>1114</v>
      </c>
      <c r="CK46" t="s">
        <v>1125</v>
      </c>
      <c r="CO46" t="s">
        <v>1754</v>
      </c>
    </row>
    <row r="47" spans="1:93" ht="13.5" x14ac:dyDescent="0.25">
      <c r="A47" s="1457"/>
      <c r="B47" s="1384" t="s">
        <v>821</v>
      </c>
      <c r="C47" s="1384"/>
      <c r="D47" s="1384"/>
      <c r="E47" s="1384"/>
      <c r="F47" s="1384"/>
      <c r="G47" s="278" t="s">
        <v>462</v>
      </c>
      <c r="H47" s="1385" t="s">
        <v>2733</v>
      </c>
      <c r="I47" s="1385"/>
      <c r="J47" s="1385"/>
      <c r="K47" s="1385"/>
      <c r="L47" s="1385"/>
      <c r="M47" s="1385"/>
      <c r="N47" s="1385"/>
      <c r="O47" s="1385"/>
      <c r="P47" s="1385"/>
      <c r="Q47" s="1385"/>
      <c r="R47" s="1385"/>
      <c r="S47" s="1385"/>
      <c r="T47" s="1385"/>
      <c r="U47" s="1385"/>
      <c r="V47" s="1385"/>
      <c r="W47" s="1385" t="str">
        <f t="shared" ref="W47:W50" si="0">IF(H47="PISO FLOTANTE","TIPO LAMINADO",IF(H47="CERAMICO","TIPO CORDILLERA",IF(H47="ALFOMBRA","ALFOMBRA",IF(H47="ENMADERADO","MADERA",IF(H47="CUBREPISO","CUBREPISO",IF(H47="FLEXIT","FLEXIT",IF(H47="BATUCO","BATUCO",IF(H47="PIEDRA","PIEDRA",IF(H47="MARMOL","MARMOL",IF(H47="ADOQUIN","ADOQUIN",IF(H47="LADRILLO","LADRILLO",IF(H47="VINILICO","VINILICO",IF(H47="VIDRIO","VIDRIO",IF(H47="SUELO CEMENTO","CEMENTO",IF(H47="AFINADO CEMENTO","CEMENTO","TIPO LAMINADO")))))))))))))))</f>
        <v>ALFOMBRA</v>
      </c>
      <c r="X47" s="1385"/>
      <c r="Y47" s="1385"/>
      <c r="Z47" s="1385"/>
      <c r="AA47" s="1385"/>
      <c r="AB47" s="1385"/>
      <c r="AC47" s="1385"/>
      <c r="AD47" s="1385"/>
      <c r="AE47" s="1385"/>
      <c r="AF47" s="1385"/>
      <c r="AG47" s="1385"/>
      <c r="AH47" s="1385"/>
      <c r="AI47" s="1385" t="s">
        <v>2734</v>
      </c>
      <c r="AJ47" s="1385"/>
      <c r="AK47" s="1385"/>
      <c r="AL47" s="1385"/>
      <c r="AM47" s="1385"/>
      <c r="AN47" s="1385"/>
      <c r="AO47" s="1385"/>
      <c r="AP47" s="1385"/>
      <c r="AQ47" s="1385"/>
      <c r="AR47" s="1385"/>
      <c r="AS47" s="1385" t="str">
        <f>IF(tipoPropiedad="Departamento","ENLUCIDO / PINTURA","ENLUCIDO / PINTURA")</f>
        <v>ENLUCIDO / PINTURA</v>
      </c>
      <c r="AT47" s="1385"/>
      <c r="AU47" s="1385"/>
      <c r="AV47" s="1385"/>
      <c r="AW47" s="1385"/>
      <c r="AX47" s="1385"/>
      <c r="AY47" s="1385"/>
      <c r="AZ47" s="1385"/>
      <c r="BA47" s="1385"/>
      <c r="BB47" s="1385"/>
      <c r="BC47" s="1385"/>
      <c r="BD47" s="1385"/>
      <c r="BE47" s="1420" t="str">
        <f>IF(tipoPropiedad="Departamento","BUENA","BUENA")</f>
        <v>BUENA</v>
      </c>
      <c r="BF47" s="1420"/>
      <c r="BG47" s="1420"/>
      <c r="BH47" s="1420"/>
      <c r="BI47" s="1420"/>
      <c r="BJ47" s="1420"/>
      <c r="BK47" s="1420"/>
      <c r="BL47" s="1421" t="str">
        <f>+Z15</f>
        <v>BUENO</v>
      </c>
      <c r="BM47" s="1421"/>
      <c r="BN47" s="1421"/>
      <c r="BO47" s="1421"/>
      <c r="BP47" s="1421"/>
      <c r="BQ47" s="272"/>
      <c r="BR47" s="254"/>
      <c r="BV47" s="71" t="s">
        <v>831</v>
      </c>
      <c r="BW47" s="71" t="s">
        <v>832</v>
      </c>
      <c r="BX47" s="71" t="s">
        <v>833</v>
      </c>
      <c r="BZ47" s="71" t="s">
        <v>834</v>
      </c>
      <c r="CE47" s="71" t="s">
        <v>835</v>
      </c>
      <c r="CH47" t="s">
        <v>1115</v>
      </c>
      <c r="CK47" t="s">
        <v>1126</v>
      </c>
      <c r="CO47" t="s">
        <v>1752</v>
      </c>
    </row>
    <row r="48" spans="1:93" ht="13.5" x14ac:dyDescent="0.25">
      <c r="A48" s="261"/>
      <c r="B48" s="1384" t="s">
        <v>822</v>
      </c>
      <c r="C48" s="1384"/>
      <c r="D48" s="1384"/>
      <c r="E48" s="1384"/>
      <c r="F48" s="1384"/>
      <c r="G48" s="278" t="s">
        <v>462</v>
      </c>
      <c r="H48" s="1385" t="s">
        <v>2732</v>
      </c>
      <c r="I48" s="1385"/>
      <c r="J48" s="1385"/>
      <c r="K48" s="1385"/>
      <c r="L48" s="1385"/>
      <c r="M48" s="1385"/>
      <c r="N48" s="1385"/>
      <c r="O48" s="1385"/>
      <c r="P48" s="1385"/>
      <c r="Q48" s="1385"/>
      <c r="R48" s="1385"/>
      <c r="S48" s="1385"/>
      <c r="T48" s="1385"/>
      <c r="U48" s="1385"/>
      <c r="V48" s="1385"/>
      <c r="W48" s="1385" t="str">
        <f t="shared" si="0"/>
        <v>TIPO CORDILLERA</v>
      </c>
      <c r="X48" s="1385"/>
      <c r="Y48" s="1385"/>
      <c r="Z48" s="1385"/>
      <c r="AA48" s="1385"/>
      <c r="AB48" s="1385"/>
      <c r="AC48" s="1385"/>
      <c r="AD48" s="1385"/>
      <c r="AE48" s="1385"/>
      <c r="AF48" s="1385"/>
      <c r="AG48" s="1385"/>
      <c r="AH48" s="1385"/>
      <c r="AI48" s="1385" t="s">
        <v>2734</v>
      </c>
      <c r="AJ48" s="1385"/>
      <c r="AK48" s="1385"/>
      <c r="AL48" s="1385"/>
      <c r="AM48" s="1385"/>
      <c r="AN48" s="1385"/>
      <c r="AO48" s="1385"/>
      <c r="AP48" s="1385"/>
      <c r="AQ48" s="1385"/>
      <c r="AR48" s="1385"/>
      <c r="AS48" s="1385" t="str">
        <f>IF(tipoPropiedad="Departamento","ENLUCIDO / PINTURA","ENLUCIDO / PINTURA")</f>
        <v>ENLUCIDO / PINTURA</v>
      </c>
      <c r="AT48" s="1385"/>
      <c r="AU48" s="1385"/>
      <c r="AV48" s="1385"/>
      <c r="AW48" s="1385"/>
      <c r="AX48" s="1385"/>
      <c r="AY48" s="1385"/>
      <c r="AZ48" s="1385"/>
      <c r="BA48" s="1385"/>
      <c r="BB48" s="1385"/>
      <c r="BC48" s="1385"/>
      <c r="BD48" s="1385"/>
      <c r="BE48" s="1420" t="str">
        <f>IF(tipoPropiedad="Departamento","BUENA","BUENA")</f>
        <v>BUENA</v>
      </c>
      <c r="BF48" s="1420"/>
      <c r="BG48" s="1420"/>
      <c r="BH48" s="1420"/>
      <c r="BI48" s="1420"/>
      <c r="BJ48" s="1420"/>
      <c r="BK48" s="1420"/>
      <c r="BL48" s="1421" t="str">
        <f>+Z15</f>
        <v>BUENO</v>
      </c>
      <c r="BM48" s="1421"/>
      <c r="BN48" s="1421"/>
      <c r="BO48" s="1421"/>
      <c r="BP48" s="1421"/>
      <c r="BQ48" s="285"/>
      <c r="BR48" s="254"/>
      <c r="BV48" s="71" t="s">
        <v>836</v>
      </c>
      <c r="BW48" s="71" t="s">
        <v>833</v>
      </c>
      <c r="BX48" s="71" t="s">
        <v>832</v>
      </c>
      <c r="BZ48" s="71" t="s">
        <v>837</v>
      </c>
      <c r="CE48" s="71" t="s">
        <v>838</v>
      </c>
      <c r="CH48" t="s">
        <v>1116</v>
      </c>
      <c r="CK48" t="s">
        <v>1127</v>
      </c>
      <c r="CO48" t="s">
        <v>1756</v>
      </c>
    </row>
    <row r="49" spans="1:93" ht="13.5" x14ac:dyDescent="0.25">
      <c r="B49" s="1384" t="s">
        <v>823</v>
      </c>
      <c r="C49" s="1384"/>
      <c r="D49" s="1384"/>
      <c r="E49" s="1384"/>
      <c r="F49" s="1384"/>
      <c r="G49" s="278" t="s">
        <v>462</v>
      </c>
      <c r="H49" s="1385" t="str">
        <f>IF(tipoPropiedad="Departamento","CERAMICO","CERAMICO")</f>
        <v>CERAMICO</v>
      </c>
      <c r="I49" s="1385"/>
      <c r="J49" s="1385"/>
      <c r="K49" s="1385"/>
      <c r="L49" s="1385"/>
      <c r="M49" s="1385"/>
      <c r="N49" s="1385"/>
      <c r="O49" s="1385"/>
      <c r="P49" s="1385"/>
      <c r="Q49" s="1385"/>
      <c r="R49" s="1385"/>
      <c r="S49" s="1385"/>
      <c r="T49" s="1385"/>
      <c r="U49" s="1385"/>
      <c r="V49" s="1385"/>
      <c r="W49" s="1385" t="str">
        <f t="shared" si="0"/>
        <v>TIPO CORDILLERA</v>
      </c>
      <c r="X49" s="1385"/>
      <c r="Y49" s="1385"/>
      <c r="Z49" s="1385"/>
      <c r="AA49" s="1385"/>
      <c r="AB49" s="1385"/>
      <c r="AC49" s="1385"/>
      <c r="AD49" s="1385"/>
      <c r="AE49" s="1385"/>
      <c r="AF49" s="1385"/>
      <c r="AG49" s="1385"/>
      <c r="AH49" s="1385"/>
      <c r="AI49" s="1385" t="str">
        <f>IF(tipoPropiedad="Departamento","CERAMICO","CERAMICO")</f>
        <v>CERAMICO</v>
      </c>
      <c r="AJ49" s="1385"/>
      <c r="AK49" s="1385"/>
      <c r="AL49" s="1385"/>
      <c r="AM49" s="1385"/>
      <c r="AN49" s="1385"/>
      <c r="AO49" s="1385"/>
      <c r="AP49" s="1385"/>
      <c r="AQ49" s="1385"/>
      <c r="AR49" s="1385"/>
      <c r="AS49" s="1385" t="str">
        <f>IF(tipoPropiedad="Departamento","ENLUCIDO / PINTURA","ENLUCIDO / PINTURA")</f>
        <v>ENLUCIDO / PINTURA</v>
      </c>
      <c r="AT49" s="1385"/>
      <c r="AU49" s="1385"/>
      <c r="AV49" s="1385"/>
      <c r="AW49" s="1385"/>
      <c r="AX49" s="1385"/>
      <c r="AY49" s="1385"/>
      <c r="AZ49" s="1385"/>
      <c r="BA49" s="1385"/>
      <c r="BB49" s="1385"/>
      <c r="BC49" s="1385"/>
      <c r="BD49" s="1385"/>
      <c r="BE49" s="1420" t="str">
        <f>IF(tipoPropiedad="Departamento","BUENA","BUENA")</f>
        <v>BUENA</v>
      </c>
      <c r="BF49" s="1420"/>
      <c r="BG49" s="1420"/>
      <c r="BH49" s="1420"/>
      <c r="BI49" s="1420"/>
      <c r="BJ49" s="1420"/>
      <c r="BK49" s="1420"/>
      <c r="BL49" s="1421" t="str">
        <f>+Z15</f>
        <v>BUENO</v>
      </c>
      <c r="BM49" s="1421"/>
      <c r="BN49" s="1421"/>
      <c r="BO49" s="1421"/>
      <c r="BP49" s="1421"/>
      <c r="BQ49" s="286"/>
      <c r="BR49" s="254"/>
      <c r="BV49" s="71" t="s">
        <v>841</v>
      </c>
      <c r="BW49" s="71" t="s">
        <v>842</v>
      </c>
      <c r="BX49" s="71" t="s">
        <v>843</v>
      </c>
      <c r="BZ49" s="71" t="s">
        <v>844</v>
      </c>
      <c r="CE49" s="71" t="s">
        <v>845</v>
      </c>
      <c r="CH49" t="s">
        <v>1117</v>
      </c>
      <c r="CK49" t="s">
        <v>1128</v>
      </c>
      <c r="CO49" t="s">
        <v>1753</v>
      </c>
    </row>
    <row r="50" spans="1:93" ht="13.5" x14ac:dyDescent="0.25">
      <c r="A50" s="759"/>
      <c r="B50" s="1423" t="s">
        <v>828</v>
      </c>
      <c r="C50" s="1423"/>
      <c r="D50" s="1423"/>
      <c r="E50" s="1423"/>
      <c r="F50" s="1423"/>
      <c r="G50" s="279" t="s">
        <v>462</v>
      </c>
      <c r="H50" s="1424" t="str">
        <f>IF(tipoPropiedad="Departamento","CERAMICO","CERAMICO")</f>
        <v>CERAMICO</v>
      </c>
      <c r="I50" s="1424"/>
      <c r="J50" s="1424"/>
      <c r="K50" s="1424"/>
      <c r="L50" s="1424"/>
      <c r="M50" s="1424"/>
      <c r="N50" s="1424"/>
      <c r="O50" s="1424"/>
      <c r="P50" s="1424"/>
      <c r="Q50" s="1424"/>
      <c r="R50" s="1424"/>
      <c r="S50" s="1424"/>
      <c r="T50" s="1424"/>
      <c r="U50" s="1424"/>
      <c r="V50" s="1424"/>
      <c r="W50" s="1385" t="str">
        <f t="shared" si="0"/>
        <v>TIPO CORDILLERA</v>
      </c>
      <c r="X50" s="1385"/>
      <c r="Y50" s="1385"/>
      <c r="Z50" s="1385"/>
      <c r="AA50" s="1385"/>
      <c r="AB50" s="1385"/>
      <c r="AC50" s="1385"/>
      <c r="AD50" s="1385"/>
      <c r="AE50" s="1385"/>
      <c r="AF50" s="1385"/>
      <c r="AG50" s="1385"/>
      <c r="AH50" s="1385"/>
      <c r="AI50" s="1424" t="str">
        <f>IF(tipoPropiedad="Departamento","CERAMICO","CERAMICO")</f>
        <v>CERAMICO</v>
      </c>
      <c r="AJ50" s="1424"/>
      <c r="AK50" s="1424"/>
      <c r="AL50" s="1424"/>
      <c r="AM50" s="1424"/>
      <c r="AN50" s="1424"/>
      <c r="AO50" s="1424"/>
      <c r="AP50" s="1424"/>
      <c r="AQ50" s="1424"/>
      <c r="AR50" s="1424"/>
      <c r="AS50" s="1424" t="str">
        <f>IF(tipoPropiedad="Departamento","ENLUCIDO / PINTURA","ENLUCIDO / PINTURA")</f>
        <v>ENLUCIDO / PINTURA</v>
      </c>
      <c r="AT50" s="1424"/>
      <c r="AU50" s="1424"/>
      <c r="AV50" s="1424"/>
      <c r="AW50" s="1424"/>
      <c r="AX50" s="1424"/>
      <c r="AY50" s="1424"/>
      <c r="AZ50" s="1424"/>
      <c r="BA50" s="1424"/>
      <c r="BB50" s="1424"/>
      <c r="BC50" s="1424"/>
      <c r="BD50" s="1385"/>
      <c r="BE50" s="1420" t="str">
        <f>IF(tipoPropiedad="Departamento","BUENA","BUENA")</f>
        <v>BUENA</v>
      </c>
      <c r="BF50" s="1420"/>
      <c r="BG50" s="1420"/>
      <c r="BH50" s="1420"/>
      <c r="BI50" s="1420"/>
      <c r="BJ50" s="1420"/>
      <c r="BK50" s="1420"/>
      <c r="BL50" s="1421" t="str">
        <f>+Z15</f>
        <v>BUENO</v>
      </c>
      <c r="BM50" s="1421"/>
      <c r="BN50" s="1421"/>
      <c r="BO50" s="1421"/>
      <c r="BP50" s="1421"/>
      <c r="BQ50" s="286"/>
      <c r="BR50" s="254"/>
      <c r="BV50" s="71" t="s">
        <v>846</v>
      </c>
      <c r="BW50" s="71" t="s">
        <v>847</v>
      </c>
      <c r="BX50" s="71" t="s">
        <v>848</v>
      </c>
      <c r="BZ50" s="71" t="s">
        <v>849</v>
      </c>
      <c r="CE50" s="71" t="s">
        <v>850</v>
      </c>
      <c r="CH50" t="s">
        <v>1118</v>
      </c>
      <c r="CK50" t="s">
        <v>1129</v>
      </c>
      <c r="CO50" t="s">
        <v>1745</v>
      </c>
    </row>
    <row r="51" spans="1:93" ht="13.5" x14ac:dyDescent="0.25">
      <c r="A51" s="529"/>
      <c r="B51" s="264"/>
      <c r="C51" s="264"/>
      <c r="D51" s="264"/>
      <c r="E51" s="264"/>
      <c r="F51" s="264"/>
      <c r="G51" s="281"/>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82"/>
      <c r="AW51" s="282"/>
      <c r="AX51" s="282"/>
      <c r="AY51" s="282"/>
      <c r="AZ51" s="283"/>
      <c r="BA51" s="264"/>
      <c r="BB51" s="264"/>
      <c r="BC51" s="264"/>
      <c r="BD51" s="560"/>
      <c r="BE51" s="560"/>
      <c r="BF51" s="560"/>
      <c r="BG51" s="560"/>
      <c r="BH51" s="560"/>
      <c r="BI51" s="560"/>
      <c r="BJ51" s="560"/>
      <c r="BK51" s="560"/>
      <c r="BL51" s="560"/>
      <c r="BM51" s="560"/>
      <c r="BN51" s="560"/>
      <c r="BO51" s="560"/>
      <c r="BP51" s="560"/>
      <c r="BQ51" s="286"/>
      <c r="BR51" s="254"/>
      <c r="BV51" s="71" t="s">
        <v>851</v>
      </c>
      <c r="BW51" s="71" t="s">
        <v>848</v>
      </c>
      <c r="BX51" s="71" t="s">
        <v>847</v>
      </c>
      <c r="BZ51" s="71" t="s">
        <v>852</v>
      </c>
      <c r="CE51" s="71" t="s">
        <v>853</v>
      </c>
      <c r="CH51" t="s">
        <v>1119</v>
      </c>
      <c r="CO51" t="s">
        <v>1749</v>
      </c>
    </row>
    <row r="52" spans="1:93" ht="13.5" customHeight="1" x14ac:dyDescent="0.25">
      <c r="A52" s="529"/>
      <c r="B52" s="284"/>
      <c r="C52" s="284"/>
      <c r="D52" s="284"/>
      <c r="E52" s="284"/>
      <c r="F52" s="284"/>
      <c r="G52" s="284"/>
      <c r="H52" s="233"/>
      <c r="I52" s="238"/>
      <c r="J52" s="238"/>
      <c r="K52" s="238"/>
      <c r="L52" s="238"/>
      <c r="M52" s="238"/>
      <c r="N52" s="238"/>
      <c r="O52" s="238"/>
      <c r="P52" s="238"/>
      <c r="Q52" s="238"/>
      <c r="R52" s="238"/>
      <c r="S52" s="238"/>
      <c r="T52" s="238"/>
      <c r="U52" s="238"/>
      <c r="V52" s="238"/>
      <c r="W52" s="1021" t="s">
        <v>1876</v>
      </c>
      <c r="X52" s="1022"/>
      <c r="Y52" s="1022"/>
      <c r="Z52" s="1022"/>
      <c r="AA52" s="1021"/>
      <c r="AB52" s="1021"/>
      <c r="AC52" s="1021"/>
      <c r="AD52" s="1021"/>
      <c r="AE52" s="1021"/>
      <c r="AF52" s="1021"/>
      <c r="AG52" s="1023"/>
      <c r="AH52" s="1021"/>
      <c r="AI52" s="1021"/>
      <c r="AJ52" s="1021"/>
      <c r="AK52" s="1023"/>
      <c r="AL52" s="1021"/>
      <c r="AM52" s="1021"/>
      <c r="AN52" s="1021"/>
      <c r="AO52" s="1021"/>
      <c r="AP52" s="1021"/>
      <c r="AQ52" s="1021"/>
      <c r="AR52" s="1021"/>
      <c r="AS52" s="1021"/>
      <c r="AT52" s="1021"/>
      <c r="AU52" s="1022"/>
      <c r="AV52" s="1022"/>
      <c r="AW52" s="1022"/>
      <c r="AX52" s="1022"/>
      <c r="AY52" s="238"/>
      <c r="AZ52" s="238"/>
      <c r="BA52" s="238"/>
      <c r="BB52" s="238"/>
      <c r="BC52" s="238"/>
      <c r="BD52" s="238"/>
      <c r="BE52" s="238"/>
      <c r="BF52" s="238"/>
      <c r="BG52" s="238"/>
      <c r="BH52" s="238"/>
      <c r="BI52" s="238"/>
      <c r="BJ52" s="238"/>
      <c r="BK52" s="238"/>
      <c r="BL52" s="238"/>
      <c r="BM52" s="238"/>
      <c r="BN52" s="238"/>
      <c r="BO52" s="238"/>
      <c r="BP52" s="238"/>
      <c r="BQ52" s="286"/>
      <c r="BR52" s="254"/>
      <c r="BV52" s="71" t="s">
        <v>854</v>
      </c>
      <c r="BW52" s="71" t="s">
        <v>843</v>
      </c>
      <c r="BX52" s="71" t="s">
        <v>842</v>
      </c>
      <c r="BZ52" s="71" t="s">
        <v>855</v>
      </c>
      <c r="CE52" s="71" t="s">
        <v>856</v>
      </c>
      <c r="CH52" t="s">
        <v>1120</v>
      </c>
      <c r="CO52" t="s">
        <v>1748</v>
      </c>
    </row>
    <row r="53" spans="1:93" ht="13.5" x14ac:dyDescent="0.25">
      <c r="A53" s="529"/>
      <c r="B53" s="759"/>
      <c r="C53" s="759"/>
      <c r="D53" s="759"/>
      <c r="E53" s="759"/>
      <c r="F53" s="759"/>
      <c r="G53" s="759"/>
      <c r="H53" s="759"/>
      <c r="I53" s="759"/>
      <c r="J53" s="759"/>
      <c r="K53" s="238"/>
      <c r="L53" s="238"/>
      <c r="M53" s="238"/>
      <c r="N53" s="238"/>
      <c r="O53" s="238"/>
      <c r="P53" s="238"/>
      <c r="Q53" s="238"/>
      <c r="R53" s="71"/>
      <c r="S53" s="71"/>
      <c r="T53" s="71"/>
      <c r="U53" s="71"/>
      <c r="V53" s="71"/>
      <c r="W53" s="71"/>
      <c r="X53" s="71"/>
      <c r="Y53" s="71"/>
      <c r="Z53" s="71"/>
      <c r="AA53" s="71"/>
      <c r="AB53" s="71"/>
      <c r="AC53" s="71"/>
      <c r="AD53" s="71"/>
      <c r="AE53" s="71"/>
      <c r="AF53" s="71"/>
      <c r="AG53" s="71"/>
      <c r="AH53" s="71"/>
      <c r="AI53" s="1497" t="s">
        <v>840</v>
      </c>
      <c r="AJ53" s="1497"/>
      <c r="AK53" s="1497"/>
      <c r="AL53" s="1497"/>
      <c r="AM53" s="1497"/>
      <c r="AN53" s="1497"/>
      <c r="AO53" s="1497"/>
      <c r="AP53" s="1497"/>
      <c r="AQ53" s="1497"/>
      <c r="AR53" s="1497"/>
      <c r="AS53" s="1497"/>
      <c r="AT53" s="1497"/>
      <c r="AU53" s="1497"/>
      <c r="AV53" s="1497"/>
      <c r="AW53" s="1497"/>
      <c r="AX53" s="1497"/>
      <c r="AY53" s="1497"/>
      <c r="AZ53" s="1497"/>
      <c r="BA53" s="1497"/>
      <c r="BB53" s="1497"/>
      <c r="BC53" s="1497"/>
      <c r="BD53" s="1497"/>
      <c r="BE53" s="1497"/>
      <c r="BF53" s="1497"/>
      <c r="BG53" s="1497"/>
      <c r="BH53" s="1497"/>
      <c r="BI53" s="1497"/>
      <c r="BJ53" s="1497"/>
      <c r="BK53" s="1497"/>
      <c r="BL53" s="1497"/>
      <c r="BM53" s="1497"/>
      <c r="BN53" s="1497"/>
      <c r="BO53" s="1497"/>
      <c r="BP53" s="1497"/>
      <c r="BQ53" s="1497"/>
      <c r="BR53" s="254"/>
      <c r="BZ53" s="71" t="s">
        <v>857</v>
      </c>
      <c r="CE53" s="71" t="s">
        <v>858</v>
      </c>
      <c r="CH53" t="s">
        <v>1121</v>
      </c>
      <c r="CO53" t="s">
        <v>1746</v>
      </c>
    </row>
    <row r="54" spans="1:93" ht="14.25" thickBot="1" x14ac:dyDescent="0.3">
      <c r="A54" s="529"/>
      <c r="B54" s="1370" t="s">
        <v>1527</v>
      </c>
      <c r="C54" s="1370"/>
      <c r="D54" s="1370"/>
      <c r="E54" s="1370"/>
      <c r="F54" s="1370"/>
      <c r="G54" s="1370"/>
      <c r="H54" s="1370"/>
      <c r="I54" s="1370"/>
      <c r="J54" s="1370"/>
      <c r="K54" s="1370"/>
      <c r="L54" s="1370"/>
      <c r="M54" s="1370"/>
      <c r="N54" s="1370"/>
      <c r="O54" s="1370"/>
      <c r="P54" s="1370"/>
      <c r="Q54" s="1370"/>
      <c r="R54" s="1370"/>
      <c r="S54" s="1370"/>
      <c r="T54" s="1370"/>
      <c r="U54" s="1370"/>
      <c r="V54" s="1370"/>
      <c r="W54" s="1370"/>
      <c r="X54" s="1370"/>
      <c r="Y54" s="1370"/>
      <c r="Z54" s="1370"/>
      <c r="AA54" s="1370"/>
      <c r="AB54" s="1370"/>
      <c r="AC54" s="1370"/>
      <c r="AD54" s="1370"/>
      <c r="AE54" s="1370"/>
      <c r="AF54" s="1370"/>
      <c r="AG54" s="238"/>
      <c r="AH54" s="238"/>
      <c r="AI54" s="238"/>
      <c r="AJ54" s="238"/>
      <c r="AK54" s="238"/>
      <c r="AL54" s="238"/>
      <c r="AM54" s="238"/>
      <c r="AN54" s="238"/>
      <c r="AO54" s="238"/>
      <c r="AP54" s="238"/>
      <c r="AQ54" s="238"/>
      <c r="AR54" s="238"/>
      <c r="AS54" s="238"/>
      <c r="AT54" s="238"/>
      <c r="AU54" s="238"/>
      <c r="AV54" s="238"/>
      <c r="AW54" s="238"/>
      <c r="AX54" s="238"/>
      <c r="AY54" s="238"/>
      <c r="AZ54" s="238"/>
      <c r="BA54" s="238"/>
      <c r="BB54" s="238"/>
      <c r="BC54" s="238"/>
      <c r="BD54" s="238"/>
      <c r="BE54" s="238"/>
      <c r="BF54" s="238"/>
      <c r="BG54" s="238"/>
      <c r="BH54" s="238"/>
      <c r="BI54" s="238"/>
      <c r="BJ54" s="238"/>
      <c r="BK54" s="238"/>
      <c r="BL54" s="238"/>
      <c r="BM54" s="238"/>
      <c r="BN54" s="238"/>
      <c r="BO54" s="238"/>
      <c r="BP54" s="238"/>
      <c r="BQ54" s="286"/>
      <c r="BR54" s="254"/>
      <c r="BV54" s="71" t="s">
        <v>859</v>
      </c>
      <c r="BX54" s="71" t="s">
        <v>859</v>
      </c>
      <c r="BZ54" s="71" t="s">
        <v>860</v>
      </c>
      <c r="CE54" s="71" t="s">
        <v>861</v>
      </c>
      <c r="CH54" t="s">
        <v>1122</v>
      </c>
      <c r="CO54" t="s">
        <v>1750</v>
      </c>
    </row>
    <row r="55" spans="1:93" ht="13.5" customHeight="1" thickBot="1" x14ac:dyDescent="0.25">
      <c r="A55" s="1498" t="s">
        <v>839</v>
      </c>
      <c r="B55" s="1370"/>
      <c r="C55" s="1370"/>
      <c r="D55" s="1370"/>
      <c r="E55" s="1370"/>
      <c r="F55" s="1370"/>
      <c r="G55" s="1370"/>
      <c r="H55" s="1370"/>
      <c r="I55" s="1370"/>
      <c r="J55" s="1370"/>
      <c r="K55" s="1370"/>
      <c r="L55" s="1370"/>
      <c r="M55" s="1370"/>
      <c r="N55" s="1370"/>
      <c r="O55" s="1370"/>
      <c r="P55" s="1370"/>
      <c r="Q55" s="1370"/>
      <c r="R55" s="1370"/>
      <c r="S55" s="1370"/>
      <c r="T55" s="1370"/>
      <c r="U55" s="1370"/>
      <c r="V55" s="1370"/>
      <c r="W55" s="1370"/>
      <c r="X55" s="1370"/>
      <c r="Y55" s="1370"/>
      <c r="Z55" s="1370"/>
      <c r="AA55" s="1370"/>
      <c r="AB55" s="1370"/>
      <c r="AC55" s="1370"/>
      <c r="AD55" s="1370"/>
      <c r="AE55" s="1370"/>
      <c r="AF55" s="1370"/>
      <c r="AG55" s="543"/>
      <c r="AH55" s="543"/>
      <c r="AI55" s="1371"/>
      <c r="AJ55" s="1372"/>
      <c r="AK55" s="1372"/>
      <c r="AL55" s="1372"/>
      <c r="AM55" s="1372"/>
      <c r="AN55" s="1372"/>
      <c r="AO55" s="1372"/>
      <c r="AP55" s="1372"/>
      <c r="AQ55" s="1372"/>
      <c r="AR55" s="1372"/>
      <c r="AS55" s="1372"/>
      <c r="AT55" s="1372"/>
      <c r="AU55" s="1372"/>
      <c r="AV55" s="1372"/>
      <c r="AW55" s="1372"/>
      <c r="AX55" s="1372"/>
      <c r="AY55" s="1372"/>
      <c r="AZ55" s="1372"/>
      <c r="BA55" s="1372"/>
      <c r="BB55" s="1372"/>
      <c r="BC55" s="1372"/>
      <c r="BD55" s="1372"/>
      <c r="BE55" s="1372"/>
      <c r="BF55" s="1372"/>
      <c r="BG55" s="1372"/>
      <c r="BH55" s="1372"/>
      <c r="BI55" s="1372"/>
      <c r="BJ55" s="1372"/>
      <c r="BK55" s="1372"/>
      <c r="BL55" s="1372"/>
      <c r="BM55" s="1372"/>
      <c r="BN55" s="1372"/>
      <c r="BO55" s="1372"/>
      <c r="BP55" s="1372"/>
      <c r="BQ55" s="1373"/>
      <c r="BR55" s="543"/>
      <c r="BS55" s="543"/>
      <c r="BV55" s="71" t="s">
        <v>862</v>
      </c>
      <c r="BX55" s="71" t="s">
        <v>862</v>
      </c>
      <c r="BZ55" s="71" t="s">
        <v>863</v>
      </c>
      <c r="CE55" s="71" t="s">
        <v>864</v>
      </c>
      <c r="CO55" t="s">
        <v>1751</v>
      </c>
    </row>
    <row r="56" spans="1:93" ht="13.5" customHeight="1" x14ac:dyDescent="0.2">
      <c r="A56" s="1498"/>
      <c r="B56" s="575"/>
      <c r="K56" s="1361"/>
      <c r="L56" s="1362"/>
      <c r="M56" s="1362"/>
      <c r="N56" s="1362"/>
      <c r="O56" s="1362"/>
      <c r="P56" s="1362"/>
      <c r="Q56" s="1362"/>
      <c r="R56" s="1362"/>
      <c r="S56" s="1362"/>
      <c r="T56" s="1362"/>
      <c r="U56" s="1362"/>
      <c r="V56" s="1362"/>
      <c r="W56" s="1362"/>
      <c r="X56" s="1362"/>
      <c r="Y56" s="1363"/>
      <c r="Z56" s="575"/>
      <c r="AA56" s="575"/>
      <c r="AB56" s="575"/>
      <c r="AC56" s="575"/>
      <c r="AD56" s="575"/>
      <c r="AE56" s="575"/>
      <c r="AF56" s="575"/>
      <c r="AG56" s="543"/>
      <c r="AH56" s="543"/>
      <c r="AI56" s="1374"/>
      <c r="AJ56" s="1375"/>
      <c r="AK56" s="1375"/>
      <c r="AL56" s="1375"/>
      <c r="AM56" s="1375"/>
      <c r="AN56" s="1375"/>
      <c r="AO56" s="1375"/>
      <c r="AP56" s="1375"/>
      <c r="AQ56" s="1375"/>
      <c r="AR56" s="1375"/>
      <c r="AS56" s="1375"/>
      <c r="AT56" s="1375"/>
      <c r="AU56" s="1375"/>
      <c r="AV56" s="1375"/>
      <c r="AW56" s="1375"/>
      <c r="AX56" s="1375"/>
      <c r="AY56" s="1375"/>
      <c r="AZ56" s="1375"/>
      <c r="BA56" s="1375"/>
      <c r="BB56" s="1375"/>
      <c r="BC56" s="1375"/>
      <c r="BD56" s="1375"/>
      <c r="BE56" s="1375"/>
      <c r="BF56" s="1375"/>
      <c r="BG56" s="1375"/>
      <c r="BH56" s="1375"/>
      <c r="BI56" s="1375"/>
      <c r="BJ56" s="1375"/>
      <c r="BK56" s="1375"/>
      <c r="BL56" s="1375"/>
      <c r="BM56" s="1375"/>
      <c r="BN56" s="1375"/>
      <c r="BO56" s="1375"/>
      <c r="BP56" s="1375"/>
      <c r="BQ56" s="1376"/>
      <c r="BR56" s="543"/>
      <c r="BS56" s="543"/>
      <c r="BV56" s="71" t="s">
        <v>865</v>
      </c>
      <c r="BX56" s="71" t="s">
        <v>865</v>
      </c>
      <c r="BZ56" s="71" t="s">
        <v>866</v>
      </c>
      <c r="CE56" s="71" t="s">
        <v>867</v>
      </c>
      <c r="CO56" t="s">
        <v>1747</v>
      </c>
    </row>
    <row r="57" spans="1:93" ht="13.5" customHeight="1" x14ac:dyDescent="0.2">
      <c r="A57" s="1498"/>
      <c r="B57" s="575"/>
      <c r="K57" s="1364"/>
      <c r="L57" s="1365"/>
      <c r="M57" s="1365"/>
      <c r="N57" s="1365"/>
      <c r="O57" s="1365"/>
      <c r="P57" s="1365"/>
      <c r="Q57" s="1365"/>
      <c r="R57" s="1365"/>
      <c r="S57" s="1365"/>
      <c r="T57" s="1365"/>
      <c r="U57" s="1365"/>
      <c r="V57" s="1365"/>
      <c r="W57" s="1365"/>
      <c r="X57" s="1365"/>
      <c r="Y57" s="1366"/>
      <c r="Z57" s="575"/>
      <c r="AA57" s="575"/>
      <c r="AB57" s="575"/>
      <c r="AC57" s="575"/>
      <c r="AD57" s="575"/>
      <c r="AE57" s="575"/>
      <c r="AF57" s="575"/>
      <c r="AG57" s="543"/>
      <c r="AH57" s="543"/>
      <c r="AI57" s="1374"/>
      <c r="AJ57" s="1375"/>
      <c r="AK57" s="1375"/>
      <c r="AL57" s="1375"/>
      <c r="AM57" s="1375"/>
      <c r="AN57" s="1375"/>
      <c r="AO57" s="1375"/>
      <c r="AP57" s="1375"/>
      <c r="AQ57" s="1375"/>
      <c r="AR57" s="1375"/>
      <c r="AS57" s="1375"/>
      <c r="AT57" s="1375"/>
      <c r="AU57" s="1375"/>
      <c r="AV57" s="1375"/>
      <c r="AW57" s="1375"/>
      <c r="AX57" s="1375"/>
      <c r="AY57" s="1375"/>
      <c r="AZ57" s="1375"/>
      <c r="BA57" s="1375"/>
      <c r="BB57" s="1375"/>
      <c r="BC57" s="1375"/>
      <c r="BD57" s="1375"/>
      <c r="BE57" s="1375"/>
      <c r="BF57" s="1375"/>
      <c r="BG57" s="1375"/>
      <c r="BH57" s="1375"/>
      <c r="BI57" s="1375"/>
      <c r="BJ57" s="1375"/>
      <c r="BK57" s="1375"/>
      <c r="BL57" s="1375"/>
      <c r="BM57" s="1375"/>
      <c r="BN57" s="1375"/>
      <c r="BO57" s="1375"/>
      <c r="BP57" s="1375"/>
      <c r="BQ57" s="1376"/>
      <c r="BR57" s="543"/>
      <c r="BS57" s="543"/>
      <c r="BV57" s="71" t="s">
        <v>868</v>
      </c>
      <c r="BX57" s="71" t="s">
        <v>868</v>
      </c>
      <c r="BZ57" s="71" t="s">
        <v>869</v>
      </c>
      <c r="CE57" s="71" t="s">
        <v>870</v>
      </c>
    </row>
    <row r="58" spans="1:93" ht="13.5" customHeight="1" x14ac:dyDescent="0.2">
      <c r="A58" s="1498"/>
      <c r="B58" s="575"/>
      <c r="K58" s="1364"/>
      <c r="L58" s="1365"/>
      <c r="M58" s="1365"/>
      <c r="N58" s="1365"/>
      <c r="O58" s="1365"/>
      <c r="P58" s="1365"/>
      <c r="Q58" s="1365"/>
      <c r="R58" s="1365"/>
      <c r="S58" s="1365"/>
      <c r="T58" s="1365"/>
      <c r="U58" s="1365"/>
      <c r="V58" s="1365"/>
      <c r="W58" s="1365"/>
      <c r="X58" s="1365"/>
      <c r="Y58" s="1366"/>
      <c r="Z58" s="575"/>
      <c r="AA58" s="575"/>
      <c r="AB58" s="575"/>
      <c r="AC58" s="575"/>
      <c r="AD58" s="575"/>
      <c r="AE58" s="575"/>
      <c r="AF58" s="575"/>
      <c r="AG58" s="543"/>
      <c r="AH58" s="543"/>
      <c r="AI58" s="1374"/>
      <c r="AJ58" s="1375"/>
      <c r="AK58" s="1375"/>
      <c r="AL58" s="1375"/>
      <c r="AM58" s="1375"/>
      <c r="AN58" s="1375"/>
      <c r="AO58" s="1375"/>
      <c r="AP58" s="1375"/>
      <c r="AQ58" s="1375"/>
      <c r="AR58" s="1375"/>
      <c r="AS58" s="1375"/>
      <c r="AT58" s="1375"/>
      <c r="AU58" s="1375"/>
      <c r="AV58" s="1375"/>
      <c r="AW58" s="1375"/>
      <c r="AX58" s="1375"/>
      <c r="AY58" s="1375"/>
      <c r="AZ58" s="1375"/>
      <c r="BA58" s="1375"/>
      <c r="BB58" s="1375"/>
      <c r="BC58" s="1375"/>
      <c r="BD58" s="1375"/>
      <c r="BE58" s="1375"/>
      <c r="BF58" s="1375"/>
      <c r="BG58" s="1375"/>
      <c r="BH58" s="1375"/>
      <c r="BI58" s="1375"/>
      <c r="BJ58" s="1375"/>
      <c r="BK58" s="1375"/>
      <c r="BL58" s="1375"/>
      <c r="BM58" s="1375"/>
      <c r="BN58" s="1375"/>
      <c r="BO58" s="1375"/>
      <c r="BP58" s="1375"/>
      <c r="BQ58" s="1376"/>
      <c r="BR58" s="543"/>
      <c r="BS58" s="543"/>
      <c r="BV58" s="71" t="s">
        <v>871</v>
      </c>
      <c r="BX58" s="71" t="s">
        <v>872</v>
      </c>
      <c r="BZ58" s="71" t="s">
        <v>873</v>
      </c>
      <c r="CE58" s="71" t="s">
        <v>874</v>
      </c>
    </row>
    <row r="59" spans="1:93" ht="13.5" customHeight="1" x14ac:dyDescent="0.2">
      <c r="A59" s="1498"/>
      <c r="B59" s="575"/>
      <c r="K59" s="1364"/>
      <c r="L59" s="1365"/>
      <c r="M59" s="1365"/>
      <c r="N59" s="1365"/>
      <c r="O59" s="1365"/>
      <c r="P59" s="1365"/>
      <c r="Q59" s="1365"/>
      <c r="R59" s="1365"/>
      <c r="S59" s="1365"/>
      <c r="T59" s="1365"/>
      <c r="U59" s="1365"/>
      <c r="V59" s="1365"/>
      <c r="W59" s="1365"/>
      <c r="X59" s="1365"/>
      <c r="Y59" s="1366"/>
      <c r="Z59" s="575"/>
      <c r="AA59" s="575"/>
      <c r="AB59" s="575"/>
      <c r="AC59" s="575"/>
      <c r="AD59" s="575"/>
      <c r="AE59" s="575"/>
      <c r="AF59" s="575"/>
      <c r="AG59" s="543"/>
      <c r="AH59" s="543"/>
      <c r="AI59" s="1374"/>
      <c r="AJ59" s="1375"/>
      <c r="AK59" s="1375"/>
      <c r="AL59" s="1375"/>
      <c r="AM59" s="1375"/>
      <c r="AN59" s="1375"/>
      <c r="AO59" s="1375"/>
      <c r="AP59" s="1375"/>
      <c r="AQ59" s="1375"/>
      <c r="AR59" s="1375"/>
      <c r="AS59" s="1375"/>
      <c r="AT59" s="1375"/>
      <c r="AU59" s="1375"/>
      <c r="AV59" s="1375"/>
      <c r="AW59" s="1375"/>
      <c r="AX59" s="1375"/>
      <c r="AY59" s="1375"/>
      <c r="AZ59" s="1375"/>
      <c r="BA59" s="1375"/>
      <c r="BB59" s="1375"/>
      <c r="BC59" s="1375"/>
      <c r="BD59" s="1375"/>
      <c r="BE59" s="1375"/>
      <c r="BF59" s="1375"/>
      <c r="BG59" s="1375"/>
      <c r="BH59" s="1375"/>
      <c r="BI59" s="1375"/>
      <c r="BJ59" s="1375"/>
      <c r="BK59" s="1375"/>
      <c r="BL59" s="1375"/>
      <c r="BM59" s="1375"/>
      <c r="BN59" s="1375"/>
      <c r="BO59" s="1375"/>
      <c r="BP59" s="1375"/>
      <c r="BQ59" s="1376"/>
      <c r="BR59" s="543"/>
      <c r="BS59" s="543"/>
      <c r="BV59" s="71" t="s">
        <v>875</v>
      </c>
      <c r="BX59" s="71" t="s">
        <v>876</v>
      </c>
      <c r="BZ59" s="71" t="s">
        <v>877</v>
      </c>
      <c r="CE59" s="71" t="s">
        <v>878</v>
      </c>
    </row>
    <row r="60" spans="1:93" ht="13.5" customHeight="1" x14ac:dyDescent="0.2">
      <c r="A60" s="1498"/>
      <c r="B60" s="575"/>
      <c r="K60" s="1364"/>
      <c r="L60" s="1365"/>
      <c r="M60" s="1365"/>
      <c r="N60" s="1365"/>
      <c r="O60" s="1365"/>
      <c r="P60" s="1365"/>
      <c r="Q60" s="1365"/>
      <c r="R60" s="1365"/>
      <c r="S60" s="1365"/>
      <c r="T60" s="1365"/>
      <c r="U60" s="1365"/>
      <c r="V60" s="1365"/>
      <c r="W60" s="1365"/>
      <c r="X60" s="1365"/>
      <c r="Y60" s="1366"/>
      <c r="Z60" s="575"/>
      <c r="AA60" s="575"/>
      <c r="AB60" s="575"/>
      <c r="AC60" s="575"/>
      <c r="AD60" s="575"/>
      <c r="AE60" s="575"/>
      <c r="AF60" s="575"/>
      <c r="AG60" s="543"/>
      <c r="AH60" s="543"/>
      <c r="AI60" s="1374"/>
      <c r="AJ60" s="1375"/>
      <c r="AK60" s="1375"/>
      <c r="AL60" s="1375"/>
      <c r="AM60" s="1375"/>
      <c r="AN60" s="1375"/>
      <c r="AO60" s="1375"/>
      <c r="AP60" s="1375"/>
      <c r="AQ60" s="1375"/>
      <c r="AR60" s="1375"/>
      <c r="AS60" s="1375"/>
      <c r="AT60" s="1375"/>
      <c r="AU60" s="1375"/>
      <c r="AV60" s="1375"/>
      <c r="AW60" s="1375"/>
      <c r="AX60" s="1375"/>
      <c r="AY60" s="1375"/>
      <c r="AZ60" s="1375"/>
      <c r="BA60" s="1375"/>
      <c r="BB60" s="1375"/>
      <c r="BC60" s="1375"/>
      <c r="BD60" s="1375"/>
      <c r="BE60" s="1375"/>
      <c r="BF60" s="1375"/>
      <c r="BG60" s="1375"/>
      <c r="BH60" s="1375"/>
      <c r="BI60" s="1375"/>
      <c r="BJ60" s="1375"/>
      <c r="BK60" s="1375"/>
      <c r="BL60" s="1375"/>
      <c r="BM60" s="1375"/>
      <c r="BN60" s="1375"/>
      <c r="BO60" s="1375"/>
      <c r="BP60" s="1375"/>
      <c r="BQ60" s="1376"/>
      <c r="BR60" s="543"/>
      <c r="BS60" s="543"/>
      <c r="BV60" s="71" t="s">
        <v>879</v>
      </c>
      <c r="BX60" s="71" t="s">
        <v>880</v>
      </c>
      <c r="BZ60" s="71" t="s">
        <v>881</v>
      </c>
      <c r="CE60" s="71" t="s">
        <v>882</v>
      </c>
    </row>
    <row r="61" spans="1:93" ht="13.5" customHeight="1" x14ac:dyDescent="0.2">
      <c r="A61" s="1498"/>
      <c r="B61" s="575"/>
      <c r="K61" s="1364"/>
      <c r="L61" s="1365"/>
      <c r="M61" s="1365"/>
      <c r="N61" s="1365"/>
      <c r="O61" s="1365"/>
      <c r="P61" s="1365"/>
      <c r="Q61" s="1365"/>
      <c r="R61" s="1365"/>
      <c r="S61" s="1365"/>
      <c r="T61" s="1365"/>
      <c r="U61" s="1365"/>
      <c r="V61" s="1365"/>
      <c r="W61" s="1365"/>
      <c r="X61" s="1365"/>
      <c r="Y61" s="1366"/>
      <c r="Z61" s="575"/>
      <c r="AA61" s="575"/>
      <c r="AB61" s="575"/>
      <c r="AC61" s="575"/>
      <c r="AD61" s="575"/>
      <c r="AE61" s="575"/>
      <c r="AF61" s="575"/>
      <c r="AG61" s="1380" t="s">
        <v>840</v>
      </c>
      <c r="AH61" s="1380"/>
      <c r="AI61" s="1374"/>
      <c r="AJ61" s="1375"/>
      <c r="AK61" s="1375"/>
      <c r="AL61" s="1375"/>
      <c r="AM61" s="1375"/>
      <c r="AN61" s="1375"/>
      <c r="AO61" s="1375"/>
      <c r="AP61" s="1375"/>
      <c r="AQ61" s="1375"/>
      <c r="AR61" s="1375"/>
      <c r="AS61" s="1375"/>
      <c r="AT61" s="1375"/>
      <c r="AU61" s="1375"/>
      <c r="AV61" s="1375"/>
      <c r="AW61" s="1375"/>
      <c r="AX61" s="1375"/>
      <c r="AY61" s="1375"/>
      <c r="AZ61" s="1375"/>
      <c r="BA61" s="1375"/>
      <c r="BB61" s="1375"/>
      <c r="BC61" s="1375"/>
      <c r="BD61" s="1375"/>
      <c r="BE61" s="1375"/>
      <c r="BF61" s="1375"/>
      <c r="BG61" s="1375"/>
      <c r="BH61" s="1375"/>
      <c r="BI61" s="1375"/>
      <c r="BJ61" s="1375"/>
      <c r="BK61" s="1375"/>
      <c r="BL61" s="1375"/>
      <c r="BM61" s="1375"/>
      <c r="BN61" s="1375"/>
      <c r="BO61" s="1375"/>
      <c r="BP61" s="1375"/>
      <c r="BQ61" s="1376"/>
      <c r="BR61" s="543"/>
      <c r="BS61" s="543"/>
      <c r="BV61" s="71" t="s">
        <v>883</v>
      </c>
      <c r="BX61" s="71" t="s">
        <v>884</v>
      </c>
      <c r="BZ61" s="71" t="s">
        <v>885</v>
      </c>
      <c r="CE61" s="71" t="s">
        <v>886</v>
      </c>
    </row>
    <row r="62" spans="1:93" ht="13.5" customHeight="1" x14ac:dyDescent="0.2">
      <c r="A62" s="1498"/>
      <c r="B62" s="575"/>
      <c r="K62" s="1364"/>
      <c r="L62" s="1365"/>
      <c r="M62" s="1365"/>
      <c r="N62" s="1365"/>
      <c r="O62" s="1365"/>
      <c r="P62" s="1365"/>
      <c r="Q62" s="1365"/>
      <c r="R62" s="1365"/>
      <c r="S62" s="1365"/>
      <c r="T62" s="1365"/>
      <c r="U62" s="1365"/>
      <c r="V62" s="1365"/>
      <c r="W62" s="1365"/>
      <c r="X62" s="1365"/>
      <c r="Y62" s="1366"/>
      <c r="Z62" s="575"/>
      <c r="AA62" s="575"/>
      <c r="AB62" s="575"/>
      <c r="AC62" s="575"/>
      <c r="AD62" s="575"/>
      <c r="AE62" s="575"/>
      <c r="AF62" s="575"/>
      <c r="AG62" s="1380"/>
      <c r="AH62" s="1380"/>
      <c r="AI62" s="1374"/>
      <c r="AJ62" s="1375"/>
      <c r="AK62" s="1375"/>
      <c r="AL62" s="1375"/>
      <c r="AM62" s="1375"/>
      <c r="AN62" s="1375"/>
      <c r="AO62" s="1375"/>
      <c r="AP62" s="1375"/>
      <c r="AQ62" s="1375"/>
      <c r="AR62" s="1375"/>
      <c r="AS62" s="1375"/>
      <c r="AT62" s="1375"/>
      <c r="AU62" s="1375"/>
      <c r="AV62" s="1375"/>
      <c r="AW62" s="1375"/>
      <c r="AX62" s="1375"/>
      <c r="AY62" s="1375"/>
      <c r="AZ62" s="1375"/>
      <c r="BA62" s="1375"/>
      <c r="BB62" s="1375"/>
      <c r="BC62" s="1375"/>
      <c r="BD62" s="1375"/>
      <c r="BE62" s="1375"/>
      <c r="BF62" s="1375"/>
      <c r="BG62" s="1375"/>
      <c r="BH62" s="1375"/>
      <c r="BI62" s="1375"/>
      <c r="BJ62" s="1375"/>
      <c r="BK62" s="1375"/>
      <c r="BL62" s="1375"/>
      <c r="BM62" s="1375"/>
      <c r="BN62" s="1375"/>
      <c r="BO62" s="1375"/>
      <c r="BP62" s="1375"/>
      <c r="BQ62" s="1376"/>
      <c r="BR62" s="543"/>
      <c r="BS62" s="543"/>
      <c r="BV62" s="71" t="s">
        <v>887</v>
      </c>
      <c r="BX62" s="71" t="s">
        <v>883</v>
      </c>
      <c r="BZ62" s="71" t="s">
        <v>888</v>
      </c>
      <c r="CE62" s="71" t="s">
        <v>889</v>
      </c>
    </row>
    <row r="63" spans="1:93" ht="13.5" customHeight="1" x14ac:dyDescent="0.2">
      <c r="A63" s="1498"/>
      <c r="B63" s="575"/>
      <c r="K63" s="1364"/>
      <c r="L63" s="1365"/>
      <c r="M63" s="1365"/>
      <c r="N63" s="1365"/>
      <c r="O63" s="1365"/>
      <c r="P63" s="1365"/>
      <c r="Q63" s="1365"/>
      <c r="R63" s="1365"/>
      <c r="S63" s="1365"/>
      <c r="T63" s="1365"/>
      <c r="U63" s="1365"/>
      <c r="V63" s="1365"/>
      <c r="W63" s="1365"/>
      <c r="X63" s="1365"/>
      <c r="Y63" s="1366"/>
      <c r="Z63" s="575"/>
      <c r="AA63" s="575"/>
      <c r="AB63" s="575"/>
      <c r="AC63" s="575"/>
      <c r="AD63" s="575"/>
      <c r="AE63" s="575"/>
      <c r="AF63" s="575"/>
      <c r="AG63" s="1380"/>
      <c r="AH63" s="1380"/>
      <c r="AI63" s="1374"/>
      <c r="AJ63" s="1375"/>
      <c r="AK63" s="1375"/>
      <c r="AL63" s="1375"/>
      <c r="AM63" s="1375"/>
      <c r="AN63" s="1375"/>
      <c r="AO63" s="1375"/>
      <c r="AP63" s="1375"/>
      <c r="AQ63" s="1375"/>
      <c r="AR63" s="1375"/>
      <c r="AS63" s="1375"/>
      <c r="AT63" s="1375"/>
      <c r="AU63" s="1375"/>
      <c r="AV63" s="1375"/>
      <c r="AW63" s="1375"/>
      <c r="AX63" s="1375"/>
      <c r="AY63" s="1375"/>
      <c r="AZ63" s="1375"/>
      <c r="BA63" s="1375"/>
      <c r="BB63" s="1375"/>
      <c r="BC63" s="1375"/>
      <c r="BD63" s="1375"/>
      <c r="BE63" s="1375"/>
      <c r="BF63" s="1375"/>
      <c r="BG63" s="1375"/>
      <c r="BH63" s="1375"/>
      <c r="BI63" s="1375"/>
      <c r="BJ63" s="1375"/>
      <c r="BK63" s="1375"/>
      <c r="BL63" s="1375"/>
      <c r="BM63" s="1375"/>
      <c r="BN63" s="1375"/>
      <c r="BO63" s="1375"/>
      <c r="BP63" s="1375"/>
      <c r="BQ63" s="1376"/>
      <c r="BR63" s="543"/>
      <c r="BS63" s="543"/>
      <c r="BX63" s="71" t="s">
        <v>890</v>
      </c>
      <c r="BZ63" s="71" t="s">
        <v>891</v>
      </c>
      <c r="CE63" s="71" t="s">
        <v>892</v>
      </c>
    </row>
    <row r="64" spans="1:93" ht="13.5" customHeight="1" x14ac:dyDescent="0.2">
      <c r="A64" s="1498"/>
      <c r="B64" s="575"/>
      <c r="K64" s="1364"/>
      <c r="L64" s="1365"/>
      <c r="M64" s="1365"/>
      <c r="N64" s="1365"/>
      <c r="O64" s="1365"/>
      <c r="P64" s="1365"/>
      <c r="Q64" s="1365"/>
      <c r="R64" s="1365"/>
      <c r="S64" s="1365"/>
      <c r="T64" s="1365"/>
      <c r="U64" s="1365"/>
      <c r="V64" s="1365"/>
      <c r="W64" s="1365"/>
      <c r="X64" s="1365"/>
      <c r="Y64" s="1366"/>
      <c r="Z64" s="575"/>
      <c r="AA64" s="575"/>
      <c r="AB64" s="575"/>
      <c r="AC64" s="575"/>
      <c r="AD64" s="575"/>
      <c r="AE64" s="575"/>
      <c r="AF64" s="575"/>
      <c r="AG64" s="1380"/>
      <c r="AH64" s="1380"/>
      <c r="AI64" s="1374"/>
      <c r="AJ64" s="1375"/>
      <c r="AK64" s="1375"/>
      <c r="AL64" s="1375"/>
      <c r="AM64" s="1375"/>
      <c r="AN64" s="1375"/>
      <c r="AO64" s="1375"/>
      <c r="AP64" s="1375"/>
      <c r="AQ64" s="1375"/>
      <c r="AR64" s="1375"/>
      <c r="AS64" s="1375"/>
      <c r="AT64" s="1375"/>
      <c r="AU64" s="1375"/>
      <c r="AV64" s="1375"/>
      <c r="AW64" s="1375"/>
      <c r="AX64" s="1375"/>
      <c r="AY64" s="1375"/>
      <c r="AZ64" s="1375"/>
      <c r="BA64" s="1375"/>
      <c r="BB64" s="1375"/>
      <c r="BC64" s="1375"/>
      <c r="BD64" s="1375"/>
      <c r="BE64" s="1375"/>
      <c r="BF64" s="1375"/>
      <c r="BG64" s="1375"/>
      <c r="BH64" s="1375"/>
      <c r="BI64" s="1375"/>
      <c r="BJ64" s="1375"/>
      <c r="BK64" s="1375"/>
      <c r="BL64" s="1375"/>
      <c r="BM64" s="1375"/>
      <c r="BN64" s="1375"/>
      <c r="BO64" s="1375"/>
      <c r="BP64" s="1375"/>
      <c r="BQ64" s="1376"/>
      <c r="BR64" s="543"/>
      <c r="BS64" s="543"/>
      <c r="BX64" s="71" t="s">
        <v>887</v>
      </c>
      <c r="BZ64" s="71" t="s">
        <v>893</v>
      </c>
    </row>
    <row r="65" spans="1:78" ht="13.5" customHeight="1" x14ac:dyDescent="0.2">
      <c r="A65" s="1498"/>
      <c r="B65" s="575"/>
      <c r="K65" s="1364"/>
      <c r="L65" s="1365"/>
      <c r="M65" s="1365"/>
      <c r="N65" s="1365"/>
      <c r="O65" s="1365"/>
      <c r="P65" s="1365"/>
      <c r="Q65" s="1365"/>
      <c r="R65" s="1365"/>
      <c r="S65" s="1365"/>
      <c r="T65" s="1365"/>
      <c r="U65" s="1365"/>
      <c r="V65" s="1365"/>
      <c r="W65" s="1365"/>
      <c r="X65" s="1365"/>
      <c r="Y65" s="1366"/>
      <c r="Z65" s="575"/>
      <c r="AA65" s="575"/>
      <c r="AB65" s="575"/>
      <c r="AC65" s="575"/>
      <c r="AD65" s="575"/>
      <c r="AE65" s="575"/>
      <c r="AF65" s="575"/>
      <c r="AG65" s="1380"/>
      <c r="AH65" s="1380"/>
      <c r="AI65" s="1374"/>
      <c r="AJ65" s="1375"/>
      <c r="AK65" s="1375"/>
      <c r="AL65" s="1375"/>
      <c r="AM65" s="1375"/>
      <c r="AN65" s="1375"/>
      <c r="AO65" s="1375"/>
      <c r="AP65" s="1375"/>
      <c r="AQ65" s="1375"/>
      <c r="AR65" s="1375"/>
      <c r="AS65" s="1375"/>
      <c r="AT65" s="1375"/>
      <c r="AU65" s="1375"/>
      <c r="AV65" s="1375"/>
      <c r="AW65" s="1375"/>
      <c r="AX65" s="1375"/>
      <c r="AY65" s="1375"/>
      <c r="AZ65" s="1375"/>
      <c r="BA65" s="1375"/>
      <c r="BB65" s="1375"/>
      <c r="BC65" s="1375"/>
      <c r="BD65" s="1375"/>
      <c r="BE65" s="1375"/>
      <c r="BF65" s="1375"/>
      <c r="BG65" s="1375"/>
      <c r="BH65" s="1375"/>
      <c r="BI65" s="1375"/>
      <c r="BJ65" s="1375"/>
      <c r="BK65" s="1375"/>
      <c r="BL65" s="1375"/>
      <c r="BM65" s="1375"/>
      <c r="BN65" s="1375"/>
      <c r="BO65" s="1375"/>
      <c r="BP65" s="1375"/>
      <c r="BQ65" s="1376"/>
      <c r="BR65" s="543"/>
      <c r="BS65" s="543"/>
      <c r="BZ65" s="71" t="s">
        <v>894</v>
      </c>
    </row>
    <row r="66" spans="1:78" ht="13.5" customHeight="1" x14ac:dyDescent="0.2">
      <c r="A66" s="1498"/>
      <c r="B66" s="575"/>
      <c r="K66" s="1364"/>
      <c r="L66" s="1365"/>
      <c r="M66" s="1365"/>
      <c r="N66" s="1365"/>
      <c r="O66" s="1365"/>
      <c r="P66" s="1365"/>
      <c r="Q66" s="1365"/>
      <c r="R66" s="1365"/>
      <c r="S66" s="1365"/>
      <c r="T66" s="1365"/>
      <c r="U66" s="1365"/>
      <c r="V66" s="1365"/>
      <c r="W66" s="1365"/>
      <c r="X66" s="1365"/>
      <c r="Y66" s="1366"/>
      <c r="Z66" s="575"/>
      <c r="AA66" s="575"/>
      <c r="AB66" s="575"/>
      <c r="AC66" s="575"/>
      <c r="AD66" s="575"/>
      <c r="AE66" s="575"/>
      <c r="AF66" s="575"/>
      <c r="AG66" s="1380"/>
      <c r="AH66" s="1380"/>
      <c r="AI66" s="1374"/>
      <c r="AJ66" s="1375"/>
      <c r="AK66" s="1375"/>
      <c r="AL66" s="1375"/>
      <c r="AM66" s="1375"/>
      <c r="AN66" s="1375"/>
      <c r="AO66" s="1375"/>
      <c r="AP66" s="1375"/>
      <c r="AQ66" s="1375"/>
      <c r="AR66" s="1375"/>
      <c r="AS66" s="1375"/>
      <c r="AT66" s="1375"/>
      <c r="AU66" s="1375"/>
      <c r="AV66" s="1375"/>
      <c r="AW66" s="1375"/>
      <c r="AX66" s="1375"/>
      <c r="AY66" s="1375"/>
      <c r="AZ66" s="1375"/>
      <c r="BA66" s="1375"/>
      <c r="BB66" s="1375"/>
      <c r="BC66" s="1375"/>
      <c r="BD66" s="1375"/>
      <c r="BE66" s="1375"/>
      <c r="BF66" s="1375"/>
      <c r="BG66" s="1375"/>
      <c r="BH66" s="1375"/>
      <c r="BI66" s="1375"/>
      <c r="BJ66" s="1375"/>
      <c r="BK66" s="1375"/>
      <c r="BL66" s="1375"/>
      <c r="BM66" s="1375"/>
      <c r="BN66" s="1375"/>
      <c r="BO66" s="1375"/>
      <c r="BP66" s="1375"/>
      <c r="BQ66" s="1376"/>
      <c r="BR66" s="543"/>
      <c r="BS66" s="543"/>
      <c r="BZ66" s="71" t="s">
        <v>895</v>
      </c>
    </row>
    <row r="67" spans="1:78" ht="13.5" customHeight="1" x14ac:dyDescent="0.2">
      <c r="A67" s="1498"/>
      <c r="B67" s="575"/>
      <c r="K67" s="1364"/>
      <c r="L67" s="1365"/>
      <c r="M67" s="1365"/>
      <c r="N67" s="1365"/>
      <c r="O67" s="1365"/>
      <c r="P67" s="1365"/>
      <c r="Q67" s="1365"/>
      <c r="R67" s="1365"/>
      <c r="S67" s="1365"/>
      <c r="T67" s="1365"/>
      <c r="U67" s="1365"/>
      <c r="V67" s="1365"/>
      <c r="W67" s="1365"/>
      <c r="X67" s="1365"/>
      <c r="Y67" s="1366"/>
      <c r="Z67" s="575"/>
      <c r="AA67" s="575"/>
      <c r="AB67" s="575"/>
      <c r="AC67" s="575"/>
      <c r="AD67" s="575"/>
      <c r="AE67" s="575"/>
      <c r="AF67" s="575"/>
      <c r="AG67" s="543"/>
      <c r="AH67" s="543"/>
      <c r="AI67" s="1374"/>
      <c r="AJ67" s="1375"/>
      <c r="AK67" s="1375"/>
      <c r="AL67" s="1375"/>
      <c r="AM67" s="1375"/>
      <c r="AN67" s="1375"/>
      <c r="AO67" s="1375"/>
      <c r="AP67" s="1375"/>
      <c r="AQ67" s="1375"/>
      <c r="AR67" s="1375"/>
      <c r="AS67" s="1375"/>
      <c r="AT67" s="1375"/>
      <c r="AU67" s="1375"/>
      <c r="AV67" s="1375"/>
      <c r="AW67" s="1375"/>
      <c r="AX67" s="1375"/>
      <c r="AY67" s="1375"/>
      <c r="AZ67" s="1375"/>
      <c r="BA67" s="1375"/>
      <c r="BB67" s="1375"/>
      <c r="BC67" s="1375"/>
      <c r="BD67" s="1375"/>
      <c r="BE67" s="1375"/>
      <c r="BF67" s="1375"/>
      <c r="BG67" s="1375"/>
      <c r="BH67" s="1375"/>
      <c r="BI67" s="1375"/>
      <c r="BJ67" s="1375"/>
      <c r="BK67" s="1375"/>
      <c r="BL67" s="1375"/>
      <c r="BM67" s="1375"/>
      <c r="BN67" s="1375"/>
      <c r="BO67" s="1375"/>
      <c r="BP67" s="1375"/>
      <c r="BQ67" s="1376"/>
      <c r="BR67" s="543"/>
      <c r="BS67" s="543"/>
      <c r="BZ67" s="71" t="s">
        <v>896</v>
      </c>
    </row>
    <row r="68" spans="1:78" ht="13.5" customHeight="1" x14ac:dyDescent="0.2">
      <c r="A68" s="1498"/>
      <c r="B68" s="575"/>
      <c r="K68" s="1364"/>
      <c r="L68" s="1365"/>
      <c r="M68" s="1365"/>
      <c r="N68" s="1365"/>
      <c r="O68" s="1365"/>
      <c r="P68" s="1365"/>
      <c r="Q68" s="1365"/>
      <c r="R68" s="1365"/>
      <c r="S68" s="1365"/>
      <c r="T68" s="1365"/>
      <c r="U68" s="1365"/>
      <c r="V68" s="1365"/>
      <c r="W68" s="1365"/>
      <c r="X68" s="1365"/>
      <c r="Y68" s="1366"/>
      <c r="Z68" s="575"/>
      <c r="AA68" s="575"/>
      <c r="AB68" s="575"/>
      <c r="AC68" s="575"/>
      <c r="AD68" s="575"/>
      <c r="AE68" s="575"/>
      <c r="AF68" s="575"/>
      <c r="AG68" s="543"/>
      <c r="AH68" s="543"/>
      <c r="AI68" s="1374"/>
      <c r="AJ68" s="1375"/>
      <c r="AK68" s="1375"/>
      <c r="AL68" s="1375"/>
      <c r="AM68" s="1375"/>
      <c r="AN68" s="1375"/>
      <c r="AO68" s="1375"/>
      <c r="AP68" s="1375"/>
      <c r="AQ68" s="1375"/>
      <c r="AR68" s="1375"/>
      <c r="AS68" s="1375"/>
      <c r="AT68" s="1375"/>
      <c r="AU68" s="1375"/>
      <c r="AV68" s="1375"/>
      <c r="AW68" s="1375"/>
      <c r="AX68" s="1375"/>
      <c r="AY68" s="1375"/>
      <c r="AZ68" s="1375"/>
      <c r="BA68" s="1375"/>
      <c r="BB68" s="1375"/>
      <c r="BC68" s="1375"/>
      <c r="BD68" s="1375"/>
      <c r="BE68" s="1375"/>
      <c r="BF68" s="1375"/>
      <c r="BG68" s="1375"/>
      <c r="BH68" s="1375"/>
      <c r="BI68" s="1375"/>
      <c r="BJ68" s="1375"/>
      <c r="BK68" s="1375"/>
      <c r="BL68" s="1375"/>
      <c r="BM68" s="1375"/>
      <c r="BN68" s="1375"/>
      <c r="BO68" s="1375"/>
      <c r="BP68" s="1375"/>
      <c r="BQ68" s="1376"/>
      <c r="BR68" s="543"/>
      <c r="BS68" s="543"/>
      <c r="BZ68" s="71" t="s">
        <v>859</v>
      </c>
    </row>
    <row r="69" spans="1:78" ht="13.5" customHeight="1" x14ac:dyDescent="0.2">
      <c r="A69" s="1498"/>
      <c r="B69" s="575"/>
      <c r="C69" s="575"/>
      <c r="D69" s="575"/>
      <c r="E69" s="575"/>
      <c r="F69" s="575"/>
      <c r="G69" s="575"/>
      <c r="H69" s="575"/>
      <c r="I69" s="575"/>
      <c r="J69" s="575"/>
      <c r="K69" s="1364"/>
      <c r="L69" s="1365"/>
      <c r="M69" s="1365"/>
      <c r="N69" s="1365"/>
      <c r="O69" s="1365"/>
      <c r="P69" s="1365"/>
      <c r="Q69" s="1365"/>
      <c r="R69" s="1365"/>
      <c r="S69" s="1365"/>
      <c r="T69" s="1365"/>
      <c r="U69" s="1365"/>
      <c r="V69" s="1365"/>
      <c r="W69" s="1365"/>
      <c r="X69" s="1365"/>
      <c r="Y69" s="1366"/>
      <c r="Z69" s="575"/>
      <c r="AA69" s="575"/>
      <c r="AB69" s="575"/>
      <c r="AC69" s="575"/>
      <c r="AD69" s="575"/>
      <c r="AE69" s="575"/>
      <c r="AF69" s="575"/>
      <c r="AG69" s="543"/>
      <c r="AH69" s="543"/>
      <c r="AI69" s="1374"/>
      <c r="AJ69" s="1375"/>
      <c r="AK69" s="1375"/>
      <c r="AL69" s="1375"/>
      <c r="AM69" s="1375"/>
      <c r="AN69" s="1375"/>
      <c r="AO69" s="1375"/>
      <c r="AP69" s="1375"/>
      <c r="AQ69" s="1375"/>
      <c r="AR69" s="1375"/>
      <c r="AS69" s="1375"/>
      <c r="AT69" s="1375"/>
      <c r="AU69" s="1375"/>
      <c r="AV69" s="1375"/>
      <c r="AW69" s="1375"/>
      <c r="AX69" s="1375"/>
      <c r="AY69" s="1375"/>
      <c r="AZ69" s="1375"/>
      <c r="BA69" s="1375"/>
      <c r="BB69" s="1375"/>
      <c r="BC69" s="1375"/>
      <c r="BD69" s="1375"/>
      <c r="BE69" s="1375"/>
      <c r="BF69" s="1375"/>
      <c r="BG69" s="1375"/>
      <c r="BH69" s="1375"/>
      <c r="BI69" s="1375"/>
      <c r="BJ69" s="1375"/>
      <c r="BK69" s="1375"/>
      <c r="BL69" s="1375"/>
      <c r="BM69" s="1375"/>
      <c r="BN69" s="1375"/>
      <c r="BO69" s="1375"/>
      <c r="BP69" s="1375"/>
      <c r="BQ69" s="1376"/>
      <c r="BR69" s="543"/>
      <c r="BS69" s="543"/>
      <c r="BZ69" s="71" t="s">
        <v>897</v>
      </c>
    </row>
    <row r="70" spans="1:78" x14ac:dyDescent="0.2">
      <c r="A70" s="1498"/>
      <c r="B70" s="575"/>
      <c r="C70" s="575"/>
      <c r="D70" s="575"/>
      <c r="E70" s="575"/>
      <c r="F70" s="575"/>
      <c r="G70" s="575"/>
      <c r="H70" s="575"/>
      <c r="I70" s="575"/>
      <c r="J70" s="575"/>
      <c r="K70" s="1364"/>
      <c r="L70" s="1365"/>
      <c r="M70" s="1365"/>
      <c r="N70" s="1365"/>
      <c r="O70" s="1365"/>
      <c r="P70" s="1365"/>
      <c r="Q70" s="1365"/>
      <c r="R70" s="1365"/>
      <c r="S70" s="1365"/>
      <c r="T70" s="1365"/>
      <c r="U70" s="1365"/>
      <c r="V70" s="1365"/>
      <c r="W70" s="1365"/>
      <c r="X70" s="1365"/>
      <c r="Y70" s="1366"/>
      <c r="Z70" s="575"/>
      <c r="AA70" s="575"/>
      <c r="AB70" s="575"/>
      <c r="AC70" s="575"/>
      <c r="AD70" s="575"/>
      <c r="AE70" s="575"/>
      <c r="AF70" s="575"/>
      <c r="AI70" s="1374"/>
      <c r="AJ70" s="1375"/>
      <c r="AK70" s="1375"/>
      <c r="AL70" s="1375"/>
      <c r="AM70" s="1375"/>
      <c r="AN70" s="1375"/>
      <c r="AO70" s="1375"/>
      <c r="AP70" s="1375"/>
      <c r="AQ70" s="1375"/>
      <c r="AR70" s="1375"/>
      <c r="AS70" s="1375"/>
      <c r="AT70" s="1375"/>
      <c r="AU70" s="1375"/>
      <c r="AV70" s="1375"/>
      <c r="AW70" s="1375"/>
      <c r="AX70" s="1375"/>
      <c r="AY70" s="1375"/>
      <c r="AZ70" s="1375"/>
      <c r="BA70" s="1375"/>
      <c r="BB70" s="1375"/>
      <c r="BC70" s="1375"/>
      <c r="BD70" s="1375"/>
      <c r="BE70" s="1375"/>
      <c r="BF70" s="1375"/>
      <c r="BG70" s="1375"/>
      <c r="BH70" s="1375"/>
      <c r="BI70" s="1375"/>
      <c r="BJ70" s="1375"/>
      <c r="BK70" s="1375"/>
      <c r="BL70" s="1375"/>
      <c r="BM70" s="1375"/>
      <c r="BN70" s="1375"/>
      <c r="BO70" s="1375"/>
      <c r="BP70" s="1375"/>
      <c r="BQ70" s="1376"/>
      <c r="BR70" s="537"/>
      <c r="BS70" s="537"/>
      <c r="BZ70" s="71" t="s">
        <v>898</v>
      </c>
    </row>
    <row r="71" spans="1:78" ht="8.25" customHeight="1" thickBot="1" x14ac:dyDescent="0.25">
      <c r="A71" s="1498"/>
      <c r="B71" s="575"/>
      <c r="C71" s="575"/>
      <c r="D71" s="575"/>
      <c r="E71" s="575"/>
      <c r="F71" s="575"/>
      <c r="G71" s="575"/>
      <c r="H71" s="575"/>
      <c r="I71" s="575"/>
      <c r="J71" s="575"/>
      <c r="K71" s="1367"/>
      <c r="L71" s="1368"/>
      <c r="M71" s="1368"/>
      <c r="N71" s="1368"/>
      <c r="O71" s="1368"/>
      <c r="P71" s="1368"/>
      <c r="Q71" s="1368"/>
      <c r="R71" s="1368"/>
      <c r="S71" s="1368"/>
      <c r="T71" s="1368"/>
      <c r="U71" s="1368"/>
      <c r="V71" s="1368"/>
      <c r="W71" s="1368"/>
      <c r="X71" s="1368"/>
      <c r="Y71" s="1369"/>
      <c r="Z71" s="575"/>
      <c r="AA71" s="575"/>
      <c r="AB71" s="575"/>
      <c r="AC71" s="575"/>
      <c r="AD71" s="575"/>
      <c r="AE71" s="575"/>
      <c r="AF71" s="575"/>
      <c r="AI71" s="1374"/>
      <c r="AJ71" s="1375"/>
      <c r="AK71" s="1375"/>
      <c r="AL71" s="1375"/>
      <c r="AM71" s="1375"/>
      <c r="AN71" s="1375"/>
      <c r="AO71" s="1375"/>
      <c r="AP71" s="1375"/>
      <c r="AQ71" s="1375"/>
      <c r="AR71" s="1375"/>
      <c r="AS71" s="1375"/>
      <c r="AT71" s="1375"/>
      <c r="AU71" s="1375"/>
      <c r="AV71" s="1375"/>
      <c r="AW71" s="1375"/>
      <c r="AX71" s="1375"/>
      <c r="AY71" s="1375"/>
      <c r="AZ71" s="1375"/>
      <c r="BA71" s="1375"/>
      <c r="BB71" s="1375"/>
      <c r="BC71" s="1375"/>
      <c r="BD71" s="1375"/>
      <c r="BE71" s="1375"/>
      <c r="BF71" s="1375"/>
      <c r="BG71" s="1375"/>
      <c r="BH71" s="1375"/>
      <c r="BI71" s="1375"/>
      <c r="BJ71" s="1375"/>
      <c r="BK71" s="1375"/>
      <c r="BL71" s="1375"/>
      <c r="BM71" s="1375"/>
      <c r="BN71" s="1375"/>
      <c r="BO71" s="1375"/>
      <c r="BP71" s="1375"/>
      <c r="BQ71" s="1376"/>
      <c r="BR71" s="537"/>
      <c r="BS71" s="537"/>
      <c r="BZ71" s="71" t="s">
        <v>899</v>
      </c>
    </row>
    <row r="72" spans="1:78" x14ac:dyDescent="0.2">
      <c r="A72" s="1498"/>
      <c r="B72" s="575"/>
      <c r="C72" s="575"/>
      <c r="D72" s="575"/>
      <c r="E72" s="575"/>
      <c r="F72" s="575"/>
      <c r="G72" s="575"/>
      <c r="H72" s="575"/>
      <c r="I72" s="575"/>
      <c r="J72" s="575"/>
      <c r="K72" s="575"/>
      <c r="L72" s="575"/>
      <c r="M72" s="575"/>
      <c r="N72" s="575"/>
      <c r="O72" s="575"/>
      <c r="P72" s="575"/>
      <c r="Q72" s="575"/>
      <c r="R72" s="575"/>
      <c r="S72" s="575"/>
      <c r="T72" s="575"/>
      <c r="U72" s="575"/>
      <c r="V72" s="575"/>
      <c r="W72" s="575"/>
      <c r="X72" s="575"/>
      <c r="Y72" s="575"/>
      <c r="Z72" s="575"/>
      <c r="AA72" s="575"/>
      <c r="AB72" s="575"/>
      <c r="AC72" s="575"/>
      <c r="AD72" s="575"/>
      <c r="AE72" s="575"/>
      <c r="AF72" s="575"/>
      <c r="AI72" s="1374"/>
      <c r="AJ72" s="1375"/>
      <c r="AK72" s="1375"/>
      <c r="AL72" s="1375"/>
      <c r="AM72" s="1375"/>
      <c r="AN72" s="1375"/>
      <c r="AO72" s="1375"/>
      <c r="AP72" s="1375"/>
      <c r="AQ72" s="1375"/>
      <c r="AR72" s="1375"/>
      <c r="AS72" s="1375"/>
      <c r="AT72" s="1375"/>
      <c r="AU72" s="1375"/>
      <c r="AV72" s="1375"/>
      <c r="AW72" s="1375"/>
      <c r="AX72" s="1375"/>
      <c r="AY72" s="1375"/>
      <c r="AZ72" s="1375"/>
      <c r="BA72" s="1375"/>
      <c r="BB72" s="1375"/>
      <c r="BC72" s="1375"/>
      <c r="BD72" s="1375"/>
      <c r="BE72" s="1375"/>
      <c r="BF72" s="1375"/>
      <c r="BG72" s="1375"/>
      <c r="BH72" s="1375"/>
      <c r="BI72" s="1375"/>
      <c r="BJ72" s="1375"/>
      <c r="BK72" s="1375"/>
      <c r="BL72" s="1375"/>
      <c r="BM72" s="1375"/>
      <c r="BN72" s="1375"/>
      <c r="BO72" s="1375"/>
      <c r="BP72" s="1375"/>
      <c r="BQ72" s="1376"/>
      <c r="BR72" s="537"/>
      <c r="BS72" s="537"/>
      <c r="BZ72" s="71" t="s">
        <v>900</v>
      </c>
    </row>
    <row r="73" spans="1:78" x14ac:dyDescent="0.2">
      <c r="A73" s="1498"/>
      <c r="B73" s="575"/>
      <c r="C73" s="575"/>
      <c r="D73" s="575"/>
      <c r="E73" s="575"/>
      <c r="F73" s="575"/>
      <c r="G73" s="575"/>
      <c r="H73" s="575"/>
      <c r="I73" s="575"/>
      <c r="J73" s="575"/>
      <c r="K73" s="575"/>
      <c r="L73" s="575"/>
      <c r="M73" s="575"/>
      <c r="N73" s="575"/>
      <c r="O73" s="575"/>
      <c r="P73" s="575"/>
      <c r="Q73" s="575"/>
      <c r="R73" s="575"/>
      <c r="S73" s="575"/>
      <c r="T73" s="575"/>
      <c r="U73" s="575"/>
      <c r="V73" s="575"/>
      <c r="W73" s="575"/>
      <c r="X73" s="575"/>
      <c r="Y73" s="575"/>
      <c r="Z73" s="575"/>
      <c r="AA73" s="575"/>
      <c r="AB73" s="575"/>
      <c r="AC73" s="575"/>
      <c r="AD73" s="575"/>
      <c r="AE73" s="575"/>
      <c r="AF73" s="575"/>
      <c r="AI73" s="1374"/>
      <c r="AJ73" s="1375"/>
      <c r="AK73" s="1375"/>
      <c r="AL73" s="1375"/>
      <c r="AM73" s="1375"/>
      <c r="AN73" s="1375"/>
      <c r="AO73" s="1375"/>
      <c r="AP73" s="1375"/>
      <c r="AQ73" s="1375"/>
      <c r="AR73" s="1375"/>
      <c r="AS73" s="1375"/>
      <c r="AT73" s="1375"/>
      <c r="AU73" s="1375"/>
      <c r="AV73" s="1375"/>
      <c r="AW73" s="1375"/>
      <c r="AX73" s="1375"/>
      <c r="AY73" s="1375"/>
      <c r="AZ73" s="1375"/>
      <c r="BA73" s="1375"/>
      <c r="BB73" s="1375"/>
      <c r="BC73" s="1375"/>
      <c r="BD73" s="1375"/>
      <c r="BE73" s="1375"/>
      <c r="BF73" s="1375"/>
      <c r="BG73" s="1375"/>
      <c r="BH73" s="1375"/>
      <c r="BI73" s="1375"/>
      <c r="BJ73" s="1375"/>
      <c r="BK73" s="1375"/>
      <c r="BL73" s="1375"/>
      <c r="BM73" s="1375"/>
      <c r="BN73" s="1375"/>
      <c r="BO73" s="1375"/>
      <c r="BP73" s="1375"/>
      <c r="BQ73" s="1376"/>
      <c r="BR73" s="537"/>
      <c r="BS73" s="537"/>
      <c r="BZ73" s="71" t="s">
        <v>901</v>
      </c>
    </row>
    <row r="74" spans="1:78" x14ac:dyDescent="0.2">
      <c r="A74" s="1498"/>
      <c r="B74" s="575"/>
      <c r="C74" s="575"/>
      <c r="D74" s="575"/>
      <c r="E74" s="575"/>
      <c r="F74" s="575"/>
      <c r="G74" s="575"/>
      <c r="H74" s="575"/>
      <c r="I74" s="575"/>
      <c r="J74" s="575"/>
      <c r="K74" s="575"/>
      <c r="L74" s="575"/>
      <c r="M74" s="575"/>
      <c r="N74" s="575"/>
      <c r="O74" s="575"/>
      <c r="P74" s="575"/>
      <c r="Q74" s="575"/>
      <c r="R74" s="575"/>
      <c r="S74" s="575"/>
      <c r="T74" s="575"/>
      <c r="U74" s="575"/>
      <c r="V74" s="575"/>
      <c r="W74" s="575"/>
      <c r="X74" s="575"/>
      <c r="Y74" s="575"/>
      <c r="Z74" s="575"/>
      <c r="AA74" s="575"/>
      <c r="AB74" s="575"/>
      <c r="AC74" s="575"/>
      <c r="AD74" s="575"/>
      <c r="AE74" s="575"/>
      <c r="AF74" s="575"/>
      <c r="AI74" s="1374"/>
      <c r="AJ74" s="1375"/>
      <c r="AK74" s="1375"/>
      <c r="AL74" s="1375"/>
      <c r="AM74" s="1375"/>
      <c r="AN74" s="1375"/>
      <c r="AO74" s="1375"/>
      <c r="AP74" s="1375"/>
      <c r="AQ74" s="1375"/>
      <c r="AR74" s="1375"/>
      <c r="AS74" s="1375"/>
      <c r="AT74" s="1375"/>
      <c r="AU74" s="1375"/>
      <c r="AV74" s="1375"/>
      <c r="AW74" s="1375"/>
      <c r="AX74" s="1375"/>
      <c r="AY74" s="1375"/>
      <c r="AZ74" s="1375"/>
      <c r="BA74" s="1375"/>
      <c r="BB74" s="1375"/>
      <c r="BC74" s="1375"/>
      <c r="BD74" s="1375"/>
      <c r="BE74" s="1375"/>
      <c r="BF74" s="1375"/>
      <c r="BG74" s="1375"/>
      <c r="BH74" s="1375"/>
      <c r="BI74" s="1375"/>
      <c r="BJ74" s="1375"/>
      <c r="BK74" s="1375"/>
      <c r="BL74" s="1375"/>
      <c r="BM74" s="1375"/>
      <c r="BN74" s="1375"/>
      <c r="BO74" s="1375"/>
      <c r="BP74" s="1375"/>
      <c r="BQ74" s="1376"/>
      <c r="BR74" s="537"/>
      <c r="BS74" s="537"/>
      <c r="BZ74" s="71" t="s">
        <v>902</v>
      </c>
    </row>
    <row r="75" spans="1:78" x14ac:dyDescent="0.2">
      <c r="A75" s="1498"/>
      <c r="B75" s="575"/>
      <c r="C75" s="575"/>
      <c r="D75" s="575"/>
      <c r="E75" s="575"/>
      <c r="F75" s="575"/>
      <c r="G75" s="575"/>
      <c r="H75" s="575"/>
      <c r="I75" s="575"/>
      <c r="J75" s="575"/>
      <c r="K75" s="575"/>
      <c r="L75" s="575"/>
      <c r="M75" s="575"/>
      <c r="N75" s="575"/>
      <c r="O75" s="575"/>
      <c r="P75" s="575"/>
      <c r="Q75" s="575"/>
      <c r="R75" s="575"/>
      <c r="S75" s="575"/>
      <c r="T75" s="575"/>
      <c r="U75" s="575"/>
      <c r="V75" s="575"/>
      <c r="W75" s="575"/>
      <c r="X75" s="575"/>
      <c r="Y75" s="575"/>
      <c r="Z75" s="575"/>
      <c r="AA75" s="575"/>
      <c r="AB75" s="575"/>
      <c r="AC75" s="575"/>
      <c r="AD75" s="575"/>
      <c r="AE75" s="575"/>
      <c r="AF75" s="575"/>
      <c r="AI75" s="1374"/>
      <c r="AJ75" s="1375"/>
      <c r="AK75" s="1375"/>
      <c r="AL75" s="1375"/>
      <c r="AM75" s="1375"/>
      <c r="AN75" s="1375"/>
      <c r="AO75" s="1375"/>
      <c r="AP75" s="1375"/>
      <c r="AQ75" s="1375"/>
      <c r="AR75" s="1375"/>
      <c r="AS75" s="1375"/>
      <c r="AT75" s="1375"/>
      <c r="AU75" s="1375"/>
      <c r="AV75" s="1375"/>
      <c r="AW75" s="1375"/>
      <c r="AX75" s="1375"/>
      <c r="AY75" s="1375"/>
      <c r="AZ75" s="1375"/>
      <c r="BA75" s="1375"/>
      <c r="BB75" s="1375"/>
      <c r="BC75" s="1375"/>
      <c r="BD75" s="1375"/>
      <c r="BE75" s="1375"/>
      <c r="BF75" s="1375"/>
      <c r="BG75" s="1375"/>
      <c r="BH75" s="1375"/>
      <c r="BI75" s="1375"/>
      <c r="BJ75" s="1375"/>
      <c r="BK75" s="1375"/>
      <c r="BL75" s="1375"/>
      <c r="BM75" s="1375"/>
      <c r="BN75" s="1375"/>
      <c r="BO75" s="1375"/>
      <c r="BP75" s="1375"/>
      <c r="BQ75" s="1376"/>
      <c r="BR75" s="537"/>
      <c r="BS75" s="537"/>
      <c r="BZ75" s="71" t="s">
        <v>903</v>
      </c>
    </row>
    <row r="76" spans="1:78" ht="3.75" customHeight="1" x14ac:dyDescent="0.2">
      <c r="A76" s="529"/>
      <c r="B76" s="575"/>
      <c r="C76" s="575"/>
      <c r="D76" s="575"/>
      <c r="E76" s="575"/>
      <c r="F76" s="575"/>
      <c r="G76" s="575"/>
      <c r="H76" s="575"/>
      <c r="I76" s="575"/>
      <c r="J76" s="575"/>
      <c r="K76" s="575"/>
      <c r="L76" s="575"/>
      <c r="M76" s="575"/>
      <c r="N76" s="575"/>
      <c r="O76" s="575"/>
      <c r="P76" s="575"/>
      <c r="Q76" s="575"/>
      <c r="R76" s="575"/>
      <c r="S76" s="575"/>
      <c r="T76" s="575"/>
      <c r="U76" s="575"/>
      <c r="V76" s="575"/>
      <c r="W76" s="575"/>
      <c r="X76" s="575"/>
      <c r="Y76" s="575"/>
      <c r="Z76" s="575"/>
      <c r="AA76" s="575"/>
      <c r="AB76" s="575"/>
      <c r="AC76" s="575"/>
      <c r="AD76" s="575"/>
      <c r="AE76" s="575"/>
      <c r="AF76" s="575"/>
      <c r="AG76" s="287"/>
      <c r="AH76" s="287"/>
      <c r="AI76" s="1374"/>
      <c r="AJ76" s="1375"/>
      <c r="AK76" s="1375"/>
      <c r="AL76" s="1375"/>
      <c r="AM76" s="1375"/>
      <c r="AN76" s="1375"/>
      <c r="AO76" s="1375"/>
      <c r="AP76" s="1375"/>
      <c r="AQ76" s="1375"/>
      <c r="AR76" s="1375"/>
      <c r="AS76" s="1375"/>
      <c r="AT76" s="1375"/>
      <c r="AU76" s="1375"/>
      <c r="AV76" s="1375"/>
      <c r="AW76" s="1375"/>
      <c r="AX76" s="1375"/>
      <c r="AY76" s="1375"/>
      <c r="AZ76" s="1375"/>
      <c r="BA76" s="1375"/>
      <c r="BB76" s="1375"/>
      <c r="BC76" s="1375"/>
      <c r="BD76" s="1375"/>
      <c r="BE76" s="1375"/>
      <c r="BF76" s="1375"/>
      <c r="BG76" s="1375"/>
      <c r="BH76" s="1375"/>
      <c r="BI76" s="1375"/>
      <c r="BJ76" s="1375"/>
      <c r="BK76" s="1375"/>
      <c r="BL76" s="1375"/>
      <c r="BM76" s="1375"/>
      <c r="BN76" s="1375"/>
      <c r="BO76" s="1375"/>
      <c r="BP76" s="1375"/>
      <c r="BQ76" s="1376"/>
      <c r="BR76" s="537"/>
      <c r="BS76" s="537"/>
      <c r="BZ76" s="71" t="s">
        <v>904</v>
      </c>
    </row>
    <row r="77" spans="1:78" ht="42" hidden="1" customHeight="1" thickBot="1" x14ac:dyDescent="0.25">
      <c r="B77" s="576"/>
      <c r="C77" s="577"/>
      <c r="D77" s="577"/>
      <c r="E77" s="577"/>
      <c r="F77" s="577"/>
      <c r="G77" s="577"/>
      <c r="H77" s="577"/>
      <c r="I77" s="577"/>
      <c r="J77" s="577"/>
      <c r="K77" s="577"/>
      <c r="L77" s="577"/>
      <c r="M77" s="577"/>
      <c r="N77" s="577"/>
      <c r="O77" s="577"/>
      <c r="P77" s="577"/>
      <c r="Q77" s="577"/>
      <c r="R77" s="577"/>
      <c r="S77" s="577"/>
      <c r="T77" s="577"/>
      <c r="U77" s="577"/>
      <c r="V77" s="577"/>
      <c r="W77" s="577"/>
      <c r="X77" s="577"/>
      <c r="Y77" s="577"/>
      <c r="Z77" s="577"/>
      <c r="AA77" s="577"/>
      <c r="AB77" s="577"/>
      <c r="AC77" s="577"/>
      <c r="AD77" s="577"/>
      <c r="AE77" s="577"/>
      <c r="AF77" s="578"/>
      <c r="AG77" s="287"/>
      <c r="AH77" s="287"/>
      <c r="AI77" s="1377"/>
      <c r="AJ77" s="1378"/>
      <c r="AK77" s="1378"/>
      <c r="AL77" s="1378"/>
      <c r="AM77" s="1378"/>
      <c r="AN77" s="1378"/>
      <c r="AO77" s="1378"/>
      <c r="AP77" s="1378"/>
      <c r="AQ77" s="1378"/>
      <c r="AR77" s="1378"/>
      <c r="AS77" s="1378"/>
      <c r="AT77" s="1378"/>
      <c r="AU77" s="1378"/>
      <c r="AV77" s="1378"/>
      <c r="AW77" s="1378"/>
      <c r="AX77" s="1378"/>
      <c r="AY77" s="1378"/>
      <c r="AZ77" s="1378"/>
      <c r="BA77" s="1378"/>
      <c r="BB77" s="1378"/>
      <c r="BC77" s="1378"/>
      <c r="BD77" s="1378"/>
      <c r="BE77" s="1378"/>
      <c r="BF77" s="1378"/>
      <c r="BG77" s="1378"/>
      <c r="BH77" s="1378"/>
      <c r="BI77" s="1378"/>
      <c r="BJ77" s="1378"/>
      <c r="BK77" s="1378"/>
      <c r="BL77" s="1378"/>
      <c r="BM77" s="1378"/>
      <c r="BN77" s="1378"/>
      <c r="BO77" s="1378"/>
      <c r="BP77" s="1378"/>
      <c r="BQ77" s="1379"/>
      <c r="BR77" s="537"/>
      <c r="BS77" s="537"/>
      <c r="BZ77" s="71" t="s">
        <v>905</v>
      </c>
    </row>
    <row r="78" spans="1:78" hidden="1" x14ac:dyDescent="0.2">
      <c r="AL78" s="287"/>
      <c r="AM78" s="287"/>
      <c r="AN78" s="287"/>
      <c r="AO78" s="287"/>
      <c r="AP78" s="287"/>
      <c r="AQ78" s="287"/>
      <c r="AR78" s="287"/>
      <c r="AS78" s="287"/>
      <c r="AT78" s="287"/>
      <c r="AU78" s="287"/>
      <c r="AV78" s="287"/>
      <c r="AW78" s="287"/>
      <c r="AX78" s="287"/>
      <c r="AY78" s="287"/>
      <c r="AZ78" s="287"/>
      <c r="BA78" s="287"/>
      <c r="BB78" s="287"/>
      <c r="BC78" s="287"/>
      <c r="BD78" s="287"/>
      <c r="BE78" s="287"/>
      <c r="BF78" s="287"/>
      <c r="BG78" s="287"/>
      <c r="BH78" s="287"/>
      <c r="BI78" s="287"/>
      <c r="BJ78" s="287"/>
      <c r="BK78" s="287"/>
      <c r="BL78" s="287"/>
      <c r="BM78" s="287"/>
      <c r="BN78" s="287"/>
      <c r="BO78" s="287"/>
      <c r="BP78" s="287"/>
      <c r="BZ78" s="71" t="s">
        <v>906</v>
      </c>
    </row>
    <row r="79" spans="1:78" hidden="1" x14ac:dyDescent="0.2">
      <c r="AL79" s="287"/>
      <c r="AM79" s="287"/>
      <c r="AN79" s="287"/>
      <c r="AO79" s="287"/>
      <c r="AP79" s="287"/>
      <c r="AQ79" s="287"/>
      <c r="AR79" s="287"/>
      <c r="AS79" s="287"/>
      <c r="AT79" s="287"/>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Z79" s="71" t="s">
        <v>907</v>
      </c>
    </row>
    <row r="80" spans="1:78" x14ac:dyDescent="0.2">
      <c r="BZ80" s="71" t="s">
        <v>1980</v>
      </c>
    </row>
    <row r="81" hidden="1" x14ac:dyDescent="0.2"/>
    <row r="82" hidden="1" x14ac:dyDescent="0.2"/>
    <row r="83" hidden="1" x14ac:dyDescent="0.2"/>
  </sheetData>
  <dataConsolidate/>
  <mergeCells count="42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AD7:AG7"/>
    <mergeCell ref="BI9:BQ9"/>
    <mergeCell ref="J9:Q9"/>
    <mergeCell ref="R9:X9"/>
    <mergeCell ref="Z9:AC9"/>
    <mergeCell ref="AD9:AG9"/>
    <mergeCell ref="Z10:AC10"/>
    <mergeCell ref="AD10:AG10"/>
    <mergeCell ref="BI10:BQ10"/>
    <mergeCell ref="B10:F10"/>
    <mergeCell ref="H10:I10"/>
    <mergeCell ref="J10:Q10"/>
    <mergeCell ref="R10:X10"/>
    <mergeCell ref="B9:F9"/>
    <mergeCell ref="H9:I9"/>
    <mergeCell ref="AH10:AR10"/>
    <mergeCell ref="AT10:AV10"/>
    <mergeCell ref="AW10:BG10"/>
    <mergeCell ref="AH9:AR9"/>
    <mergeCell ref="AT9:AV9"/>
    <mergeCell ref="AW9:BG9"/>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AH17:AL17"/>
    <mergeCell ref="AN17:AV17"/>
    <mergeCell ref="AW17:BJ17"/>
    <mergeCell ref="BL17:BQ17"/>
    <mergeCell ref="B18:F18"/>
    <mergeCell ref="H18:Q18"/>
    <mergeCell ref="R18:X18"/>
    <mergeCell ref="Z18:AG18"/>
    <mergeCell ref="AH18:AL18"/>
    <mergeCell ref="AN18:AV18"/>
    <mergeCell ref="AW18:BJ18"/>
    <mergeCell ref="BL18:BQ18"/>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B23:F23"/>
    <mergeCell ref="H23:I23"/>
    <mergeCell ref="J23:N23"/>
    <mergeCell ref="P23:R23"/>
    <mergeCell ref="S23:Z23"/>
    <mergeCell ref="AB23:AC23"/>
    <mergeCell ref="AL23:AN23"/>
    <mergeCell ref="AO23:AR23"/>
    <mergeCell ref="AT23:AZ23"/>
    <mergeCell ref="BA23:BE23"/>
    <mergeCell ref="BG23:BJ23"/>
    <mergeCell ref="H22:I22"/>
    <mergeCell ref="J22:N22"/>
    <mergeCell ref="S22:Z22"/>
    <mergeCell ref="AB22:AC22"/>
    <mergeCell ref="AL22:AN22"/>
    <mergeCell ref="AO22:AR22"/>
    <mergeCell ref="AT22:AZ22"/>
    <mergeCell ref="BA22:BE22"/>
    <mergeCell ref="P22:Q22"/>
    <mergeCell ref="B24:F24"/>
    <mergeCell ref="H24:I24"/>
    <mergeCell ref="J24:N24"/>
    <mergeCell ref="P24:R24"/>
    <mergeCell ref="S24:Z24"/>
    <mergeCell ref="AB24:AC24"/>
    <mergeCell ref="AL24:AN24"/>
    <mergeCell ref="AO24:AR24"/>
    <mergeCell ref="AT24:AZ24"/>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H32:J32"/>
    <mergeCell ref="K32:M32"/>
    <mergeCell ref="N32:Q32"/>
    <mergeCell ref="R32:T32"/>
    <mergeCell ref="U32:X32"/>
    <mergeCell ref="Y32:AB32"/>
    <mergeCell ref="B31:F31"/>
    <mergeCell ref="H31:J31"/>
    <mergeCell ref="K31:M31"/>
    <mergeCell ref="N31:Q31"/>
    <mergeCell ref="R31:T31"/>
    <mergeCell ref="B32:F32"/>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B38:F38"/>
    <mergeCell ref="H38:X38"/>
    <mergeCell ref="Y38:AE38"/>
    <mergeCell ref="AF38:AJ38"/>
    <mergeCell ref="AL38:AP38"/>
    <mergeCell ref="B40:F40"/>
    <mergeCell ref="H40:X40"/>
    <mergeCell ref="Y40:AE40"/>
    <mergeCell ref="AF40:AJ40"/>
    <mergeCell ref="AL40:AP40"/>
    <mergeCell ref="AR40:BD40"/>
    <mergeCell ref="BE40:BK40"/>
    <mergeCell ref="BL40:BP40"/>
    <mergeCell ref="B39:F39"/>
    <mergeCell ref="H39:X39"/>
    <mergeCell ref="Y39:AE39"/>
    <mergeCell ref="AF39:AJ39"/>
    <mergeCell ref="AL39:AP39"/>
    <mergeCell ref="AR39:BD39"/>
    <mergeCell ref="BE39:BK39"/>
    <mergeCell ref="BL39:BP3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B27:F27"/>
    <mergeCell ref="H26:K26"/>
    <mergeCell ref="H27:K27"/>
    <mergeCell ref="B26:F26"/>
    <mergeCell ref="AM26:AP26"/>
    <mergeCell ref="AM27:AP27"/>
    <mergeCell ref="N26:S26"/>
    <mergeCell ref="N27:S27"/>
    <mergeCell ref="BA26:BG2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s>
  <conditionalFormatting sqref="AV51:AY51">
    <cfRule type="expression" dxfId="43" priority="41">
      <formula>AV51&gt;0</formula>
    </cfRule>
  </conditionalFormatting>
  <conditionalFormatting sqref="BQ42:BQ45">
    <cfRule type="cellIs" dxfId="42" priority="42" operator="notEqual">
      <formula>0</formula>
    </cfRule>
  </conditionalFormatting>
  <conditionalFormatting sqref="AK37:AK44">
    <cfRule type="cellIs" dxfId="41" priority="43" operator="greaterThan">
      <formula>0</formula>
    </cfRule>
  </conditionalFormatting>
  <conditionalFormatting sqref="J9:P13">
    <cfRule type="cellIs" dxfId="40" priority="44" operator="greaterThan">
      <formula>0</formula>
    </cfRule>
  </conditionalFormatting>
  <conditionalFormatting sqref="H7:I13">
    <cfRule type="cellIs" dxfId="39" priority="45" operator="equal">
      <formula>0</formula>
    </cfRule>
  </conditionalFormatting>
  <conditionalFormatting sqref="J7:Q7">
    <cfRule type="colorScale" priority="27">
      <colorScale>
        <cfvo type="min"/>
        <cfvo type="max"/>
        <color rgb="FFFF7128"/>
        <color theme="0"/>
      </colorScale>
    </cfRule>
    <cfRule type="colorScale" priority="28">
      <colorScale>
        <cfvo type="min"/>
        <cfvo type="max"/>
        <color rgb="FFFF7128"/>
        <color rgb="FFFFEF9C"/>
      </colorScale>
    </cfRule>
  </conditionalFormatting>
  <conditionalFormatting sqref="J8:Q8">
    <cfRule type="colorScale" priority="25">
      <colorScale>
        <cfvo type="min"/>
        <cfvo type="max"/>
        <color rgb="FFFF7128"/>
        <color theme="0"/>
      </colorScale>
    </cfRule>
    <cfRule type="colorScale" priority="26">
      <colorScale>
        <cfvo type="min"/>
        <cfvo type="max"/>
        <color rgb="FFFF7128"/>
        <color rgb="FFFFEF9C"/>
      </colorScale>
    </cfRule>
  </conditionalFormatting>
  <conditionalFormatting sqref="H18:Q18">
    <cfRule type="colorScale" priority="24">
      <colorScale>
        <cfvo type="min"/>
        <cfvo type="max"/>
        <color rgb="FFFF7128"/>
        <color theme="0"/>
      </colorScale>
    </cfRule>
  </conditionalFormatting>
  <conditionalFormatting sqref="BL15:BL18">
    <cfRule type="cellIs" dxfId="38" priority="23" operator="equal">
      <formula>0</formula>
    </cfRule>
  </conditionalFormatting>
  <conditionalFormatting sqref="BD19">
    <cfRule type="cellIs" dxfId="37" priority="22" operator="equal">
      <formula>0</formula>
    </cfRule>
  </conditionalFormatting>
  <conditionalFormatting sqref="BL15:BQ15">
    <cfRule type="colorScale" priority="21">
      <colorScale>
        <cfvo type="min"/>
        <cfvo type="max"/>
        <color rgb="FFFF7128"/>
        <color theme="0"/>
      </colorScale>
    </cfRule>
  </conditionalFormatting>
  <conditionalFormatting sqref="BL16:BQ16">
    <cfRule type="colorScale" priority="20">
      <colorScale>
        <cfvo type="min"/>
        <cfvo type="max"/>
        <color rgb="FFFF7128"/>
        <color theme="0"/>
      </colorScale>
    </cfRule>
  </conditionalFormatting>
  <conditionalFormatting sqref="BL17:BQ17">
    <cfRule type="colorScale" priority="19">
      <colorScale>
        <cfvo type="min"/>
        <cfvo type="max"/>
        <color rgb="FFFF7128"/>
        <color theme="0"/>
      </colorScale>
    </cfRule>
  </conditionalFormatting>
  <conditionalFormatting sqref="BL18:BQ18">
    <cfRule type="colorScale" priority="18">
      <colorScale>
        <cfvo type="min"/>
        <cfvo type="max"/>
        <color rgb="FFFF7128"/>
        <color theme="0"/>
      </colorScale>
    </cfRule>
  </conditionalFormatting>
  <conditionalFormatting sqref="BD19:BI19">
    <cfRule type="colorScale" priority="17">
      <colorScale>
        <cfvo type="min"/>
        <cfvo type="max"/>
        <color rgb="FFFF7128"/>
        <color theme="0"/>
      </colorScale>
    </cfRule>
  </conditionalFormatting>
  <conditionalFormatting sqref="H21:I21">
    <cfRule type="cellIs" dxfId="36" priority="13" operator="equal">
      <formula>0</formula>
    </cfRule>
  </conditionalFormatting>
  <conditionalFormatting sqref="H22:I24">
    <cfRule type="cellIs" dxfId="35" priority="12" operator="equal">
      <formula>0</formula>
    </cfRule>
  </conditionalFormatting>
  <conditionalFormatting sqref="AB21">
    <cfRule type="cellIs" dxfId="34" priority="11" operator="equal">
      <formula>0</formula>
    </cfRule>
  </conditionalFormatting>
  <conditionalFormatting sqref="AB23:AB24">
    <cfRule type="cellIs" dxfId="33" priority="10" operator="equal">
      <formula>0</formula>
    </cfRule>
  </conditionalFormatting>
  <conditionalFormatting sqref="AB22:AC22">
    <cfRule type="cellIs" dxfId="32" priority="9" operator="equal">
      <formula>0</formula>
    </cfRule>
  </conditionalFormatting>
  <conditionalFormatting sqref="P21">
    <cfRule type="cellIs" dxfId="31" priority="8" operator="equal">
      <formula>0</formula>
    </cfRule>
  </conditionalFormatting>
  <conditionalFormatting sqref="P23:P24">
    <cfRule type="cellIs" dxfId="30" priority="7" operator="equal">
      <formula>0</formula>
    </cfRule>
  </conditionalFormatting>
  <conditionalFormatting sqref="P22:R22">
    <cfRule type="cellIs" dxfId="29" priority="6" operator="equal">
      <formula>0</formula>
    </cfRule>
  </conditionalFormatting>
  <conditionalFormatting sqref="AL21">
    <cfRule type="cellIs" dxfId="28" priority="5" operator="equal">
      <formula>0</formula>
    </cfRule>
  </conditionalFormatting>
  <conditionalFormatting sqref="AL22:AL24">
    <cfRule type="cellIs" dxfId="27" priority="4" operator="equal">
      <formula>0</formula>
    </cfRule>
  </conditionalFormatting>
  <conditionalFormatting sqref="AT22:AT24">
    <cfRule type="cellIs" dxfId="26" priority="3" operator="equal">
      <formula>0</formula>
    </cfRule>
  </conditionalFormatting>
  <conditionalFormatting sqref="BG21:BG24">
    <cfRule type="cellIs" dxfId="25" priority="2" operator="equal">
      <formula>0</formula>
    </cfRule>
  </conditionalFormatting>
  <conditionalFormatting sqref="Z15:AG15">
    <cfRule type="colorScale" priority="1">
      <colorScale>
        <cfvo type="min"/>
        <cfvo type="max"/>
        <color rgb="FFFF7128"/>
        <color theme="0"/>
      </colorScale>
    </cfRule>
  </conditionalFormatting>
  <dataValidations xWindow="606" yWindow="555" count="43">
    <dataValidation type="list" allowBlank="1" showInputMessage="1" showErrorMessage="1" sqref="H19 BE39:BE44 BE46:BE50 Y37:Y44" xr:uid="{00000000-0002-0000-0200-000000000000}">
      <formula1>"DEFICIENTE,INFERIOR,REGULAR,CORRIENTE,BUENA,SUPERIOR"</formula1>
      <formula2>0</formula2>
    </dataValidation>
    <dataValidation type="list" allowBlank="1" showInputMessage="1" showErrorMessage="1" sqref="AT7:AT10 H7:H13 P21:P24 H21:H24 AL21:AM24 AB21:AB24" xr:uid="{00000000-0002-0000-0200-000001000000}">
      <formula1>"SI,NO"</formula1>
      <formula2>0</formula2>
    </dataValidation>
    <dataValidation type="list" allowBlank="1" showInputMessage="1" showErrorMessage="1" sqref="H18" xr:uid="{00000000-0002-0000-0200-000002000000}">
      <formula1>"ADOSADA 1L,ADOSADA 2L,ADOSADA 3L,AISLADA,CONTINUA,PAREADA,EDIF DPTO,EDIF OFICINA,OTRO"</formula1>
      <formula2>0</formula2>
    </dataValidation>
    <dataValidation type="list" allowBlank="1" showInputMessage="1" showErrorMessage="1" sqref="AT23" xr:uid="{00000000-0002-0000-0200-000003000000}">
      <formula1>"PLANO,SUAVE,ABRUPTO,COMBINADA"</formula1>
      <formula2>0</formula2>
    </dataValidation>
    <dataValidation type="list" allowBlank="1" showInputMessage="1" showErrorMessage="1" sqref="Z17" xr:uid="{00000000-0002-0000-0200-000004000000}">
      <formula1>"NORTE,SUR,ESTE,OESTE,NORESTE,NOROESTE,SURESTE,SUROESTE"</formula1>
      <formula2>0</formula2>
    </dataValidation>
    <dataValidation type="list" allowBlank="1" showInputMessage="1" showErrorMessage="1" sqref="Z16" xr:uid="{00000000-0002-0000-0200-000005000000}">
      <formula1>"BUENO,NORMAL,REGULAR,MALO"</formula1>
      <formula2>0</formula2>
    </dataValidation>
    <dataValidation type="list" allowBlank="1" showInputMessage="1" showErrorMessage="1" sqref="H17 Z19" xr:uid="{00000000-0002-0000-0200-000006000000}">
      <formula1>"ADECUADA,INADECUADA,OTRO"</formula1>
      <formula2>0</formula2>
    </dataValidation>
    <dataValidation type="list" allowBlank="1" sqref="H15" xr:uid="{00000000-0002-0000-0200-000007000000}">
      <formula1>"INDIVIDUAL,CONJUNTO,POBLACION,CONDOMINIO,VILLA,PARCELACION,EDIFICIO,CENTRO COMERCIAL"</formula1>
      <formula2>0</formula2>
    </dataValidation>
    <dataValidation type="list" allowBlank="1" showInputMessage="1" showErrorMessage="1" sqref="H16" xr:uid="{00000000-0002-0000-0200-000008000000}">
      <formula1>"EXCLUSIVO,TIPICO,REPETITIVO,PREFABRICADO,MASIVO,SIN ASESORIA"</formula1>
      <formula2>0</formula2>
    </dataValidation>
    <dataValidation type="list" allowBlank="1" showInputMessage="1" showErrorMessage="1" sqref="Z18" xr:uid="{00000000-0002-0000-0200-000009000000}">
      <formula1>"ADECUADO,INADECUADO,SUBUTILIZADO,SOBREUTILIZADO"</formula1>
      <formula2>0</formula2>
    </dataValidation>
    <dataValidation type="textLength" operator="greaterThan" allowBlank="1" showInputMessage="1" showErrorMessage="1" error="Agradecere explicar en forma mas detallada" sqref="U19" xr:uid="{00000000-0002-0000-0200-00000A000000}">
      <formula1>50</formula1>
      <formula2>0</formula2>
    </dataValidation>
    <dataValidation type="list" allowBlank="1" showInputMessage="1" showErrorMessage="1" promptTitle="Plan Regulador" prompt="El Uso dado al bien Cumple con lo dispuesto por el Plan Regulador" sqref="BI10" xr:uid="{00000000-0002-0000-0200-00000B00000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xr:uid="{00000000-0002-0000-0200-00000C000000}">
      <formula1>0</formula1>
      <formula2>0</formula2>
    </dataValidation>
    <dataValidation type="list" allowBlank="1" showErrorMessage="1" sqref="AV51:AY51" xr:uid="{00000000-0002-0000-0200-00000D000000}">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xr:uid="{00000000-0002-0000-0200-00000E000000}">
      <formula1>"SI,NO,EN PARTE,SIN INFORMACION"</formula1>
      <formula2>0</formula2>
    </dataValidation>
    <dataValidation type="list" allowBlank="1" showInputMessage="1" showErrorMessage="1" sqref="AR38" xr:uid="{00000000-0002-0000-0200-00000F000000}">
      <formula1>"NO PRESENTA,LOSA RADIANTE,PISO RADIANTE,PANELES MURALES,RADIADOR MURAL,CHIMENEA,BOSCA,ESTUFA"</formula1>
      <formula2>0</formula2>
    </dataValidation>
    <dataValidation type="list" allowBlank="1" showInputMessage="1" showErrorMessage="1" sqref="J48:V50 H46:H50" xr:uid="{00000000-0002-0000-0200-00001000000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xr:uid="{00000000-0002-0000-0200-000011000000}">
      <formula1>0</formula1>
      <formula2>0</formula2>
    </dataValidation>
    <dataValidation type="list" allowBlank="1" showInputMessage="1" showErrorMessage="1" sqref="AI46:AI50" xr:uid="{00000000-0002-0000-0200-000012000000}">
      <formula1>"OLEO,LATEX,ESMALTE,VINILICO,CERAMICO,MADERA,LADRILLO A LA VISTA,PIEDRA,PAPEL,CARPENTER,TELA,VIDRIADO,METALICO,SIN TERMINACION"</formula1>
      <formula2>0</formula2>
    </dataValidation>
    <dataValidation type="list" allowBlank="1" showErrorMessage="1" error="Ej. ENTABLADO" prompt="_x000a_" sqref="AS46:AS50" xr:uid="{00000000-0002-0000-0200-000013000000}">
      <formula1>"ENTABLADO NATURAL,ENTABLADO / PINTURA,ENLUCIDO / PINTURA,EMPASTE / PINTURA,CIELO FALSO,VIGAS A LA VISTA,SIN TERMINACION"</formula1>
      <formula2>0</formula2>
    </dataValidation>
    <dataValidation type="list" allowBlank="1" showInputMessage="1" showErrorMessage="1" sqref="AR37" xr:uid="{00000000-0002-0000-0200-000014000000}">
      <formula1>"NO PRESENTA,RADIADOR MURAL,RADIADOR AEREO "</formula1>
      <formula2>0</formula2>
    </dataValidation>
    <dataValidation type="list" allowBlank="1" showInputMessage="1" showErrorMessage="1" sqref="AY38" xr:uid="{00000000-0002-0000-0200-000015000000}">
      <formula1>"GAS NATURAL,GAS LICUADO,ELECTRICIDAD,A LEÑA,PETROLEO,SOLAR"</formula1>
      <formula2>0</formula2>
    </dataValidation>
    <dataValidation allowBlank="1" showInputMessage="1" showErrorMessage="1" prompt="Ingrese m² del Terreno Tasado" sqref="AT21:AY21" xr:uid="{00000000-0002-0000-0200-000016000000}">
      <formula1>0</formula1>
      <formula2>0</formula2>
    </dataValidation>
    <dataValidation allowBlank="1" showInputMessage="1" showErrorMessage="1" prompt="Ingrese metraje del Frente del Terreno" sqref="BG21:BJ21" xr:uid="{00000000-0002-0000-0200-000017000000}">
      <formula1>0</formula1>
      <formula2>0</formula2>
    </dataValidation>
    <dataValidation type="list" allowBlank="1" showInputMessage="1" showErrorMessage="1" sqref="BA23:BE24" xr:uid="{00000000-0002-0000-0200-000018000000}">
      <formula1>$BV$45:$BV$48</formula1>
      <formula2>0</formula2>
    </dataValidation>
    <dataValidation type="list" allowBlank="1" showInputMessage="1" showErrorMessage="1" sqref="AT22:AZ22" xr:uid="{00000000-0002-0000-0200-000019000000}">
      <formula1>"REGULAR,CASI REGULAR,IRREGULAR,MUY IRREGULAR"</formula1>
      <formula2>0</formula2>
    </dataValidation>
    <dataValidation type="list" showInputMessage="1" showErrorMessage="1" sqref="AT24:AZ24" xr:uid="{00000000-0002-0000-0200-00001A000000}">
      <formula1>"NO APLICA,NORTE,SUR,ESTE,OESTE,NORESTE,NOROESTE,SURESTE,SUROESTE"</formula1>
      <formula2>0</formula2>
    </dataValidation>
    <dataValidation type="list" allowBlank="1" showInputMessage="1" showErrorMessage="1" sqref="H37:X38" xr:uid="{00000000-0002-0000-0200-00001B000000}">
      <formula1>$BZ$45:$BZ$80</formula1>
    </dataValidation>
    <dataValidation type="list" allowBlank="1" showInputMessage="1" showErrorMessage="1" sqref="H40:X40" xr:uid="{00000000-0002-0000-0200-00001C000000}">
      <formula1>$CE$45:$CE$63</formula1>
      <formula2>0</formula2>
    </dataValidation>
    <dataValidation operator="greaterThanOrEqual" allowBlank="1" showInputMessage="1" showErrorMessage="1" errorTitle="Cantidad de Recintos" error="Favor ingrese un número mayor o igual a 0_x000a_Ej. 4" sqref="BK30:BP33" xr:uid="{00000000-0002-0000-0200-00001D000000}">
      <formula1>0</formula1>
      <formula2>0</formula2>
    </dataValidation>
    <dataValidation type="list" allowBlank="1" showInputMessage="1" showErrorMessage="1" sqref="H39:X39" xr:uid="{00000000-0002-0000-0200-00001E000000}">
      <formula1>"NO APLICA,LOSA DE HORMIGON ARMADO,ENTRAMADO DE MADERA,PERFILES DE ACERO,MIXTO (H. ARMADO - ENTRAMADO),PLACAS METALICAS"</formula1>
      <formula2>0</formula2>
    </dataValidation>
    <dataValidation type="list" allowBlank="1" showInputMessage="1" showErrorMessage="1" sqref="AR44:BD44" xr:uid="{00000000-0002-0000-0200-00001F000000}">
      <formula1>$BX$54:$BX$64</formula1>
      <formula2>0</formula2>
    </dataValidation>
    <dataValidation type="list" allowBlank="1" showInputMessage="1" showErrorMessage="1" sqref="AR43:BD43" xr:uid="{00000000-0002-0000-0200-000020000000}">
      <formula1>$BV$54:$BV$62</formula1>
      <formula2>0</formula2>
    </dataValidation>
    <dataValidation type="list" allowBlank="1" showErrorMessage="1" sqref="AF37:AJ44" xr:uid="{00000000-0002-0000-0200-000021000000}">
      <formula1>"MUY BUENO,NUEVO S/USO,BUENO,REGULAR,DEFICIENTE,OBRA GUESA,TERMINACIONES"</formula1>
    </dataValidation>
    <dataValidation type="list" allowBlank="1" showInputMessage="1" showErrorMessage="1" sqref="L27:M28" xr:uid="{00000000-0002-0000-0200-000022000000}">
      <formula1>"SI,NO"</formula1>
    </dataValidation>
    <dataValidation type="list" allowBlank="1" showInputMessage="1" showErrorMessage="1" sqref="H41:X41" xr:uid="{00000000-0002-0000-0200-000023000000}">
      <formula1>$CH$45:$CH$54</formula1>
    </dataValidation>
    <dataValidation type="list" allowBlank="1" showInputMessage="1" sqref="H43:X43" xr:uid="{00000000-0002-0000-0200-000024000000}">
      <formula1>$CK$45:$CK$50</formula1>
    </dataValidation>
    <dataValidation type="list" allowBlank="1" showInputMessage="1" showErrorMessage="1" prompt="Dejar la celda vacía si no tiene ampliaciones." sqref="L26:M26" xr:uid="{00000000-0002-0000-0200-000025000000}">
      <formula1>"SI,NO"</formula1>
    </dataValidation>
    <dataValidation type="list" allowBlank="1" showInputMessage="1" showErrorMessage="1" sqref="AR40:BD40" xr:uid="{00000000-0002-0000-0200-000026000000}">
      <formula1>$CO$44:$CO$56</formula1>
    </dataValidation>
    <dataValidation type="list" allowBlank="1" sqref="Z15:AG15" xr:uid="{00000000-0002-0000-0200-000027000000}">
      <formula1>"NUEVO - S/USO,BUENO,NORMAL,MALO,DEFICIENTE"</formula1>
    </dataValidation>
    <dataValidation type="list" allowBlank="1" showInputMessage="1" sqref="BE37:BK38" xr:uid="{00000000-0002-0000-0200-000028000000}">
      <formula1>"DEFICIENTE,INFERIOR,REGULAR,CORRIENTE,BUENA,SUPERIOR,"</formula1>
    </dataValidation>
    <dataValidation type="list" allowBlank="1" sqref="BL37:BP38" xr:uid="{00000000-0002-0000-0200-000029000000}">
      <formula1>"MUY BUENO,NUEVO S/USO,BUENO,REGULAR,DEFICIENTE,OBRA GUESA,TERMINACIONES"</formula1>
    </dataValidation>
    <dataValidation allowBlank="1" showErrorMessage="1" sqref="BL46:BP50 BL39:BP44" xr:uid="{00000000-0002-0000-0200-00002A000000}"/>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AMY560"/>
  <sheetViews>
    <sheetView showGridLines="0" showZeros="0" tabSelected="1" topLeftCell="A469" zoomScale="85" zoomScaleNormal="85" workbookViewId="0">
      <selection activeCell="BX47" sqref="BX47"/>
    </sheetView>
  </sheetViews>
  <sheetFormatPr baseColWidth="10" defaultColWidth="0" defaultRowHeight="15" customHeight="1" x14ac:dyDescent="0.2"/>
  <cols>
    <col min="1" max="1" width="4.85546875" style="608" customWidth="1"/>
    <col min="2" max="2" width="0.7109375" style="444" customWidth="1"/>
    <col min="3" max="18" width="2.28515625" style="443" customWidth="1"/>
    <col min="19" max="19" width="0.7109375" style="443" customWidth="1"/>
    <col min="20" max="20" width="2.28515625" style="443" customWidth="1"/>
    <col min="21" max="21" width="1.140625" style="443" customWidth="1"/>
    <col min="22" max="22" width="4.140625" style="443" customWidth="1"/>
    <col min="23" max="23" width="0.85546875" style="443" customWidth="1"/>
    <col min="24" max="24" width="2.28515625" style="443" customWidth="1"/>
    <col min="25" max="25" width="1.85546875" style="443" customWidth="1"/>
    <col min="26" max="26" width="2.140625" style="443" customWidth="1"/>
    <col min="27" max="28" width="2.28515625" style="443" customWidth="1"/>
    <col min="29" max="29" width="2.140625" style="443" customWidth="1"/>
    <col min="30" max="30" width="2.5703125" style="443" customWidth="1"/>
    <col min="31" max="31" width="2.28515625" style="443" customWidth="1"/>
    <col min="32" max="32" width="5.140625" style="443" customWidth="1"/>
    <col min="33" max="37" width="2.28515625" style="443" customWidth="1"/>
    <col min="38" max="38" width="3" style="443" customWidth="1"/>
    <col min="39" max="39" width="1.7109375" style="443" customWidth="1"/>
    <col min="40" max="40" width="0.7109375" style="443" customWidth="1"/>
    <col min="41" max="42" width="2.28515625" style="443" customWidth="1"/>
    <col min="43" max="43" width="0.85546875" style="443" customWidth="1"/>
    <col min="44" max="44" width="2.28515625" style="443" customWidth="1"/>
    <col min="45" max="45" width="1.42578125" style="443" customWidth="1"/>
    <col min="46" max="46" width="2" style="443" customWidth="1"/>
    <col min="47" max="47" width="2.28515625" style="443" customWidth="1"/>
    <col min="48" max="48" width="4.28515625" style="443" customWidth="1"/>
    <col min="49" max="56" width="2.28515625" style="443" customWidth="1"/>
    <col min="57" max="57" width="1.140625" style="443" customWidth="1"/>
    <col min="58" max="58" width="2.28515625" style="443" customWidth="1"/>
    <col min="59" max="59" width="2.140625" style="443" customWidth="1"/>
    <col min="60" max="60" width="2.28515625" style="443" customWidth="1"/>
    <col min="61" max="61" width="6.7109375" style="443" customWidth="1"/>
    <col min="62" max="64" width="2.28515625" style="443" customWidth="1"/>
    <col min="65" max="66" width="1.5703125" style="443" customWidth="1"/>
    <col min="67" max="67" width="1.85546875" style="443" customWidth="1"/>
    <col min="68" max="69" width="2.28515625" style="443" customWidth="1"/>
    <col min="70" max="70" width="1.28515625" style="443" customWidth="1"/>
    <col min="71" max="72" width="2.28515625" style="443" customWidth="1"/>
    <col min="73" max="73" width="2" style="443" customWidth="1"/>
    <col min="74" max="74" width="2.28515625" style="443" customWidth="1"/>
    <col min="75" max="75" width="1.42578125" style="447" customWidth="1"/>
    <col min="76" max="76" width="50" style="443" customWidth="1"/>
    <col min="77" max="80" width="2.28515625" style="443" hidden="1" customWidth="1"/>
    <col min="81" max="81" width="9" style="443" hidden="1" customWidth="1"/>
    <col min="82" max="83" width="5.28515625" style="443" hidden="1" customWidth="1"/>
    <col min="84" max="84" width="2" style="443" hidden="1" customWidth="1"/>
    <col min="85" max="85" width="2.28515625" style="443" hidden="1" customWidth="1"/>
    <col min="86" max="86" width="21.7109375" style="443" hidden="1" customWidth="1"/>
    <col min="87" max="87" width="12.85546875" style="443" hidden="1" customWidth="1"/>
    <col min="88" max="88" width="5.7109375" style="443" hidden="1" customWidth="1"/>
    <col min="89" max="91" width="3.42578125" style="443" hidden="1" customWidth="1"/>
    <col min="92" max="92" width="4.7109375" style="443" hidden="1" customWidth="1"/>
    <col min="93" max="118" width="3.42578125" style="443" hidden="1" customWidth="1"/>
    <col min="119" max="1039" width="8.5703125" style="443" hidden="1" customWidth="1"/>
    <col min="1040" max="16384" width="9.140625" style="443" hidden="1"/>
  </cols>
  <sheetData>
    <row r="1" spans="1:86" ht="11.25" customHeight="1" thickBot="1" x14ac:dyDescent="0.25">
      <c r="BW1" s="443"/>
      <c r="BX1" s="962">
        <v>0</v>
      </c>
    </row>
    <row r="2" spans="1:86" ht="15" customHeight="1" thickBot="1" x14ac:dyDescent="0.35">
      <c r="A2" s="1518" t="s">
        <v>1194</v>
      </c>
      <c r="B2" s="1519"/>
      <c r="C2" s="1519"/>
      <c r="D2" s="1519"/>
      <c r="E2" s="1519"/>
      <c r="F2" s="1519"/>
      <c r="G2" s="1519"/>
      <c r="H2" s="1519"/>
      <c r="I2" s="1519"/>
      <c r="J2" s="1519"/>
      <c r="K2" s="1519"/>
      <c r="L2" s="1519"/>
      <c r="M2" s="1519"/>
      <c r="N2" s="1519"/>
      <c r="O2" s="1519"/>
      <c r="P2" s="1519"/>
      <c r="Q2" s="1519"/>
      <c r="R2" s="1519"/>
      <c r="S2" s="1519"/>
      <c r="T2" s="1519"/>
      <c r="U2" s="1519"/>
      <c r="V2" s="1519"/>
      <c r="W2" s="1519"/>
      <c r="X2" s="1519"/>
      <c r="Y2" s="1519"/>
      <c r="Z2" s="1519"/>
      <c r="AA2" s="1519"/>
      <c r="AB2" s="1519"/>
      <c r="AC2" s="1519"/>
      <c r="AD2" s="1519"/>
      <c r="AE2" s="1519"/>
      <c r="AF2" s="1519"/>
      <c r="AG2" s="1519"/>
      <c r="AH2" s="1519"/>
      <c r="AI2" s="1519"/>
      <c r="AJ2" s="1519"/>
      <c r="AK2" s="1519"/>
      <c r="AL2" s="1519"/>
      <c r="AM2" s="1519"/>
      <c r="AN2" s="1519"/>
      <c r="AO2" s="1519"/>
      <c r="AP2" s="1519"/>
      <c r="AQ2" s="1519"/>
      <c r="AR2" s="1519"/>
      <c r="AS2" s="1519"/>
      <c r="AT2" s="1519"/>
      <c r="AU2" s="1519"/>
      <c r="AV2" s="1519"/>
      <c r="AW2" s="1519"/>
      <c r="AX2" s="1519"/>
      <c r="AY2" s="1519"/>
      <c r="AZ2" s="1519"/>
      <c r="BA2" s="1519"/>
      <c r="BB2" s="1519"/>
      <c r="BC2" s="1519"/>
      <c r="BD2" s="1519"/>
      <c r="BE2" s="1519"/>
      <c r="BF2" s="1519"/>
      <c r="BG2" s="1519"/>
      <c r="BH2" s="1519"/>
      <c r="BI2" s="1519"/>
      <c r="BJ2" s="1519"/>
      <c r="BK2" s="1519"/>
      <c r="BL2" s="1519"/>
      <c r="BM2" s="1519"/>
      <c r="BN2" s="1519"/>
      <c r="BO2" s="1519"/>
      <c r="BP2" s="1519"/>
      <c r="BQ2" s="1519"/>
      <c r="BR2" s="1519"/>
      <c r="BS2" s="1519"/>
      <c r="BT2" s="1519"/>
      <c r="BU2" s="1519"/>
      <c r="BV2" s="1520"/>
      <c r="BW2" s="874"/>
      <c r="BX2" s="875"/>
      <c r="BY2" s="875"/>
      <c r="BZ2" s="875"/>
      <c r="CA2" s="875"/>
      <c r="CB2" s="875"/>
      <c r="CC2" s="875"/>
      <c r="CD2" s="875"/>
      <c r="CE2" s="875"/>
      <c r="CF2" s="875"/>
      <c r="CG2" s="875"/>
      <c r="CH2" s="876"/>
    </row>
    <row r="3" spans="1:86" ht="15" customHeight="1" x14ac:dyDescent="0.25">
      <c r="A3" s="609"/>
      <c r="B3" s="609"/>
      <c r="C3" s="609"/>
      <c r="D3" s="609"/>
      <c r="E3" s="609"/>
      <c r="F3" s="609"/>
      <c r="G3" s="609"/>
      <c r="H3" s="609"/>
      <c r="I3" s="609"/>
      <c r="J3" s="609"/>
      <c r="K3" s="609"/>
      <c r="L3" s="609"/>
      <c r="M3" s="609"/>
      <c r="N3" s="609"/>
      <c r="O3" s="609"/>
      <c r="P3" s="609"/>
      <c r="Q3" s="609"/>
      <c r="R3" s="609"/>
      <c r="S3" s="609"/>
      <c r="T3" s="609"/>
      <c r="U3" s="609"/>
      <c r="V3" s="609"/>
      <c r="W3" s="609"/>
      <c r="X3" s="609"/>
      <c r="Y3" s="609"/>
      <c r="Z3" s="609"/>
      <c r="AA3" s="609"/>
      <c r="AB3" s="609"/>
      <c r="AC3" s="609"/>
      <c r="AD3" s="609"/>
      <c r="AE3" s="609"/>
      <c r="AF3" s="609"/>
      <c r="AG3" s="609"/>
      <c r="AH3" s="609"/>
      <c r="AI3" s="609"/>
      <c r="AJ3" s="609"/>
      <c r="AK3" s="609"/>
      <c r="AL3" s="609"/>
      <c r="AM3" s="609"/>
      <c r="AN3" s="609"/>
      <c r="AO3" s="609"/>
      <c r="AP3" s="609"/>
      <c r="AQ3" s="609"/>
      <c r="AR3" s="609"/>
      <c r="AS3" s="609"/>
      <c r="AT3" s="609"/>
      <c r="AU3" s="609"/>
      <c r="AV3" s="609"/>
      <c r="AW3" s="609"/>
      <c r="AX3" s="609"/>
      <c r="AY3" s="609"/>
      <c r="AZ3" s="609"/>
      <c r="BA3" s="609"/>
      <c r="BB3" s="609"/>
      <c r="BC3" s="609"/>
      <c r="BD3" s="609"/>
      <c r="BE3" s="609"/>
      <c r="BF3" s="609"/>
      <c r="BG3" s="609"/>
      <c r="BH3" s="609"/>
      <c r="BI3" s="609"/>
      <c r="BJ3" s="609"/>
      <c r="BK3" s="609"/>
      <c r="BL3" s="609"/>
      <c r="BM3" s="609"/>
      <c r="BN3" s="609"/>
      <c r="BO3" s="609"/>
      <c r="BP3" s="609"/>
      <c r="BQ3" s="609"/>
      <c r="BR3" s="609"/>
      <c r="BS3" s="609"/>
      <c r="BT3" s="609"/>
      <c r="BU3" s="609"/>
      <c r="BV3" s="609"/>
      <c r="BW3" s="443"/>
    </row>
    <row r="4" spans="1:86" ht="15" customHeight="1" thickBot="1" x14ac:dyDescent="0.3">
      <c r="A4" s="609"/>
      <c r="B4" s="609"/>
      <c r="C4" s="609"/>
      <c r="D4" s="609"/>
      <c r="E4" s="609"/>
      <c r="F4" s="609"/>
      <c r="G4" s="609"/>
      <c r="H4" s="609"/>
      <c r="I4" s="609"/>
      <c r="J4" s="609"/>
      <c r="K4" s="609"/>
      <c r="L4" s="609"/>
      <c r="M4" s="609"/>
      <c r="N4" s="609"/>
      <c r="O4" s="609"/>
      <c r="P4" s="609"/>
      <c r="Q4" s="609"/>
      <c r="R4" s="609"/>
      <c r="S4" s="609"/>
      <c r="T4" s="609"/>
      <c r="U4" s="609"/>
      <c r="V4" s="609"/>
      <c r="W4" s="609"/>
      <c r="X4" s="609"/>
      <c r="Y4" s="609"/>
      <c r="Z4" s="609"/>
      <c r="AA4" s="609"/>
      <c r="AB4" s="609"/>
      <c r="AC4" s="609"/>
      <c r="AD4" s="609"/>
      <c r="AE4" s="609"/>
      <c r="AF4" s="609"/>
      <c r="AG4" s="609"/>
      <c r="AH4" s="609"/>
      <c r="AI4" s="609"/>
      <c r="AJ4" s="609"/>
      <c r="AK4" s="609"/>
      <c r="AL4" s="609"/>
      <c r="AM4" s="609"/>
      <c r="AN4" s="609"/>
      <c r="AO4" s="609"/>
      <c r="AP4" s="609"/>
      <c r="AQ4" s="609"/>
      <c r="AR4" s="609"/>
      <c r="AS4" s="609"/>
      <c r="AT4" s="609"/>
      <c r="AU4" s="609"/>
      <c r="AV4" s="609"/>
      <c r="AW4" s="609"/>
      <c r="AX4" s="609"/>
      <c r="AY4" s="609"/>
      <c r="AZ4" s="609"/>
      <c r="BA4" s="609"/>
      <c r="BB4" s="609"/>
      <c r="BC4" s="609"/>
      <c r="BD4" s="609"/>
      <c r="BE4" s="609"/>
      <c r="BF4" s="609"/>
      <c r="BG4" s="609"/>
      <c r="BH4" s="609"/>
      <c r="BI4" s="609"/>
      <c r="BJ4" s="609"/>
      <c r="BK4" s="609"/>
      <c r="BL4" s="609"/>
      <c r="BM4" s="609"/>
      <c r="BN4" s="609"/>
      <c r="BO4" s="609"/>
      <c r="BP4" s="609"/>
      <c r="BQ4" s="609"/>
      <c r="BR4" s="609"/>
      <c r="BS4" s="609"/>
      <c r="BT4" s="609"/>
      <c r="BU4" s="609"/>
      <c r="BV4" s="609"/>
      <c r="BW4" s="443"/>
    </row>
    <row r="5" spans="1:86" ht="15" customHeight="1" thickBot="1" x14ac:dyDescent="0.3">
      <c r="A5" s="609"/>
      <c r="B5" s="609"/>
      <c r="C5" s="610" t="s">
        <v>908</v>
      </c>
      <c r="D5" s="611"/>
      <c r="E5" s="611"/>
      <c r="F5" s="611"/>
      <c r="G5" s="611"/>
      <c r="H5" s="611"/>
      <c r="I5" s="611"/>
      <c r="J5" s="611"/>
      <c r="K5" s="611"/>
      <c r="L5" s="611"/>
      <c r="M5" s="611"/>
      <c r="N5" s="611" t="s">
        <v>462</v>
      </c>
      <c r="O5" s="1928" t="str">
        <f>Portada!BH2</f>
        <v>AGH -1548</v>
      </c>
      <c r="P5" s="1928"/>
      <c r="Q5" s="1928"/>
      <c r="R5" s="1928"/>
      <c r="S5" s="1928"/>
      <c r="T5" s="1928"/>
      <c r="U5" s="1928"/>
      <c r="V5" s="1928"/>
      <c r="W5" s="1928"/>
      <c r="X5" s="1928"/>
      <c r="Y5" s="1928"/>
      <c r="Z5" s="1928"/>
      <c r="AA5" s="1928"/>
      <c r="AB5" s="1928"/>
      <c r="AC5" s="1928"/>
      <c r="AD5" s="1928"/>
      <c r="AE5" s="1929"/>
      <c r="AF5" s="609"/>
      <c r="AG5" s="609"/>
      <c r="AH5" s="609"/>
      <c r="AI5" s="609"/>
      <c r="AJ5" s="609"/>
      <c r="AK5" s="609"/>
      <c r="AL5" s="609"/>
      <c r="AM5" s="609"/>
      <c r="AN5" s="609"/>
      <c r="AO5" s="609"/>
      <c r="AP5" s="609"/>
      <c r="AQ5" s="609"/>
      <c r="AR5" s="609"/>
      <c r="AS5" s="609"/>
      <c r="AT5" s="609"/>
      <c r="AU5" s="609"/>
      <c r="AV5" s="609"/>
      <c r="AW5" s="609"/>
      <c r="AX5" s="609"/>
      <c r="AY5" s="609"/>
      <c r="AZ5" s="609"/>
      <c r="BA5" s="609"/>
      <c r="BB5" s="609"/>
      <c r="BC5" s="609"/>
      <c r="BD5" s="609"/>
      <c r="BE5" s="609"/>
      <c r="BF5" s="609"/>
      <c r="BG5" s="609"/>
      <c r="BH5" s="609"/>
      <c r="BI5" s="609"/>
      <c r="BJ5" s="609"/>
      <c r="BK5" s="609"/>
      <c r="BL5" s="609"/>
      <c r="BM5" s="609"/>
      <c r="BN5" s="609"/>
      <c r="BO5" s="609"/>
      <c r="BP5" s="609"/>
      <c r="BQ5" s="1542" t="s">
        <v>1822</v>
      </c>
      <c r="BR5" s="1542"/>
      <c r="BS5" s="1542"/>
      <c r="BT5" s="1542"/>
      <c r="BU5" s="1542"/>
      <c r="BV5" s="1542"/>
      <c r="BW5" s="443"/>
      <c r="BX5" s="588" t="s">
        <v>2575</v>
      </c>
    </row>
    <row r="6" spans="1:86" ht="7.5" customHeight="1" thickBot="1" x14ac:dyDescent="0.25">
      <c r="AV6" s="444"/>
      <c r="BQ6" s="1543"/>
      <c r="BR6" s="1543"/>
      <c r="BS6" s="1543"/>
      <c r="BT6" s="1543"/>
      <c r="BU6" s="1543"/>
      <c r="BV6" s="1543"/>
      <c r="BW6" s="443"/>
    </row>
    <row r="7" spans="1:86" ht="15" customHeight="1" thickBot="1" x14ac:dyDescent="0.25">
      <c r="A7" s="1753" t="s">
        <v>1919</v>
      </c>
      <c r="B7" s="612"/>
      <c r="C7" s="613" t="s">
        <v>461</v>
      </c>
      <c r="D7" s="514"/>
      <c r="E7" s="514"/>
      <c r="F7" s="514"/>
      <c r="G7" s="514"/>
      <c r="H7" s="514" t="s">
        <v>462</v>
      </c>
      <c r="I7" s="773" t="str">
        <f>Portada!F3</f>
        <v>Janeth Patricia Cando Arias</v>
      </c>
      <c r="J7" s="452"/>
      <c r="K7" s="452"/>
      <c r="L7" s="452"/>
      <c r="M7" s="452"/>
      <c r="N7" s="452"/>
      <c r="O7" s="452"/>
      <c r="P7" s="452"/>
      <c r="Q7" s="452"/>
      <c r="R7" s="452"/>
      <c r="S7" s="452"/>
      <c r="T7" s="474"/>
      <c r="U7" s="514" t="s">
        <v>466</v>
      </c>
      <c r="V7" s="514"/>
      <c r="W7" s="514"/>
      <c r="X7" s="452"/>
      <c r="Y7" s="452"/>
      <c r="Z7" s="452"/>
      <c r="AA7" s="452"/>
      <c r="AB7" s="452" t="s">
        <v>462</v>
      </c>
      <c r="AC7" s="1871" t="str">
        <f>'FICHA SOLIC'!E31</f>
        <v>Coronel Souper N° 4060</v>
      </c>
      <c r="AD7" s="1871"/>
      <c r="AE7" s="1871"/>
      <c r="AF7" s="1871"/>
      <c r="AG7" s="1871"/>
      <c r="AH7" s="1871"/>
      <c r="AI7" s="1871"/>
      <c r="AJ7" s="1871"/>
      <c r="AK7" s="1871"/>
      <c r="AL7" s="1871"/>
      <c r="AM7" s="1871"/>
      <c r="AN7" s="1871"/>
      <c r="AO7" s="1871"/>
      <c r="AP7" s="1872"/>
      <c r="AQ7" s="613" t="s">
        <v>910</v>
      </c>
      <c r="AR7" s="514"/>
      <c r="AS7" s="514"/>
      <c r="AT7" s="514"/>
      <c r="AU7" s="514"/>
      <c r="AV7" s="514"/>
      <c r="AW7" s="514"/>
      <c r="AX7" s="514"/>
      <c r="AY7" s="514" t="s">
        <v>462</v>
      </c>
      <c r="AZ7" s="452" t="str">
        <f>Antecedentes!AT7</f>
        <v>SI</v>
      </c>
      <c r="BA7" s="452"/>
      <c r="BB7" s="452"/>
      <c r="BC7" s="452"/>
      <c r="BD7" s="452"/>
      <c r="BE7" s="452"/>
      <c r="BF7" s="452"/>
      <c r="BG7" s="474"/>
      <c r="BH7" s="1937" t="s">
        <v>2633</v>
      </c>
      <c r="BI7" s="1938"/>
      <c r="BJ7" s="1938"/>
      <c r="BK7" s="1938"/>
      <c r="BL7" s="1938"/>
      <c r="BM7" s="1938"/>
      <c r="BN7" s="1938"/>
      <c r="BO7" s="1938"/>
      <c r="BP7" s="1938"/>
      <c r="BQ7" s="1938"/>
      <c r="BR7" s="1938"/>
      <c r="BS7" s="1938"/>
      <c r="BT7" s="1938"/>
      <c r="BU7" s="1938"/>
      <c r="BV7" s="1939"/>
      <c r="BW7" s="443"/>
    </row>
    <row r="8" spans="1:86" ht="15" customHeight="1" x14ac:dyDescent="0.2">
      <c r="A8" s="1753"/>
      <c r="B8" s="612"/>
      <c r="C8" s="614" t="s">
        <v>1228</v>
      </c>
      <c r="D8" s="615"/>
      <c r="E8" s="615"/>
      <c r="F8" s="615"/>
      <c r="G8" s="615"/>
      <c r="H8" s="615" t="s">
        <v>462</v>
      </c>
      <c r="I8" s="776" t="str">
        <f>Portada!AE3</f>
        <v>22.959.221-1</v>
      </c>
      <c r="T8" s="447"/>
      <c r="U8" s="615" t="str">
        <f>Portada!AP5</f>
        <v>Depto.</v>
      </c>
      <c r="V8" s="615"/>
      <c r="W8" s="615"/>
      <c r="AB8" s="443" t="s">
        <v>462</v>
      </c>
      <c r="AC8" s="1639" t="str">
        <f>Portada!AU5</f>
        <v>N°2502 B</v>
      </c>
      <c r="AD8" s="1639"/>
      <c r="AE8" s="1639"/>
      <c r="AF8" s="1639"/>
      <c r="AG8" s="1639"/>
      <c r="AH8" s="1639"/>
      <c r="AI8" s="1639"/>
      <c r="AJ8" s="1639"/>
      <c r="AK8" s="1639"/>
      <c r="AL8" s="1639"/>
      <c r="AM8" s="1639"/>
      <c r="AN8" s="1639"/>
      <c r="AO8" s="1639"/>
      <c r="AP8" s="1718"/>
      <c r="AQ8" s="614" t="s">
        <v>912</v>
      </c>
      <c r="AR8" s="615"/>
      <c r="AS8" s="615"/>
      <c r="AT8" s="615"/>
      <c r="AU8" s="615"/>
      <c r="AV8" s="615"/>
      <c r="AW8" s="615"/>
      <c r="AX8" s="615"/>
      <c r="AY8" s="615" t="s">
        <v>462</v>
      </c>
      <c r="AZ8" s="1705" t="str">
        <f>Portada!AE8</f>
        <v>2018</v>
      </c>
      <c r="BA8" s="1705"/>
      <c r="BB8" s="1705"/>
      <c r="BC8" s="1705"/>
      <c r="BD8" s="1705"/>
      <c r="BE8" s="1705"/>
      <c r="BF8" s="1705"/>
      <c r="BG8" s="447"/>
      <c r="BH8" s="1361"/>
      <c r="BI8" s="1362"/>
      <c r="BJ8" s="1362"/>
      <c r="BK8" s="1362"/>
      <c r="BL8" s="1362"/>
      <c r="BM8" s="1362"/>
      <c r="BN8" s="1362"/>
      <c r="BO8" s="1362"/>
      <c r="BP8" s="1362"/>
      <c r="BQ8" s="1362"/>
      <c r="BR8" s="1362"/>
      <c r="BS8" s="1362"/>
      <c r="BT8" s="1362"/>
      <c r="BU8" s="1362"/>
      <c r="BV8" s="1363"/>
      <c r="BW8" s="443"/>
    </row>
    <row r="9" spans="1:86" ht="15" customHeight="1" x14ac:dyDescent="0.2">
      <c r="A9" s="1753"/>
      <c r="B9" s="612"/>
      <c r="C9" s="614" t="s">
        <v>31</v>
      </c>
      <c r="D9" s="615"/>
      <c r="E9" s="615"/>
      <c r="F9" s="615"/>
      <c r="G9" s="615"/>
      <c r="H9" s="615" t="s">
        <v>462</v>
      </c>
      <c r="I9" s="776" t="str">
        <f>'FICHA SOLIC'!K21</f>
        <v>Andrés Pablo Israel Avram</v>
      </c>
      <c r="T9" s="447"/>
      <c r="U9" s="615" t="s">
        <v>484</v>
      </c>
      <c r="V9" s="615"/>
      <c r="W9" s="615"/>
      <c r="AB9" s="443" t="s">
        <v>462</v>
      </c>
      <c r="AC9" s="443" t="str">
        <f>'FICHA SOLIC'!E36</f>
        <v>Estación Central</v>
      </c>
      <c r="AQ9" s="614" t="s">
        <v>911</v>
      </c>
      <c r="AR9" s="615"/>
      <c r="AS9" s="615"/>
      <c r="AT9" s="615"/>
      <c r="AU9" s="615"/>
      <c r="AV9" s="615"/>
      <c r="AW9" s="615"/>
      <c r="AX9" s="615"/>
      <c r="AY9" s="615" t="s">
        <v>462</v>
      </c>
      <c r="AZ9" s="1646">
        <f>Portada!BJ37</f>
        <v>40</v>
      </c>
      <c r="BA9" s="1646"/>
      <c r="BB9" s="1646"/>
      <c r="BC9" s="1646"/>
      <c r="BD9" s="1646"/>
      <c r="BG9" s="447"/>
      <c r="BH9" s="1364"/>
      <c r="BI9" s="1365"/>
      <c r="BJ9" s="1365"/>
      <c r="BK9" s="1365"/>
      <c r="BL9" s="1365"/>
      <c r="BM9" s="1365"/>
      <c r="BN9" s="1365"/>
      <c r="BO9" s="1365"/>
      <c r="BP9" s="1365"/>
      <c r="BQ9" s="1365"/>
      <c r="BR9" s="1365"/>
      <c r="BS9" s="1365"/>
      <c r="BT9" s="1365"/>
      <c r="BU9" s="1365"/>
      <c r="BV9" s="1366"/>
      <c r="BW9" s="443"/>
    </row>
    <row r="10" spans="1:86" ht="15" customHeight="1" x14ac:dyDescent="0.2">
      <c r="A10" s="1753"/>
      <c r="B10" s="612"/>
      <c r="C10" s="614" t="s">
        <v>1907</v>
      </c>
      <c r="D10" s="615"/>
      <c r="E10" s="615"/>
      <c r="F10" s="615"/>
      <c r="G10" s="615"/>
      <c r="H10" s="615" t="s">
        <v>462</v>
      </c>
      <c r="I10" s="776" t="str">
        <f>'FICHA SOLIC'!K22</f>
        <v>7.774.862-8</v>
      </c>
      <c r="T10" s="447"/>
      <c r="U10" s="615" t="s">
        <v>1230</v>
      </c>
      <c r="V10" s="615"/>
      <c r="W10" s="615"/>
      <c r="AB10" s="443" t="s">
        <v>462</v>
      </c>
      <c r="AC10" s="443" t="str">
        <f>'FICHA SOLIC'!E37</f>
        <v>Metropolitana de Santiago</v>
      </c>
      <c r="AQ10" s="614" t="s">
        <v>913</v>
      </c>
      <c r="AR10" s="615"/>
      <c r="AS10" s="615"/>
      <c r="AT10" s="615"/>
      <c r="AU10" s="615"/>
      <c r="AV10" s="615"/>
      <c r="AW10" s="615"/>
      <c r="AX10" s="615"/>
      <c r="AY10" s="615" t="s">
        <v>462</v>
      </c>
      <c r="AZ10" s="1544" t="str">
        <f>Antecedentes!J7</f>
        <v>N° 65 28-04-2014</v>
      </c>
      <c r="BA10" s="1544"/>
      <c r="BB10" s="1544"/>
      <c r="BC10" s="1544"/>
      <c r="BD10" s="1544"/>
      <c r="BE10" s="1544"/>
      <c r="BF10" s="1544"/>
      <c r="BG10" s="1545"/>
      <c r="BH10" s="1364"/>
      <c r="BI10" s="1365"/>
      <c r="BJ10" s="1365"/>
      <c r="BK10" s="1365"/>
      <c r="BL10" s="1365"/>
      <c r="BM10" s="1365"/>
      <c r="BN10" s="1365"/>
      <c r="BO10" s="1365"/>
      <c r="BP10" s="1365"/>
      <c r="BQ10" s="1365"/>
      <c r="BR10" s="1365"/>
      <c r="BS10" s="1365"/>
      <c r="BT10" s="1365"/>
      <c r="BU10" s="1365"/>
      <c r="BV10" s="1366"/>
      <c r="BW10" s="443"/>
    </row>
    <row r="11" spans="1:86" ht="15" customHeight="1" x14ac:dyDescent="0.2">
      <c r="A11" s="1753"/>
      <c r="B11" s="612"/>
      <c r="C11" s="614" t="s">
        <v>470</v>
      </c>
      <c r="D11" s="615"/>
      <c r="E11" s="615"/>
      <c r="F11" s="615"/>
      <c r="G11" s="615"/>
      <c r="H11" s="615" t="s">
        <v>462</v>
      </c>
      <c r="I11" s="776" t="str">
        <f>'FICHA SOLIC'!F16</f>
        <v>Geraldine Quivaqui</v>
      </c>
      <c r="T11" s="447"/>
      <c r="U11" s="615" t="s">
        <v>1231</v>
      </c>
      <c r="V11" s="615"/>
      <c r="W11" s="615"/>
      <c r="AB11" s="443" t="s">
        <v>462</v>
      </c>
      <c r="AC11" s="1646" t="str">
        <f>'FICHA SOLIC'!E41</f>
        <v>694-416</v>
      </c>
      <c r="AD11" s="1646"/>
      <c r="AE11" s="1646"/>
      <c r="AF11" s="1646"/>
      <c r="AG11" s="1646"/>
      <c r="AH11" s="1646"/>
      <c r="AI11" s="1646"/>
      <c r="AJ11" s="1646"/>
      <c r="AK11" s="1646"/>
      <c r="AL11" s="1646"/>
      <c r="AQ11" s="614" t="s">
        <v>915</v>
      </c>
      <c r="AR11" s="615"/>
      <c r="AS11" s="615"/>
      <c r="AT11" s="615"/>
      <c r="AU11" s="615"/>
      <c r="AV11" s="615"/>
      <c r="AW11" s="615"/>
      <c r="AX11" s="615"/>
      <c r="AY11" s="615" t="s">
        <v>462</v>
      </c>
      <c r="AZ11" s="1544" t="str">
        <f>Antecedentes!J8</f>
        <v>N° 03 26-02-2018</v>
      </c>
      <c r="BA11" s="1544"/>
      <c r="BB11" s="1544"/>
      <c r="BC11" s="1544"/>
      <c r="BD11" s="1544"/>
      <c r="BE11" s="1544"/>
      <c r="BF11" s="1544"/>
      <c r="BG11" s="1545"/>
      <c r="BH11" s="1364"/>
      <c r="BI11" s="1365"/>
      <c r="BJ11" s="1365"/>
      <c r="BK11" s="1365"/>
      <c r="BL11" s="1365"/>
      <c r="BM11" s="1365"/>
      <c r="BN11" s="1365"/>
      <c r="BO11" s="1365"/>
      <c r="BP11" s="1365"/>
      <c r="BQ11" s="1365"/>
      <c r="BR11" s="1365"/>
      <c r="BS11" s="1365"/>
      <c r="BT11" s="1365"/>
      <c r="BU11" s="1365"/>
      <c r="BV11" s="1366"/>
      <c r="BW11" s="443"/>
    </row>
    <row r="12" spans="1:86" ht="15" customHeight="1" x14ac:dyDescent="0.2">
      <c r="A12" s="1753"/>
      <c r="B12" s="612"/>
      <c r="C12" s="614" t="s">
        <v>476</v>
      </c>
      <c r="D12" s="615"/>
      <c r="E12" s="615"/>
      <c r="F12" s="615"/>
      <c r="G12" s="615"/>
      <c r="H12" s="615" t="s">
        <v>462</v>
      </c>
      <c r="I12" s="776" t="str">
        <f>'FICHA SOLIC'!F10</f>
        <v>Marcela Gómez</v>
      </c>
      <c r="T12" s="447"/>
      <c r="U12" s="615" t="str">
        <f>AgrupacionProp</f>
        <v>Edificio</v>
      </c>
      <c r="V12" s="615"/>
      <c r="W12" s="615"/>
      <c r="AB12" s="443" t="s">
        <v>462</v>
      </c>
      <c r="AC12" s="443" t="str">
        <f>'FICHA SOLIC'!E39</f>
        <v>Mirador Souper</v>
      </c>
      <c r="AQ12" s="614" t="s">
        <v>1235</v>
      </c>
      <c r="AR12" s="615"/>
      <c r="AS12" s="615"/>
      <c r="AT12" s="615"/>
      <c r="AU12" s="615"/>
      <c r="AV12" s="615"/>
      <c r="AW12" s="615"/>
      <c r="AX12" s="615"/>
      <c r="AY12" s="615" t="s">
        <v>462</v>
      </c>
      <c r="AZ12" s="1646" t="str">
        <f>IF(Antecedentes!L26 &lt;&gt; "", "Si,", "No")</f>
        <v>No</v>
      </c>
      <c r="BA12" s="1646"/>
      <c r="BB12" s="1646" t="str">
        <f>IF(AZ12="Si,", IF( COUNTIF(Antecedentes!L26:L28,"NO")&gt;0,"No regularizada","Regularizada"),"")</f>
        <v/>
      </c>
      <c r="BC12" s="1646"/>
      <c r="BD12" s="1646"/>
      <c r="BE12" s="1646"/>
      <c r="BF12" s="1646"/>
      <c r="BG12" s="1930"/>
      <c r="BH12" s="1364"/>
      <c r="BI12" s="1365"/>
      <c r="BJ12" s="1365"/>
      <c r="BK12" s="1365"/>
      <c r="BL12" s="1365"/>
      <c r="BM12" s="1365"/>
      <c r="BN12" s="1365"/>
      <c r="BO12" s="1365"/>
      <c r="BP12" s="1365"/>
      <c r="BQ12" s="1365"/>
      <c r="BR12" s="1365"/>
      <c r="BS12" s="1365"/>
      <c r="BT12" s="1365"/>
      <c r="BU12" s="1365"/>
      <c r="BV12" s="1366"/>
      <c r="BW12" s="443"/>
    </row>
    <row r="13" spans="1:86" ht="15" customHeight="1" x14ac:dyDescent="0.2">
      <c r="A13" s="1753"/>
      <c r="B13" s="530"/>
      <c r="C13" s="614" t="s">
        <v>909</v>
      </c>
      <c r="D13" s="615"/>
      <c r="E13" s="615"/>
      <c r="F13" s="615"/>
      <c r="G13" s="615"/>
      <c r="H13" s="615" t="s">
        <v>462</v>
      </c>
      <c r="I13" s="443" t="str">
        <f>'FICHA SOLIC'!E27</f>
        <v>Crédito Hipotecario</v>
      </c>
      <c r="T13" s="447"/>
      <c r="U13" s="615" t="s">
        <v>1234</v>
      </c>
      <c r="V13" s="615"/>
      <c r="W13" s="615"/>
      <c r="Z13" s="443" t="s">
        <v>462</v>
      </c>
      <c r="AA13" s="1646">
        <f>numeroPisos</f>
        <v>30</v>
      </c>
      <c r="AB13" s="1646"/>
      <c r="AC13" s="1646"/>
      <c r="AD13" s="1646"/>
      <c r="AE13" s="1646"/>
      <c r="AF13" s="443" t="s">
        <v>1201</v>
      </c>
      <c r="AK13" s="443" t="s">
        <v>462</v>
      </c>
      <c r="AL13" s="443">
        <f>numeroSubt</f>
        <v>3</v>
      </c>
      <c r="AQ13" s="614" t="s">
        <v>2602</v>
      </c>
      <c r="AR13" s="618"/>
      <c r="AS13" s="615"/>
      <c r="AT13" s="615"/>
      <c r="AU13" s="615"/>
      <c r="AV13" s="615"/>
      <c r="AW13" s="615"/>
      <c r="AX13" s="615"/>
      <c r="AY13" s="615" t="s">
        <v>462</v>
      </c>
      <c r="AZ13" s="443" t="str">
        <f>Antecedentes!Z15</f>
        <v>BUENO</v>
      </c>
      <c r="BG13" s="447"/>
      <c r="BH13" s="1364"/>
      <c r="BI13" s="1365"/>
      <c r="BJ13" s="1365"/>
      <c r="BK13" s="1365"/>
      <c r="BL13" s="1365"/>
      <c r="BM13" s="1365"/>
      <c r="BN13" s="1365"/>
      <c r="BO13" s="1365"/>
      <c r="BP13" s="1365"/>
      <c r="BQ13" s="1365"/>
      <c r="BR13" s="1365"/>
      <c r="BS13" s="1365"/>
      <c r="BT13" s="1365"/>
      <c r="BU13" s="1365"/>
      <c r="BV13" s="1366"/>
      <c r="BW13" s="443"/>
    </row>
    <row r="14" spans="1:86" ht="15" customHeight="1" x14ac:dyDescent="0.2">
      <c r="A14" s="1753"/>
      <c r="B14" s="530"/>
      <c r="C14" s="614" t="s">
        <v>1908</v>
      </c>
      <c r="D14" s="615"/>
      <c r="E14" s="615"/>
      <c r="F14" s="615"/>
      <c r="G14" s="615"/>
      <c r="H14" s="615" t="s">
        <v>462</v>
      </c>
      <c r="I14" s="443" t="str">
        <f>tipoPropiedad</f>
        <v>Departamento</v>
      </c>
      <c r="T14" s="447"/>
      <c r="U14" s="615" t="str">
        <f>IF(Portada!AU3="Casa"," ","Piso")</f>
        <v>Piso</v>
      </c>
      <c r="V14" s="615"/>
      <c r="W14" s="615"/>
      <c r="X14" s="443" t="s">
        <v>462</v>
      </c>
      <c r="Y14" s="1646">
        <f>IF(Portada!AU3="Casa",Portada!BK6,Portada!BC5)</f>
        <v>25</v>
      </c>
      <c r="Z14" s="1646"/>
      <c r="AA14" s="1646"/>
      <c r="AB14" s="1646"/>
      <c r="AC14" s="1646"/>
      <c r="AD14" s="1646"/>
      <c r="AE14" s="1646"/>
      <c r="AF14" s="639" t="s">
        <v>2647</v>
      </c>
      <c r="AH14" s="1517">
        <f>Portada!BR6</f>
        <v>0</v>
      </c>
      <c r="AI14" s="1517"/>
      <c r="AJ14" s="1517"/>
      <c r="AK14" s="1517"/>
      <c r="AL14" s="1517"/>
      <c r="AM14" s="1517"/>
      <c r="AN14" s="1517"/>
      <c r="AQ14" s="614" t="s">
        <v>496</v>
      </c>
      <c r="AR14" s="615"/>
      <c r="AS14" s="615"/>
      <c r="AT14" s="615"/>
      <c r="AU14" s="615"/>
      <c r="AV14" s="615"/>
      <c r="AW14" s="615"/>
      <c r="AX14" s="615"/>
      <c r="AY14" s="616" t="s">
        <v>462</v>
      </c>
      <c r="AZ14" s="1719" t="str">
        <f>Portada!BL26</f>
        <v>No Aplica/Full eléctrico</v>
      </c>
      <c r="BA14" s="1719"/>
      <c r="BB14" s="1719"/>
      <c r="BC14" s="1719"/>
      <c r="BD14" s="1719"/>
      <c r="BE14" s="1719"/>
      <c r="BF14" s="1719"/>
      <c r="BG14" s="1720"/>
      <c r="BH14" s="1364"/>
      <c r="BI14" s="1365"/>
      <c r="BJ14" s="1365"/>
      <c r="BK14" s="1365"/>
      <c r="BL14" s="1365"/>
      <c r="BM14" s="1365"/>
      <c r="BN14" s="1365"/>
      <c r="BO14" s="1365"/>
      <c r="BP14" s="1365"/>
      <c r="BQ14" s="1365"/>
      <c r="BR14" s="1365"/>
      <c r="BS14" s="1365"/>
      <c r="BT14" s="1365"/>
      <c r="BU14" s="1365"/>
      <c r="BV14" s="1366"/>
      <c r="BW14" s="443"/>
    </row>
    <row r="15" spans="1:86" ht="15" customHeight="1" x14ac:dyDescent="0.2">
      <c r="A15" s="1753"/>
      <c r="B15" s="612"/>
      <c r="C15" s="614" t="s">
        <v>1229</v>
      </c>
      <c r="D15" s="615"/>
      <c r="E15" s="615"/>
      <c r="F15" s="615"/>
      <c r="G15" s="615"/>
      <c r="H15" s="615" t="s">
        <v>462</v>
      </c>
      <c r="I15" s="1868">
        <f>'FICHA SOLIC'!K10</f>
        <v>46154</v>
      </c>
      <c r="J15" s="1868"/>
      <c r="K15" s="1868"/>
      <c r="L15" s="1868"/>
      <c r="M15" s="1868"/>
      <c r="N15" s="1868"/>
      <c r="T15" s="447"/>
      <c r="U15" s="781" t="s">
        <v>987</v>
      </c>
      <c r="V15" s="781"/>
      <c r="W15" s="781" t="s">
        <v>462</v>
      </c>
      <c r="X15" s="443" t="str">
        <f>CONCATENATE(Portada!AA21,"(",'FICHA SOLIC'!E36,")")</f>
        <v>IPC(Estación Central)</v>
      </c>
      <c r="Z15" s="776"/>
      <c r="AA15" s="776"/>
      <c r="AB15" s="776"/>
      <c r="AC15" s="776"/>
      <c r="AF15" s="448" t="s">
        <v>2646</v>
      </c>
      <c r="AH15" s="1516">
        <f>Portada!BK6</f>
        <v>0</v>
      </c>
      <c r="AI15" s="1517"/>
      <c r="AJ15" s="1517"/>
      <c r="AK15" s="1517"/>
      <c r="AL15" s="1517"/>
      <c r="AM15" s="1517"/>
      <c r="AN15" s="1517"/>
      <c r="AQ15" s="617" t="s">
        <v>495</v>
      </c>
      <c r="AR15" s="618"/>
      <c r="AS15" s="618"/>
      <c r="AT15" s="618"/>
      <c r="AU15" s="618"/>
      <c r="AV15" s="618"/>
      <c r="AW15" s="618"/>
      <c r="AX15" s="618"/>
      <c r="AY15" s="619" t="s">
        <v>462</v>
      </c>
      <c r="AZ15" s="1542" t="str">
        <f>Portada!BK24</f>
        <v>NO</v>
      </c>
      <c r="BA15" s="1542"/>
      <c r="BB15" s="1542"/>
      <c r="BC15" s="1542"/>
      <c r="BD15" s="1542"/>
      <c r="BE15" s="1542"/>
      <c r="BF15" s="1542"/>
      <c r="BG15" s="447"/>
      <c r="BH15" s="1364"/>
      <c r="BI15" s="1365"/>
      <c r="BJ15" s="1365"/>
      <c r="BK15" s="1365"/>
      <c r="BL15" s="1365"/>
      <c r="BM15" s="1365"/>
      <c r="BN15" s="1365"/>
      <c r="BO15" s="1365"/>
      <c r="BP15" s="1365"/>
      <c r="BQ15" s="1365"/>
      <c r="BR15" s="1365"/>
      <c r="BS15" s="1365"/>
      <c r="BT15" s="1365"/>
      <c r="BU15" s="1365"/>
      <c r="BV15" s="1366"/>
      <c r="BW15" s="443"/>
    </row>
    <row r="16" spans="1:86" ht="15" customHeight="1" x14ac:dyDescent="0.2">
      <c r="A16" s="1753"/>
      <c r="B16" s="612"/>
      <c r="C16" s="614" t="s">
        <v>492</v>
      </c>
      <c r="D16" s="615"/>
      <c r="E16" s="615"/>
      <c r="F16" s="615"/>
      <c r="G16" s="615"/>
      <c r="H16" s="615" t="s">
        <v>462</v>
      </c>
      <c r="I16" s="443" t="str">
        <f>'FICHA SOLIC'!K40</f>
        <v>HABITACIONAL</v>
      </c>
      <c r="T16" s="447"/>
      <c r="U16" s="615" t="s">
        <v>1232</v>
      </c>
      <c r="V16" s="615"/>
      <c r="W16" s="615"/>
      <c r="AD16" s="443" t="s">
        <v>462</v>
      </c>
      <c r="AE16" s="443" t="str">
        <f>estAsigN</f>
        <v>0</v>
      </c>
      <c r="AQ16" s="614" t="s">
        <v>490</v>
      </c>
      <c r="AR16" s="615"/>
      <c r="AS16" s="615"/>
      <c r="AT16" s="615"/>
      <c r="AU16" s="615"/>
      <c r="AV16" s="615"/>
      <c r="AW16" s="615"/>
      <c r="AX16" s="615"/>
      <c r="AY16" s="615" t="s">
        <v>462</v>
      </c>
      <c r="AZ16" s="443" t="str">
        <f>Portada!BL25</f>
        <v>DOM, Plano Catastro</v>
      </c>
      <c r="BG16" s="447"/>
      <c r="BH16" s="1364"/>
      <c r="BI16" s="1365"/>
      <c r="BJ16" s="1365"/>
      <c r="BK16" s="1365"/>
      <c r="BL16" s="1365"/>
      <c r="BM16" s="1365"/>
      <c r="BN16" s="1365"/>
      <c r="BO16" s="1365"/>
      <c r="BP16" s="1365"/>
      <c r="BQ16" s="1365"/>
      <c r="BR16" s="1365"/>
      <c r="BS16" s="1365"/>
      <c r="BT16" s="1365"/>
      <c r="BU16" s="1365"/>
      <c r="BV16" s="1366"/>
      <c r="BW16" s="443"/>
    </row>
    <row r="17" spans="1:87" ht="15" customHeight="1" thickBot="1" x14ac:dyDescent="0.25">
      <c r="A17" s="1753"/>
      <c r="B17" s="612"/>
      <c r="C17" s="614" t="s">
        <v>470</v>
      </c>
      <c r="D17" s="615"/>
      <c r="E17" s="615"/>
      <c r="F17" s="615"/>
      <c r="G17" s="615"/>
      <c r="H17" s="615" t="s">
        <v>462</v>
      </c>
      <c r="I17" s="443">
        <f>+'FICHA SOLIC'!F18</f>
        <v>0</v>
      </c>
      <c r="T17" s="447"/>
      <c r="U17" s="615" t="s">
        <v>1233</v>
      </c>
      <c r="V17" s="615"/>
      <c r="W17" s="615"/>
      <c r="AD17" s="443" t="s">
        <v>462</v>
      </c>
      <c r="AE17" s="443" t="str">
        <f>estAsocN</f>
        <v>0</v>
      </c>
      <c r="AQ17" s="828" t="s">
        <v>1236</v>
      </c>
      <c r="AR17" s="826"/>
      <c r="AS17" s="826"/>
      <c r="AT17" s="826"/>
      <c r="AU17" s="826"/>
      <c r="AV17" s="826"/>
      <c r="AW17" s="826"/>
      <c r="AX17" s="826"/>
      <c r="AY17" s="826"/>
      <c r="AZ17" s="826"/>
      <c r="BA17" s="826"/>
      <c r="BB17" s="826"/>
      <c r="BC17" s="826"/>
      <c r="BD17" s="826"/>
      <c r="BE17" s="826"/>
      <c r="BF17" s="826"/>
      <c r="BG17" s="827"/>
      <c r="BH17" s="1364"/>
      <c r="BI17" s="1365"/>
      <c r="BJ17" s="1365"/>
      <c r="BK17" s="1365"/>
      <c r="BL17" s="1365"/>
      <c r="BM17" s="1365"/>
      <c r="BN17" s="1365"/>
      <c r="BO17" s="1365"/>
      <c r="BP17" s="1365"/>
      <c r="BQ17" s="1365"/>
      <c r="BR17" s="1365"/>
      <c r="BS17" s="1365"/>
      <c r="BT17" s="1365"/>
      <c r="BU17" s="1365"/>
      <c r="BV17" s="1366"/>
      <c r="BW17" s="443"/>
    </row>
    <row r="18" spans="1:87" ht="15" customHeight="1" x14ac:dyDescent="0.2">
      <c r="A18" s="1753"/>
      <c r="B18" s="612"/>
      <c r="C18" s="614" t="s">
        <v>1517</v>
      </c>
      <c r="D18" s="615"/>
      <c r="E18" s="615"/>
      <c r="F18" s="615"/>
      <c r="G18" s="615"/>
      <c r="H18" s="615"/>
      <c r="T18" s="447"/>
      <c r="U18" s="615" t="s">
        <v>1220</v>
      </c>
      <c r="V18" s="615"/>
      <c r="W18" s="615"/>
      <c r="AD18" s="443" t="s">
        <v>462</v>
      </c>
      <c r="AE18" s="443" t="str">
        <f>bodN</f>
        <v>0</v>
      </c>
      <c r="AQ18" s="1530" t="str">
        <f>Portada!BB29</f>
        <v>De acuerdo al DOM, Plano Catastro de la Municipalidad de Estación Central la propiedad NO cuenta con expropiación.</v>
      </c>
      <c r="AR18" s="1531"/>
      <c r="AS18" s="1531"/>
      <c r="AT18" s="1531"/>
      <c r="AU18" s="1531"/>
      <c r="AV18" s="1531"/>
      <c r="AW18" s="1531"/>
      <c r="AX18" s="1531"/>
      <c r="AY18" s="1531"/>
      <c r="AZ18" s="1531"/>
      <c r="BA18" s="1531"/>
      <c r="BB18" s="1531"/>
      <c r="BC18" s="1531"/>
      <c r="BD18" s="1531"/>
      <c r="BE18" s="1531"/>
      <c r="BF18" s="1531"/>
      <c r="BG18" s="1532"/>
      <c r="BH18" s="1364"/>
      <c r="BI18" s="1365"/>
      <c r="BJ18" s="1365"/>
      <c r="BK18" s="1365"/>
      <c r="BL18" s="1365"/>
      <c r="BM18" s="1365"/>
      <c r="BN18" s="1365"/>
      <c r="BO18" s="1365"/>
      <c r="BP18" s="1365"/>
      <c r="BQ18" s="1365"/>
      <c r="BR18" s="1365"/>
      <c r="BS18" s="1365"/>
      <c r="BT18" s="1365"/>
      <c r="BU18" s="1365"/>
      <c r="BV18" s="1366"/>
      <c r="BW18" s="443"/>
    </row>
    <row r="19" spans="1:87" ht="15" customHeight="1" x14ac:dyDescent="0.2">
      <c r="A19" s="1753"/>
      <c r="B19" s="612"/>
      <c r="C19" s="614" t="s">
        <v>1813</v>
      </c>
      <c r="D19" s="615"/>
      <c r="E19" s="615"/>
      <c r="F19" s="615"/>
      <c r="G19" s="615"/>
      <c r="H19" s="615" t="s">
        <v>462</v>
      </c>
      <c r="I19" s="1869">
        <f>+'FICHA SOLIC'!K13</f>
        <v>0</v>
      </c>
      <c r="J19" s="1869"/>
      <c r="K19" s="1869"/>
      <c r="L19" s="1869"/>
      <c r="M19" s="1869"/>
      <c r="N19" s="1869"/>
      <c r="T19" s="447"/>
      <c r="U19" s="615" t="str">
        <f>IF(Portada!AU3="Casa","Mansarda","")</f>
        <v/>
      </c>
      <c r="V19" s="615"/>
      <c r="W19" s="615"/>
      <c r="AD19" s="443" t="str">
        <f>IF(Portada!AU3="Casa",":","")</f>
        <v/>
      </c>
      <c r="AE19" s="443" t="str">
        <f>IF(tipoPropiedad="Casa",MansardaTiene,"")</f>
        <v/>
      </c>
      <c r="AQ19" s="1533"/>
      <c r="AR19" s="1534"/>
      <c r="AS19" s="1534"/>
      <c r="AT19" s="1534"/>
      <c r="AU19" s="1534"/>
      <c r="AV19" s="1534"/>
      <c r="AW19" s="1534"/>
      <c r="AX19" s="1534"/>
      <c r="AY19" s="1534"/>
      <c r="AZ19" s="1534"/>
      <c r="BA19" s="1534"/>
      <c r="BB19" s="1534"/>
      <c r="BC19" s="1534"/>
      <c r="BD19" s="1534"/>
      <c r="BE19" s="1534"/>
      <c r="BF19" s="1534"/>
      <c r="BG19" s="1535"/>
      <c r="BH19" s="1364"/>
      <c r="BI19" s="1365"/>
      <c r="BJ19" s="1365"/>
      <c r="BK19" s="1365"/>
      <c r="BL19" s="1365"/>
      <c r="BM19" s="1365"/>
      <c r="BN19" s="1365"/>
      <c r="BO19" s="1365"/>
      <c r="BP19" s="1365"/>
      <c r="BQ19" s="1365"/>
      <c r="BR19" s="1365"/>
      <c r="BS19" s="1365"/>
      <c r="BT19" s="1365"/>
      <c r="BU19" s="1365"/>
      <c r="BV19" s="1366"/>
      <c r="BW19" s="443"/>
    </row>
    <row r="20" spans="1:87" ht="15" customHeight="1" x14ac:dyDescent="0.2">
      <c r="A20" s="1753"/>
      <c r="B20" s="612"/>
      <c r="C20" s="614"/>
      <c r="D20" s="615"/>
      <c r="E20" s="615"/>
      <c r="F20" s="615"/>
      <c r="G20" s="615"/>
      <c r="H20" s="615"/>
      <c r="T20" s="447"/>
      <c r="U20" s="615"/>
      <c r="V20" s="615"/>
      <c r="W20" s="615"/>
      <c r="AQ20" s="1533"/>
      <c r="AR20" s="1534"/>
      <c r="AS20" s="1534"/>
      <c r="AT20" s="1534"/>
      <c r="AU20" s="1534"/>
      <c r="AV20" s="1534"/>
      <c r="AW20" s="1534"/>
      <c r="AX20" s="1534"/>
      <c r="AY20" s="1534"/>
      <c r="AZ20" s="1534"/>
      <c r="BA20" s="1534"/>
      <c r="BB20" s="1534"/>
      <c r="BC20" s="1534"/>
      <c r="BD20" s="1534"/>
      <c r="BE20" s="1534"/>
      <c r="BF20" s="1534"/>
      <c r="BG20" s="1535"/>
      <c r="BH20" s="1364"/>
      <c r="BI20" s="1365"/>
      <c r="BJ20" s="1365"/>
      <c r="BK20" s="1365"/>
      <c r="BL20" s="1365"/>
      <c r="BM20" s="1365"/>
      <c r="BN20" s="1365"/>
      <c r="BO20" s="1365"/>
      <c r="BP20" s="1365"/>
      <c r="BQ20" s="1365"/>
      <c r="BR20" s="1365"/>
      <c r="BS20" s="1365"/>
      <c r="BT20" s="1365"/>
      <c r="BU20" s="1365"/>
      <c r="BV20" s="1366"/>
      <c r="BW20" s="443"/>
    </row>
    <row r="21" spans="1:87" ht="15" customHeight="1" thickBot="1" x14ac:dyDescent="0.25">
      <c r="A21" s="1753"/>
      <c r="B21" s="612"/>
      <c r="C21" s="620"/>
      <c r="D21" s="450"/>
      <c r="E21" s="450"/>
      <c r="F21" s="450"/>
      <c r="G21" s="450"/>
      <c r="H21" s="450"/>
      <c r="I21" s="475"/>
      <c r="J21" s="475"/>
      <c r="K21" s="475"/>
      <c r="L21" s="475"/>
      <c r="M21" s="475"/>
      <c r="N21" s="475"/>
      <c r="O21" s="475"/>
      <c r="P21" s="475"/>
      <c r="Q21" s="475"/>
      <c r="R21" s="475"/>
      <c r="S21" s="475"/>
      <c r="T21" s="476"/>
      <c r="U21" s="450"/>
      <c r="V21" s="450"/>
      <c r="W21" s="450"/>
      <c r="X21" s="475"/>
      <c r="Y21" s="475"/>
      <c r="Z21" s="475"/>
      <c r="AA21" s="475"/>
      <c r="AB21" s="475"/>
      <c r="AC21" s="475"/>
      <c r="AD21" s="475"/>
      <c r="AE21" s="475"/>
      <c r="AF21" s="475"/>
      <c r="AG21" s="475"/>
      <c r="AH21" s="475"/>
      <c r="AI21" s="475"/>
      <c r="AJ21" s="475"/>
      <c r="AK21" s="475"/>
      <c r="AL21" s="475"/>
      <c r="AM21" s="475"/>
      <c r="AN21" s="475"/>
      <c r="AO21" s="475"/>
      <c r="AP21" s="475"/>
      <c r="AQ21" s="1536"/>
      <c r="AR21" s="1537"/>
      <c r="AS21" s="1537"/>
      <c r="AT21" s="1537"/>
      <c r="AU21" s="1537"/>
      <c r="AV21" s="1537"/>
      <c r="AW21" s="1537"/>
      <c r="AX21" s="1537"/>
      <c r="AY21" s="1537"/>
      <c r="AZ21" s="1537"/>
      <c r="BA21" s="1537"/>
      <c r="BB21" s="1537"/>
      <c r="BC21" s="1537"/>
      <c r="BD21" s="1537"/>
      <c r="BE21" s="1537"/>
      <c r="BF21" s="1537"/>
      <c r="BG21" s="1538"/>
      <c r="BH21" s="1367"/>
      <c r="BI21" s="1368"/>
      <c r="BJ21" s="1368"/>
      <c r="BK21" s="1368"/>
      <c r="BL21" s="1368"/>
      <c r="BM21" s="1368"/>
      <c r="BN21" s="1368"/>
      <c r="BO21" s="1368"/>
      <c r="BP21" s="1368"/>
      <c r="BQ21" s="1368"/>
      <c r="BR21" s="1368"/>
      <c r="BS21" s="1368"/>
      <c r="BT21" s="1368"/>
      <c r="BU21" s="1368"/>
      <c r="BV21" s="1369"/>
      <c r="BW21" s="443"/>
    </row>
    <row r="22" spans="1:87" ht="15" customHeight="1" x14ac:dyDescent="0.2">
      <c r="A22" s="1873" t="s">
        <v>2595</v>
      </c>
      <c r="B22" s="612"/>
      <c r="C22" s="1874" t="str">
        <f>Portada!D12</f>
        <v xml:space="preserve">El bien es un departamento que se encuentra en Coronel Souper N° 4060. El edificio se desarrolla en un volumen de 30 pisos y 3 subterráneos el cual está conectado por 4 ascensores. Los espacios comunes se encuentran en primer piso más azotea y cuenta con sala multiuso, lavandería, gimnasio, quinchos. La propiedad se encuentra en el piso 25 con orientación oeste, tiene 41 m² interiores, sin terraza. El departamento cuenta con living comedor, cocina empotrada, 2 dormitorios, 1 baño de uso común. </v>
      </c>
      <c r="D22" s="1875"/>
      <c r="E22" s="1875"/>
      <c r="F22" s="1875"/>
      <c r="G22" s="1875"/>
      <c r="H22" s="1875"/>
      <c r="I22" s="1875"/>
      <c r="J22" s="1875"/>
      <c r="K22" s="1875"/>
      <c r="L22" s="1875"/>
      <c r="M22" s="1875"/>
      <c r="N22" s="1875"/>
      <c r="O22" s="1875"/>
      <c r="P22" s="1875"/>
      <c r="Q22" s="1875"/>
      <c r="R22" s="1875"/>
      <c r="S22" s="1875"/>
      <c r="T22" s="1875"/>
      <c r="U22" s="1875"/>
      <c r="V22" s="1875"/>
      <c r="W22" s="1875"/>
      <c r="X22" s="1875"/>
      <c r="Y22" s="1875"/>
      <c r="Z22" s="1875"/>
      <c r="AA22" s="1875"/>
      <c r="AB22" s="1875"/>
      <c r="AC22" s="1875"/>
      <c r="AD22" s="1875"/>
      <c r="AE22" s="1875"/>
      <c r="AF22" s="1875"/>
      <c r="AG22" s="1875"/>
      <c r="AH22" s="1875"/>
      <c r="AI22" s="1875"/>
      <c r="AJ22" s="1875"/>
      <c r="AK22" s="1875"/>
      <c r="AL22" s="1875"/>
      <c r="AM22" s="1875"/>
      <c r="AN22" s="1875"/>
      <c r="AO22" s="1875"/>
      <c r="AP22" s="1875"/>
      <c r="AQ22" s="1875"/>
      <c r="AR22" s="1875"/>
      <c r="AS22" s="1875"/>
      <c r="AT22" s="1875"/>
      <c r="AU22" s="1875"/>
      <c r="AV22" s="1875"/>
      <c r="AW22" s="1875"/>
      <c r="AX22" s="1875"/>
      <c r="AY22" s="1875"/>
      <c r="AZ22" s="1875"/>
      <c r="BA22" s="1875"/>
      <c r="BB22" s="1875"/>
      <c r="BC22" s="1875"/>
      <c r="BD22" s="1875"/>
      <c r="BE22" s="1875"/>
      <c r="BF22" s="1875"/>
      <c r="BG22" s="1875"/>
      <c r="BH22" s="1875"/>
      <c r="BI22" s="1875"/>
      <c r="BJ22" s="1875"/>
      <c r="BK22" s="1875"/>
      <c r="BL22" s="1875"/>
      <c r="BM22" s="1875"/>
      <c r="BN22" s="1875"/>
      <c r="BO22" s="1875"/>
      <c r="BP22" s="1875"/>
      <c r="BQ22" s="1875"/>
      <c r="BR22" s="1875"/>
      <c r="BS22" s="1875"/>
      <c r="BT22" s="1875"/>
      <c r="BU22" s="1875"/>
      <c r="BV22" s="1876"/>
      <c r="BW22" s="621"/>
      <c r="BX22" s="621"/>
      <c r="BY22" s="621"/>
      <c r="BZ22" s="621"/>
      <c r="CA22" s="621"/>
      <c r="CB22" s="621"/>
      <c r="CC22" s="621"/>
      <c r="CD22" s="621"/>
      <c r="CE22" s="621"/>
      <c r="CF22" s="621"/>
      <c r="CG22" s="621"/>
      <c r="CH22" s="621"/>
      <c r="CI22" s="621"/>
    </row>
    <row r="23" spans="1:87" ht="15" customHeight="1" x14ac:dyDescent="0.2">
      <c r="A23" s="1753"/>
      <c r="B23" s="612"/>
      <c r="C23" s="1721"/>
      <c r="D23" s="1722"/>
      <c r="E23" s="1722"/>
      <c r="F23" s="1722"/>
      <c r="G23" s="1722"/>
      <c r="H23" s="1722"/>
      <c r="I23" s="1722"/>
      <c r="J23" s="1722"/>
      <c r="K23" s="1722"/>
      <c r="L23" s="1722"/>
      <c r="M23" s="1722"/>
      <c r="N23" s="1722"/>
      <c r="O23" s="1722"/>
      <c r="P23" s="1722"/>
      <c r="Q23" s="1722"/>
      <c r="R23" s="1722"/>
      <c r="S23" s="1722"/>
      <c r="T23" s="1722"/>
      <c r="U23" s="1722"/>
      <c r="V23" s="1722"/>
      <c r="W23" s="1722"/>
      <c r="X23" s="1722"/>
      <c r="Y23" s="1722"/>
      <c r="Z23" s="1722"/>
      <c r="AA23" s="1722"/>
      <c r="AB23" s="1722"/>
      <c r="AC23" s="1722"/>
      <c r="AD23" s="1722"/>
      <c r="AE23" s="1722"/>
      <c r="AF23" s="1722"/>
      <c r="AG23" s="1722"/>
      <c r="AH23" s="1722"/>
      <c r="AI23" s="1722"/>
      <c r="AJ23" s="1722"/>
      <c r="AK23" s="1722"/>
      <c r="AL23" s="1722"/>
      <c r="AM23" s="1722"/>
      <c r="AN23" s="1722"/>
      <c r="AO23" s="1722"/>
      <c r="AP23" s="1722"/>
      <c r="AQ23" s="1722"/>
      <c r="AR23" s="1722"/>
      <c r="AS23" s="1722"/>
      <c r="AT23" s="1722"/>
      <c r="AU23" s="1722"/>
      <c r="AV23" s="1722"/>
      <c r="AW23" s="1722"/>
      <c r="AX23" s="1722"/>
      <c r="AY23" s="1722"/>
      <c r="AZ23" s="1722"/>
      <c r="BA23" s="1722"/>
      <c r="BB23" s="1722"/>
      <c r="BC23" s="1722"/>
      <c r="BD23" s="1722"/>
      <c r="BE23" s="1722"/>
      <c r="BF23" s="1722"/>
      <c r="BG23" s="1722"/>
      <c r="BH23" s="1722"/>
      <c r="BI23" s="1722"/>
      <c r="BJ23" s="1722"/>
      <c r="BK23" s="1722"/>
      <c r="BL23" s="1722"/>
      <c r="BM23" s="1722"/>
      <c r="BN23" s="1722"/>
      <c r="BO23" s="1722"/>
      <c r="BP23" s="1722"/>
      <c r="BQ23" s="1722"/>
      <c r="BR23" s="1722"/>
      <c r="BS23" s="1722"/>
      <c r="BT23" s="1722"/>
      <c r="BU23" s="1722"/>
      <c r="BV23" s="1723"/>
      <c r="BW23" s="621"/>
      <c r="BX23" s="621"/>
      <c r="BY23" s="621"/>
      <c r="BZ23" s="621"/>
      <c r="CA23" s="621"/>
      <c r="CB23" s="621"/>
      <c r="CC23" s="621"/>
      <c r="CD23" s="621"/>
      <c r="CE23" s="621"/>
      <c r="CF23" s="621"/>
      <c r="CG23" s="621"/>
      <c r="CH23" s="621"/>
      <c r="CI23" s="621"/>
    </row>
    <row r="24" spans="1:87" ht="15" customHeight="1" x14ac:dyDescent="0.2">
      <c r="A24" s="1753"/>
      <c r="B24" s="612"/>
      <c r="C24" s="1721"/>
      <c r="D24" s="1722"/>
      <c r="E24" s="1722"/>
      <c r="F24" s="1722"/>
      <c r="G24" s="1722"/>
      <c r="H24" s="1722"/>
      <c r="I24" s="1722"/>
      <c r="J24" s="1722"/>
      <c r="K24" s="1722"/>
      <c r="L24" s="1722"/>
      <c r="M24" s="1722"/>
      <c r="N24" s="1722"/>
      <c r="O24" s="1722"/>
      <c r="P24" s="1722"/>
      <c r="Q24" s="1722"/>
      <c r="R24" s="1722"/>
      <c r="S24" s="1722"/>
      <c r="T24" s="1722"/>
      <c r="U24" s="1722"/>
      <c r="V24" s="1722"/>
      <c r="W24" s="1722"/>
      <c r="X24" s="1722"/>
      <c r="Y24" s="1722"/>
      <c r="Z24" s="1722"/>
      <c r="AA24" s="1722"/>
      <c r="AB24" s="1722"/>
      <c r="AC24" s="1722"/>
      <c r="AD24" s="1722"/>
      <c r="AE24" s="1722"/>
      <c r="AF24" s="1722"/>
      <c r="AG24" s="1722"/>
      <c r="AH24" s="1722"/>
      <c r="AI24" s="1722"/>
      <c r="AJ24" s="1722"/>
      <c r="AK24" s="1722"/>
      <c r="AL24" s="1722"/>
      <c r="AM24" s="1722"/>
      <c r="AN24" s="1722"/>
      <c r="AO24" s="1722"/>
      <c r="AP24" s="1722"/>
      <c r="AQ24" s="1722"/>
      <c r="AR24" s="1722"/>
      <c r="AS24" s="1722"/>
      <c r="AT24" s="1722"/>
      <c r="AU24" s="1722"/>
      <c r="AV24" s="1722"/>
      <c r="AW24" s="1722"/>
      <c r="AX24" s="1722"/>
      <c r="AY24" s="1722"/>
      <c r="AZ24" s="1722"/>
      <c r="BA24" s="1722"/>
      <c r="BB24" s="1722"/>
      <c r="BC24" s="1722"/>
      <c r="BD24" s="1722"/>
      <c r="BE24" s="1722"/>
      <c r="BF24" s="1722"/>
      <c r="BG24" s="1722"/>
      <c r="BH24" s="1722"/>
      <c r="BI24" s="1722"/>
      <c r="BJ24" s="1722"/>
      <c r="BK24" s="1722"/>
      <c r="BL24" s="1722"/>
      <c r="BM24" s="1722"/>
      <c r="BN24" s="1722"/>
      <c r="BO24" s="1722"/>
      <c r="BP24" s="1722"/>
      <c r="BQ24" s="1722"/>
      <c r="BR24" s="1722"/>
      <c r="BS24" s="1722"/>
      <c r="BT24" s="1722"/>
      <c r="BU24" s="1722"/>
      <c r="BV24" s="1723"/>
      <c r="BW24" s="621"/>
      <c r="BX24" s="621"/>
      <c r="BY24" s="621"/>
      <c r="BZ24" s="621"/>
      <c r="CA24" s="621"/>
      <c r="CB24" s="621"/>
      <c r="CC24" s="621"/>
      <c r="CD24" s="621"/>
      <c r="CE24" s="621"/>
      <c r="CF24" s="621"/>
      <c r="CG24" s="621"/>
      <c r="CH24" s="621"/>
      <c r="CI24" s="621"/>
    </row>
    <row r="25" spans="1:87" ht="15" customHeight="1" x14ac:dyDescent="0.2">
      <c r="A25" s="1753"/>
      <c r="B25" s="612"/>
      <c r="C25" s="1721"/>
      <c r="D25" s="1722"/>
      <c r="E25" s="1722"/>
      <c r="F25" s="1722"/>
      <c r="G25" s="1722"/>
      <c r="H25" s="1722"/>
      <c r="I25" s="1722"/>
      <c r="J25" s="1722"/>
      <c r="K25" s="1722"/>
      <c r="L25" s="1722"/>
      <c r="M25" s="1722"/>
      <c r="N25" s="1722"/>
      <c r="O25" s="1722"/>
      <c r="P25" s="1722"/>
      <c r="Q25" s="1722"/>
      <c r="R25" s="1722"/>
      <c r="S25" s="1722"/>
      <c r="T25" s="1722"/>
      <c r="U25" s="1722"/>
      <c r="V25" s="1722"/>
      <c r="W25" s="1722"/>
      <c r="X25" s="1722"/>
      <c r="Y25" s="1722"/>
      <c r="Z25" s="1722"/>
      <c r="AA25" s="1722"/>
      <c r="AB25" s="1722"/>
      <c r="AC25" s="1722"/>
      <c r="AD25" s="1722"/>
      <c r="AE25" s="1722"/>
      <c r="AF25" s="1722"/>
      <c r="AG25" s="1722"/>
      <c r="AH25" s="1722"/>
      <c r="AI25" s="1722"/>
      <c r="AJ25" s="1722"/>
      <c r="AK25" s="1722"/>
      <c r="AL25" s="1722"/>
      <c r="AM25" s="1722"/>
      <c r="AN25" s="1722"/>
      <c r="AO25" s="1722"/>
      <c r="AP25" s="1722"/>
      <c r="AQ25" s="1722"/>
      <c r="AR25" s="1722"/>
      <c r="AS25" s="1722"/>
      <c r="AT25" s="1722"/>
      <c r="AU25" s="1722"/>
      <c r="AV25" s="1722"/>
      <c r="AW25" s="1722"/>
      <c r="AX25" s="1722"/>
      <c r="AY25" s="1722"/>
      <c r="AZ25" s="1722"/>
      <c r="BA25" s="1722"/>
      <c r="BB25" s="1722"/>
      <c r="BC25" s="1722"/>
      <c r="BD25" s="1722"/>
      <c r="BE25" s="1722"/>
      <c r="BF25" s="1722"/>
      <c r="BG25" s="1722"/>
      <c r="BH25" s="1722"/>
      <c r="BI25" s="1722"/>
      <c r="BJ25" s="1722"/>
      <c r="BK25" s="1722"/>
      <c r="BL25" s="1722"/>
      <c r="BM25" s="1722"/>
      <c r="BN25" s="1722"/>
      <c r="BO25" s="1722"/>
      <c r="BP25" s="1722"/>
      <c r="BQ25" s="1722"/>
      <c r="BR25" s="1722"/>
      <c r="BS25" s="1722"/>
      <c r="BT25" s="1722"/>
      <c r="BU25" s="1722"/>
      <c r="BV25" s="1723"/>
      <c r="BW25" s="621"/>
      <c r="BX25" s="621"/>
      <c r="BY25" s="621"/>
      <c r="BZ25" s="621"/>
      <c r="CA25" s="621"/>
      <c r="CB25" s="621"/>
      <c r="CC25" s="621"/>
      <c r="CD25" s="621"/>
      <c r="CE25" s="621"/>
      <c r="CF25" s="621"/>
      <c r="CG25" s="621"/>
      <c r="CH25" s="621"/>
      <c r="CI25" s="621"/>
    </row>
    <row r="26" spans="1:87" ht="15" customHeight="1" x14ac:dyDescent="0.2">
      <c r="A26" s="1753"/>
      <c r="B26" s="612"/>
      <c r="C26" s="1721"/>
      <c r="D26" s="1722"/>
      <c r="E26" s="1722"/>
      <c r="F26" s="1722"/>
      <c r="G26" s="1722"/>
      <c r="H26" s="1722"/>
      <c r="I26" s="1722"/>
      <c r="J26" s="1722"/>
      <c r="K26" s="1722"/>
      <c r="L26" s="1722"/>
      <c r="M26" s="1722"/>
      <c r="N26" s="1722"/>
      <c r="O26" s="1722"/>
      <c r="P26" s="1722"/>
      <c r="Q26" s="1722"/>
      <c r="R26" s="1722"/>
      <c r="S26" s="1722"/>
      <c r="T26" s="1722"/>
      <c r="U26" s="1722"/>
      <c r="V26" s="1722"/>
      <c r="W26" s="1722"/>
      <c r="X26" s="1722"/>
      <c r="Y26" s="1722"/>
      <c r="Z26" s="1722"/>
      <c r="AA26" s="1722"/>
      <c r="AB26" s="1722"/>
      <c r="AC26" s="1722"/>
      <c r="AD26" s="1722"/>
      <c r="AE26" s="1722"/>
      <c r="AF26" s="1722"/>
      <c r="AG26" s="1722"/>
      <c r="AH26" s="1722"/>
      <c r="AI26" s="1722"/>
      <c r="AJ26" s="1722"/>
      <c r="AK26" s="1722"/>
      <c r="AL26" s="1722"/>
      <c r="AM26" s="1722"/>
      <c r="AN26" s="1722"/>
      <c r="AO26" s="1722"/>
      <c r="AP26" s="1722"/>
      <c r="AQ26" s="1722"/>
      <c r="AR26" s="1722"/>
      <c r="AS26" s="1722"/>
      <c r="AT26" s="1722"/>
      <c r="AU26" s="1722"/>
      <c r="AV26" s="1722"/>
      <c r="AW26" s="1722"/>
      <c r="AX26" s="1722"/>
      <c r="AY26" s="1722"/>
      <c r="AZ26" s="1722"/>
      <c r="BA26" s="1722"/>
      <c r="BB26" s="1722"/>
      <c r="BC26" s="1722"/>
      <c r="BD26" s="1722"/>
      <c r="BE26" s="1722"/>
      <c r="BF26" s="1722"/>
      <c r="BG26" s="1722"/>
      <c r="BH26" s="1722"/>
      <c r="BI26" s="1722"/>
      <c r="BJ26" s="1722"/>
      <c r="BK26" s="1722"/>
      <c r="BL26" s="1722"/>
      <c r="BM26" s="1722"/>
      <c r="BN26" s="1722"/>
      <c r="BO26" s="1722"/>
      <c r="BP26" s="1722"/>
      <c r="BQ26" s="1722"/>
      <c r="BR26" s="1722"/>
      <c r="BS26" s="1722"/>
      <c r="BT26" s="1722"/>
      <c r="BU26" s="1722"/>
      <c r="BV26" s="1723"/>
      <c r="BW26" s="621"/>
      <c r="BX26" s="621"/>
      <c r="BY26" s="621"/>
      <c r="BZ26" s="621"/>
      <c r="CA26" s="621"/>
      <c r="CB26" s="621"/>
      <c r="CC26" s="621"/>
      <c r="CD26" s="621"/>
      <c r="CE26" s="621"/>
      <c r="CF26" s="621"/>
      <c r="CG26" s="621"/>
      <c r="CH26" s="621"/>
      <c r="CI26" s="621"/>
    </row>
    <row r="27" spans="1:87" ht="15" customHeight="1" thickBot="1" x14ac:dyDescent="0.25">
      <c r="A27" s="1753"/>
      <c r="B27" s="612"/>
      <c r="C27" s="1961" t="str">
        <f>Portada!D17</f>
        <v/>
      </c>
      <c r="D27" s="1962"/>
      <c r="E27" s="1962"/>
      <c r="F27" s="1962"/>
      <c r="G27" s="1962"/>
      <c r="H27" s="1962"/>
      <c r="I27" s="1962"/>
      <c r="J27" s="1962"/>
      <c r="K27" s="1962"/>
      <c r="L27" s="1962"/>
      <c r="M27" s="1962"/>
      <c r="N27" s="1962"/>
      <c r="O27" s="1962"/>
      <c r="P27" s="1962"/>
      <c r="Q27" s="1962"/>
      <c r="R27" s="1962"/>
      <c r="S27" s="1962"/>
      <c r="T27" s="1962"/>
      <c r="U27" s="1962"/>
      <c r="V27" s="1962"/>
      <c r="W27" s="1962"/>
      <c r="X27" s="1962"/>
      <c r="Y27" s="1962"/>
      <c r="Z27" s="1962"/>
      <c r="AA27" s="1962"/>
      <c r="AB27" s="1962"/>
      <c r="AC27" s="1962"/>
      <c r="AD27" s="1962"/>
      <c r="AE27" s="1962"/>
      <c r="AF27" s="1962"/>
      <c r="AG27" s="1962"/>
      <c r="AH27" s="1962"/>
      <c r="AI27" s="1962"/>
      <c r="AJ27" s="1962"/>
      <c r="AK27" s="1962"/>
      <c r="AL27" s="1962"/>
      <c r="AM27" s="1962"/>
      <c r="AN27" s="1962"/>
      <c r="AO27" s="1962"/>
      <c r="AP27" s="1962"/>
      <c r="AQ27" s="1962"/>
      <c r="AR27" s="1962"/>
      <c r="AS27" s="1962"/>
      <c r="AT27" s="1962"/>
      <c r="AU27" s="1962"/>
      <c r="AV27" s="1962"/>
      <c r="AW27" s="1962"/>
      <c r="AX27" s="1962"/>
      <c r="AY27" s="1962"/>
      <c r="AZ27" s="1962"/>
      <c r="BA27" s="1962"/>
      <c r="BB27" s="1962"/>
      <c r="BC27" s="1962"/>
      <c r="BD27" s="1962"/>
      <c r="BE27" s="1962"/>
      <c r="BF27" s="1962"/>
      <c r="BG27" s="1962"/>
      <c r="BH27" s="1962"/>
      <c r="BI27" s="1962"/>
      <c r="BJ27" s="1962"/>
      <c r="BK27" s="1962"/>
      <c r="BL27" s="1962"/>
      <c r="BM27" s="1962"/>
      <c r="BN27" s="1962"/>
      <c r="BO27" s="1962"/>
      <c r="BP27" s="1962"/>
      <c r="BQ27" s="1962"/>
      <c r="BR27" s="1962"/>
      <c r="BS27" s="1962"/>
      <c r="BT27" s="1962"/>
      <c r="BU27" s="1962"/>
      <c r="BV27" s="1963"/>
      <c r="BW27" s="621"/>
      <c r="BX27" s="969" t="s">
        <v>1994</v>
      </c>
      <c r="BY27" s="621"/>
      <c r="BZ27" s="621"/>
      <c r="CA27" s="621"/>
      <c r="CB27" s="621"/>
      <c r="CC27" s="621"/>
      <c r="CD27" s="621"/>
      <c r="CE27" s="621"/>
      <c r="CF27" s="621"/>
      <c r="CG27" s="621"/>
      <c r="CH27" s="621"/>
      <c r="CI27" s="621"/>
    </row>
    <row r="28" spans="1:87" ht="15" customHeight="1" x14ac:dyDescent="0.2">
      <c r="A28" s="1753"/>
      <c r="B28" s="612"/>
      <c r="C28" s="1721"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Libertador Bernardo Ohiggins.</v>
      </c>
      <c r="D28" s="1722"/>
      <c r="E28" s="1722"/>
      <c r="F28" s="1722"/>
      <c r="G28" s="1722"/>
      <c r="H28" s="1722"/>
      <c r="I28" s="1722"/>
      <c r="J28" s="1722"/>
      <c r="K28" s="1722"/>
      <c r="L28" s="1722"/>
      <c r="M28" s="1722"/>
      <c r="N28" s="1722"/>
      <c r="O28" s="1722"/>
      <c r="P28" s="1722"/>
      <c r="Q28" s="1722"/>
      <c r="R28" s="1722"/>
      <c r="S28" s="1722"/>
      <c r="T28" s="1722"/>
      <c r="U28" s="1722"/>
      <c r="V28" s="1722"/>
      <c r="W28" s="1722"/>
      <c r="X28" s="1722"/>
      <c r="Y28" s="1722"/>
      <c r="Z28" s="1722"/>
      <c r="AA28" s="1722"/>
      <c r="AB28" s="1722"/>
      <c r="AC28" s="1722"/>
      <c r="AD28" s="1722"/>
      <c r="AE28" s="1722"/>
      <c r="AF28" s="1722"/>
      <c r="AG28" s="1722"/>
      <c r="AH28" s="1722"/>
      <c r="AI28" s="1722"/>
      <c r="AJ28" s="1722"/>
      <c r="AK28" s="1722"/>
      <c r="AL28" s="1722"/>
      <c r="AM28" s="1722"/>
      <c r="AN28" s="1722"/>
      <c r="AO28" s="1722"/>
      <c r="AP28" s="1722"/>
      <c r="AQ28" s="1722"/>
      <c r="AR28" s="1722"/>
      <c r="AS28" s="1722"/>
      <c r="AT28" s="1722"/>
      <c r="AU28" s="1722"/>
      <c r="AV28" s="1722"/>
      <c r="AW28" s="1722"/>
      <c r="AX28" s="1722"/>
      <c r="AY28" s="1722"/>
      <c r="AZ28" s="1722"/>
      <c r="BA28" s="1722"/>
      <c r="BB28" s="1722"/>
      <c r="BC28" s="1722"/>
      <c r="BD28" s="1722"/>
      <c r="BE28" s="1722"/>
      <c r="BF28" s="1722"/>
      <c r="BG28" s="1722"/>
      <c r="BH28" s="1722"/>
      <c r="BI28" s="1722"/>
      <c r="BJ28" s="1722"/>
      <c r="BK28" s="1722"/>
      <c r="BL28" s="1722"/>
      <c r="BM28" s="1722"/>
      <c r="BN28" s="1722"/>
      <c r="BO28" s="1722"/>
      <c r="BP28" s="1722"/>
      <c r="BQ28" s="1722"/>
      <c r="BR28" s="1722"/>
      <c r="BS28" s="1722"/>
      <c r="BT28" s="1722"/>
      <c r="BU28" s="1722"/>
      <c r="BV28" s="1723"/>
      <c r="BW28" s="622"/>
      <c r="BX28" s="621"/>
      <c r="BY28" s="621"/>
      <c r="BZ28" s="621"/>
      <c r="CA28" s="621"/>
      <c r="CB28" s="621"/>
      <c r="CC28" s="621"/>
      <c r="CD28" s="621"/>
      <c r="CE28" s="621"/>
      <c r="CF28" s="621"/>
      <c r="CG28" s="621"/>
      <c r="CH28" s="621"/>
      <c r="CI28" s="621"/>
    </row>
    <row r="29" spans="1:87" ht="15" customHeight="1" thickBot="1" x14ac:dyDescent="0.25">
      <c r="A29" s="1753"/>
      <c r="C29" s="1724"/>
      <c r="D29" s="1725"/>
      <c r="E29" s="1725"/>
      <c r="F29" s="1725"/>
      <c r="G29" s="1725"/>
      <c r="H29" s="1725"/>
      <c r="I29" s="1725"/>
      <c r="J29" s="1725"/>
      <c r="K29" s="1725"/>
      <c r="L29" s="1725"/>
      <c r="M29" s="1725"/>
      <c r="N29" s="1725"/>
      <c r="O29" s="1725"/>
      <c r="P29" s="1725"/>
      <c r="Q29" s="1725"/>
      <c r="R29" s="1725"/>
      <c r="S29" s="1725"/>
      <c r="T29" s="1725"/>
      <c r="U29" s="1725"/>
      <c r="V29" s="1725"/>
      <c r="W29" s="1725"/>
      <c r="X29" s="1725"/>
      <c r="Y29" s="1725"/>
      <c r="Z29" s="1725"/>
      <c r="AA29" s="1725"/>
      <c r="AB29" s="1725"/>
      <c r="AC29" s="1725"/>
      <c r="AD29" s="1725"/>
      <c r="AE29" s="1725"/>
      <c r="AF29" s="1725"/>
      <c r="AG29" s="1725"/>
      <c r="AH29" s="1725"/>
      <c r="AI29" s="1725"/>
      <c r="AJ29" s="1725"/>
      <c r="AK29" s="1725"/>
      <c r="AL29" s="1725"/>
      <c r="AM29" s="1725"/>
      <c r="AN29" s="1725"/>
      <c r="AO29" s="1725"/>
      <c r="AP29" s="1725"/>
      <c r="AQ29" s="1725"/>
      <c r="AR29" s="1725"/>
      <c r="AS29" s="1725"/>
      <c r="AT29" s="1725"/>
      <c r="AU29" s="1725"/>
      <c r="AV29" s="1725"/>
      <c r="AW29" s="1725"/>
      <c r="AX29" s="1725"/>
      <c r="AY29" s="1725"/>
      <c r="AZ29" s="1725"/>
      <c r="BA29" s="1725"/>
      <c r="BB29" s="1725"/>
      <c r="BC29" s="1725"/>
      <c r="BD29" s="1725"/>
      <c r="BE29" s="1725"/>
      <c r="BF29" s="1725"/>
      <c r="BG29" s="1725"/>
      <c r="BH29" s="1725"/>
      <c r="BI29" s="1725"/>
      <c r="BJ29" s="1725"/>
      <c r="BK29" s="1725"/>
      <c r="BL29" s="1725"/>
      <c r="BM29" s="1725"/>
      <c r="BN29" s="1725"/>
      <c r="BO29" s="1725"/>
      <c r="BP29" s="1725"/>
      <c r="BQ29" s="1725"/>
      <c r="BR29" s="1725"/>
      <c r="BS29" s="1725"/>
      <c r="BT29" s="1725"/>
      <c r="BU29" s="1725"/>
      <c r="BV29" s="1726"/>
      <c r="BW29" s="453"/>
    </row>
    <row r="30" spans="1:87" ht="15" customHeight="1" thickBot="1" x14ac:dyDescent="0.3">
      <c r="A30" s="1752" t="s">
        <v>1196</v>
      </c>
      <c r="C30" s="623" t="str">
        <f>Portada!B28</f>
        <v>REF. OFERTAS</v>
      </c>
      <c r="D30" s="624"/>
      <c r="E30" s="624"/>
      <c r="F30" s="624"/>
      <c r="G30" s="624"/>
      <c r="H30" s="625"/>
      <c r="I30" s="626" t="str">
        <f>Portada!H28</f>
        <v xml:space="preserve">      </v>
      </c>
      <c r="J30" s="1870" t="str">
        <f>Portada!I28</f>
        <v>Dirección referencias</v>
      </c>
      <c r="K30" s="1870"/>
      <c r="L30" s="1870"/>
      <c r="M30" s="1870"/>
      <c r="N30" s="1870"/>
      <c r="O30" s="1870"/>
      <c r="P30" s="1870"/>
      <c r="Q30" s="1870"/>
      <c r="R30" s="1870"/>
      <c r="S30" s="1870"/>
      <c r="T30" s="1870"/>
      <c r="U30" s="1870"/>
      <c r="V30" s="1870"/>
      <c r="W30" s="1870"/>
      <c r="X30" s="1870"/>
      <c r="Y30" s="627" t="str">
        <f>Portada!X28</f>
        <v>Año</v>
      </c>
      <c r="Z30" s="627"/>
      <c r="AA30" s="1870" t="str">
        <f>Portada!AA28</f>
        <v>Teléfono</v>
      </c>
      <c r="AB30" s="1870"/>
      <c r="AC30" s="1870"/>
      <c r="AD30" s="1870"/>
      <c r="AE30" s="446" t="str">
        <f>Portada!AD28</f>
        <v xml:space="preserve">    Total UF</v>
      </c>
      <c r="AF30" s="446"/>
      <c r="AG30" s="446"/>
      <c r="AH30" s="445"/>
      <c r="AI30" s="446" t="str">
        <f>Portada!AH28</f>
        <v xml:space="preserve">  Sup. Terreno.</v>
      </c>
      <c r="AJ30" s="445"/>
      <c r="AK30" s="445"/>
      <c r="AL30" s="445"/>
      <c r="AM30" s="445"/>
      <c r="AN30" s="446" t="str">
        <f>Portada!AM28</f>
        <v>Sup. Constr.</v>
      </c>
      <c r="AO30" s="445"/>
      <c r="AP30" s="445"/>
      <c r="AQ30" s="445"/>
      <c r="AR30" s="445"/>
      <c r="AS30" s="808" t="str">
        <f>Portada!AR28</f>
        <v xml:space="preserve">            OO.CC.</v>
      </c>
      <c r="AT30" s="627"/>
      <c r="AU30" s="627"/>
      <c r="AV30" s="628" t="str">
        <f>Portada!AU28</f>
        <v xml:space="preserve">  UF/m² T.</v>
      </c>
      <c r="AW30" s="627"/>
      <c r="AX30" s="627"/>
      <c r="AY30" s="628" t="str">
        <f>Portada!AX28</f>
        <v xml:space="preserve"> UF/m² C.</v>
      </c>
      <c r="AZ30" s="627"/>
      <c r="BA30" s="627"/>
      <c r="BB30" s="452"/>
      <c r="BC30" s="629" t="str">
        <f>Portada!BB32</f>
        <v>Comentarios Relevantes</v>
      </c>
      <c r="BD30" s="630"/>
      <c r="BE30" s="630"/>
      <c r="BF30" s="630"/>
      <c r="BG30" s="630"/>
      <c r="BH30" s="630"/>
      <c r="BI30" s="630"/>
      <c r="BJ30" s="630"/>
      <c r="BK30" s="630"/>
      <c r="BL30" s="630"/>
      <c r="BM30" s="630"/>
      <c r="BN30" s="630"/>
      <c r="BO30" s="630"/>
      <c r="BP30" s="630"/>
      <c r="BQ30" s="630"/>
      <c r="BR30" s="630"/>
      <c r="BS30" s="630"/>
      <c r="BT30" s="630"/>
      <c r="BU30" s="630"/>
      <c r="BV30" s="631"/>
      <c r="BW30" s="453"/>
    </row>
    <row r="31" spans="1:87" ht="15" customHeight="1" x14ac:dyDescent="0.2">
      <c r="A31" s="1752"/>
      <c r="C31" s="632">
        <f>Portada!B29</f>
        <v>1</v>
      </c>
      <c r="D31" s="1862">
        <f>Portada!C29</f>
        <v>46154</v>
      </c>
      <c r="E31" s="1863"/>
      <c r="F31" s="1864"/>
      <c r="G31" s="1865" t="str">
        <f>Portada!F29</f>
        <v>Ofert.</v>
      </c>
      <c r="H31" s="1866"/>
      <c r="I31" s="1709" t="str">
        <f>Portada!H29&amp;""</f>
        <v>Coronel Souper 4060, Estacion Central</v>
      </c>
      <c r="J31" s="1710"/>
      <c r="K31" s="1710"/>
      <c r="L31" s="1710"/>
      <c r="M31" s="1710"/>
      <c r="N31" s="1710"/>
      <c r="O31" s="1710"/>
      <c r="P31" s="1710"/>
      <c r="Q31" s="1710"/>
      <c r="R31" s="1710"/>
      <c r="S31" s="1710"/>
      <c r="T31" s="1710"/>
      <c r="U31" s="1710"/>
      <c r="V31" s="1710"/>
      <c r="W31" s="1710"/>
      <c r="X31" s="1711"/>
      <c r="Y31" s="1715" t="str">
        <f>Portada!X29&amp;""</f>
        <v>2017</v>
      </c>
      <c r="Z31" s="1717"/>
      <c r="AA31" s="1715" t="str">
        <f>Portada!AA29&amp;""</f>
        <v>56 9 3248 7153</v>
      </c>
      <c r="AB31" s="1716"/>
      <c r="AC31" s="1716"/>
      <c r="AD31" s="1717"/>
      <c r="AE31" s="1539">
        <f>Portada!AD29</f>
        <v>1490</v>
      </c>
      <c r="AF31" s="1540"/>
      <c r="AG31" s="1540"/>
      <c r="AH31" s="1541"/>
      <c r="AI31" s="1706">
        <f>Portada!AH29</f>
        <v>0</v>
      </c>
      <c r="AJ31" s="1707"/>
      <c r="AK31" s="1707"/>
      <c r="AL31" s="1707"/>
      <c r="AM31" s="1708"/>
      <c r="AN31" s="1706">
        <f>Portada!AM29</f>
        <v>45</v>
      </c>
      <c r="AO31" s="1707"/>
      <c r="AP31" s="1707"/>
      <c r="AQ31" s="1707"/>
      <c r="AR31" s="1708"/>
      <c r="AS31" s="1539">
        <f>Portada!AR29</f>
        <v>0</v>
      </c>
      <c r="AT31" s="1540"/>
      <c r="AU31" s="1541"/>
      <c r="AV31" s="1706">
        <f>Portada!AU29</f>
        <v>0</v>
      </c>
      <c r="AW31" s="1707"/>
      <c r="AX31" s="1708"/>
      <c r="AY31" s="1667">
        <f>Portada!AX29</f>
        <v>33.111111111111114</v>
      </c>
      <c r="AZ31" s="1668"/>
      <c r="BA31" s="1669"/>
      <c r="BC31" s="1658" t="str">
        <f>Portada!BB33</f>
        <v/>
      </c>
      <c r="BD31" s="1659"/>
      <c r="BE31" s="1659"/>
      <c r="BF31" s="1659"/>
      <c r="BG31" s="1659"/>
      <c r="BH31" s="1659"/>
      <c r="BI31" s="1659"/>
      <c r="BJ31" s="1659"/>
      <c r="BK31" s="1659"/>
      <c r="BL31" s="1659"/>
      <c r="BM31" s="1659"/>
      <c r="BN31" s="1659"/>
      <c r="BO31" s="1659"/>
      <c r="BP31" s="1659"/>
      <c r="BQ31" s="1659"/>
      <c r="BR31" s="1659"/>
      <c r="BS31" s="1659"/>
      <c r="BT31" s="1659"/>
      <c r="BU31" s="1659"/>
      <c r="BV31" s="1660"/>
      <c r="BW31" s="453"/>
    </row>
    <row r="32" spans="1:87" ht="15" customHeight="1" x14ac:dyDescent="0.2">
      <c r="A32" s="1752"/>
      <c r="C32" s="632">
        <f>Portada!B30</f>
        <v>2</v>
      </c>
      <c r="D32" s="1862">
        <f>Portada!C30</f>
        <v>46154</v>
      </c>
      <c r="E32" s="1863"/>
      <c r="F32" s="1864"/>
      <c r="G32" s="1865" t="str">
        <f>Portada!F30</f>
        <v>Ofert.</v>
      </c>
      <c r="H32" s="1866"/>
      <c r="I32" s="1709" t="str">
        <f>Portada!H30&amp;""</f>
        <v>Cnel. Souper 3900 - 4200, Estación Central</v>
      </c>
      <c r="J32" s="1710"/>
      <c r="K32" s="1710"/>
      <c r="L32" s="1710"/>
      <c r="M32" s="1710"/>
      <c r="N32" s="1710"/>
      <c r="O32" s="1710"/>
      <c r="P32" s="1710"/>
      <c r="Q32" s="1710"/>
      <c r="R32" s="1710"/>
      <c r="S32" s="1710"/>
      <c r="T32" s="1710"/>
      <c r="U32" s="1710"/>
      <c r="V32" s="1710"/>
      <c r="W32" s="1710"/>
      <c r="X32" s="1711"/>
      <c r="Y32" s="633" t="str">
        <f>Portada!X30&amp;""</f>
        <v>2017</v>
      </c>
      <c r="Z32" s="634"/>
      <c r="AA32" s="1715" t="str">
        <f>Portada!AA30&amp;""</f>
        <v>56 9 3399 5948</v>
      </c>
      <c r="AB32" s="1716"/>
      <c r="AC32" s="1716"/>
      <c r="AD32" s="1717"/>
      <c r="AE32" s="1539">
        <f>Portada!AD30</f>
        <v>1300</v>
      </c>
      <c r="AF32" s="1540"/>
      <c r="AG32" s="1540"/>
      <c r="AH32" s="1541"/>
      <c r="AI32" s="1706">
        <f>Portada!AH30</f>
        <v>0</v>
      </c>
      <c r="AJ32" s="1707"/>
      <c r="AK32" s="1707"/>
      <c r="AL32" s="1707"/>
      <c r="AM32" s="1708"/>
      <c r="AN32" s="1706">
        <f>Portada!AM30</f>
        <v>41</v>
      </c>
      <c r="AO32" s="1707"/>
      <c r="AP32" s="1707"/>
      <c r="AQ32" s="1707"/>
      <c r="AR32" s="1708"/>
      <c r="AS32" s="1539">
        <f>Portada!AR30</f>
        <v>0</v>
      </c>
      <c r="AT32" s="1540"/>
      <c r="AU32" s="1541"/>
      <c r="AV32" s="1706">
        <f>Portada!AU30</f>
        <v>0</v>
      </c>
      <c r="AW32" s="1707"/>
      <c r="AX32" s="1708"/>
      <c r="AY32" s="1667">
        <f>Portada!AX30</f>
        <v>31.707317073170731</v>
      </c>
      <c r="AZ32" s="1668"/>
      <c r="BA32" s="1669"/>
      <c r="BC32" s="1661"/>
      <c r="BD32" s="1662"/>
      <c r="BE32" s="1662"/>
      <c r="BF32" s="1662"/>
      <c r="BG32" s="1662"/>
      <c r="BH32" s="1662"/>
      <c r="BI32" s="1662"/>
      <c r="BJ32" s="1662"/>
      <c r="BK32" s="1662"/>
      <c r="BL32" s="1662"/>
      <c r="BM32" s="1662"/>
      <c r="BN32" s="1662"/>
      <c r="BO32" s="1662"/>
      <c r="BP32" s="1662"/>
      <c r="BQ32" s="1662"/>
      <c r="BR32" s="1662"/>
      <c r="BS32" s="1662"/>
      <c r="BT32" s="1662"/>
      <c r="BU32" s="1662"/>
      <c r="BV32" s="1663"/>
      <c r="BW32" s="453"/>
    </row>
    <row r="33" spans="1:75" ht="15" customHeight="1" x14ac:dyDescent="0.2">
      <c r="A33" s="1752"/>
      <c r="C33" s="632">
        <f>Portada!B31</f>
        <v>3</v>
      </c>
      <c r="D33" s="1862">
        <f>Portada!C31</f>
        <v>46154</v>
      </c>
      <c r="E33" s="1863"/>
      <c r="F33" s="1864"/>
      <c r="G33" s="1865" t="str">
        <f>Portada!F31</f>
        <v>Ofert.</v>
      </c>
      <c r="H33" s="1866"/>
      <c r="I33" s="1709" t="str">
        <f>Portada!H31&amp;""</f>
        <v>Coronel Souper 4060, Estacion Central</v>
      </c>
      <c r="J33" s="1710"/>
      <c r="K33" s="1710"/>
      <c r="L33" s="1710"/>
      <c r="M33" s="1710"/>
      <c r="N33" s="1710"/>
      <c r="O33" s="1710"/>
      <c r="P33" s="1710"/>
      <c r="Q33" s="1710"/>
      <c r="R33" s="1710"/>
      <c r="S33" s="1710"/>
      <c r="T33" s="1710"/>
      <c r="U33" s="1710"/>
      <c r="V33" s="1710"/>
      <c r="W33" s="1710"/>
      <c r="X33" s="1711"/>
      <c r="Y33" s="633" t="str">
        <f>Portada!X31&amp;""</f>
        <v>2017</v>
      </c>
      <c r="Z33" s="634"/>
      <c r="AA33" s="1715" t="str">
        <f>Portada!AA31&amp;""</f>
        <v>56 9 9205 0952</v>
      </c>
      <c r="AB33" s="1716"/>
      <c r="AC33" s="1716"/>
      <c r="AD33" s="1717"/>
      <c r="AE33" s="1539">
        <f>Portada!AD31</f>
        <v>1675</v>
      </c>
      <c r="AF33" s="1540"/>
      <c r="AG33" s="1540"/>
      <c r="AH33" s="1541"/>
      <c r="AI33" s="1706">
        <f>Portada!AH31</f>
        <v>0</v>
      </c>
      <c r="AJ33" s="1707"/>
      <c r="AK33" s="1707"/>
      <c r="AL33" s="1707"/>
      <c r="AM33" s="1708"/>
      <c r="AN33" s="1706">
        <f>Portada!AM31</f>
        <v>42</v>
      </c>
      <c r="AO33" s="1707"/>
      <c r="AP33" s="1707"/>
      <c r="AQ33" s="1707"/>
      <c r="AR33" s="1708"/>
      <c r="AS33" s="1539">
        <f>Portada!AR31</f>
        <v>0</v>
      </c>
      <c r="AT33" s="1540"/>
      <c r="AU33" s="1541"/>
      <c r="AV33" s="1706">
        <f>Portada!AU31</f>
        <v>0</v>
      </c>
      <c r="AW33" s="1707"/>
      <c r="AX33" s="1708"/>
      <c r="AY33" s="1667">
        <f>Portada!AX31</f>
        <v>39.88095238095238</v>
      </c>
      <c r="AZ33" s="1668"/>
      <c r="BA33" s="1669"/>
      <c r="BC33" s="1661"/>
      <c r="BD33" s="1662"/>
      <c r="BE33" s="1662"/>
      <c r="BF33" s="1662"/>
      <c r="BG33" s="1662"/>
      <c r="BH33" s="1662"/>
      <c r="BI33" s="1662"/>
      <c r="BJ33" s="1662"/>
      <c r="BK33" s="1662"/>
      <c r="BL33" s="1662"/>
      <c r="BM33" s="1662"/>
      <c r="BN33" s="1662"/>
      <c r="BO33" s="1662"/>
      <c r="BP33" s="1662"/>
      <c r="BQ33" s="1662"/>
      <c r="BR33" s="1662"/>
      <c r="BS33" s="1662"/>
      <c r="BT33" s="1662"/>
      <c r="BU33" s="1662"/>
      <c r="BV33" s="1663"/>
      <c r="BW33" s="453"/>
    </row>
    <row r="34" spans="1:75" ht="15" customHeight="1" x14ac:dyDescent="0.2">
      <c r="A34" s="1752"/>
      <c r="C34" s="632">
        <f>Portada!B32</f>
        <v>4</v>
      </c>
      <c r="D34" s="1862">
        <f>Portada!C32</f>
        <v>46154</v>
      </c>
      <c r="E34" s="1863"/>
      <c r="F34" s="1864"/>
      <c r="G34" s="1865" t="str">
        <f>Portada!F32</f>
        <v>Ofert.</v>
      </c>
      <c r="H34" s="1866"/>
      <c r="I34" s="1709" t="str">
        <f>Portada!H32&amp;""</f>
        <v>Coronel Souper 4060, Estacion Central</v>
      </c>
      <c r="J34" s="1710"/>
      <c r="K34" s="1710"/>
      <c r="L34" s="1710"/>
      <c r="M34" s="1710"/>
      <c r="N34" s="1710"/>
      <c r="O34" s="1710"/>
      <c r="P34" s="1710"/>
      <c r="Q34" s="1710"/>
      <c r="R34" s="1710"/>
      <c r="S34" s="1710"/>
      <c r="T34" s="1710"/>
      <c r="U34" s="1710"/>
      <c r="V34" s="1710"/>
      <c r="W34" s="1710"/>
      <c r="X34" s="1711"/>
      <c r="Y34" s="633" t="str">
        <f>Portada!X32&amp;""</f>
        <v>2017</v>
      </c>
      <c r="Z34" s="634"/>
      <c r="AA34" s="1715" t="str">
        <f>Portada!AA32&amp;""</f>
        <v>56 9 4145 5465</v>
      </c>
      <c r="AB34" s="1716"/>
      <c r="AC34" s="1716"/>
      <c r="AD34" s="1717"/>
      <c r="AE34" s="1539">
        <f>Portada!AD32</f>
        <v>1600</v>
      </c>
      <c r="AF34" s="1540"/>
      <c r="AG34" s="1540"/>
      <c r="AH34" s="1541"/>
      <c r="AI34" s="1706">
        <f>Portada!AH32</f>
        <v>0</v>
      </c>
      <c r="AJ34" s="1707"/>
      <c r="AK34" s="1707"/>
      <c r="AL34" s="1707"/>
      <c r="AM34" s="1708"/>
      <c r="AN34" s="1706">
        <f>Portada!AM32</f>
        <v>45</v>
      </c>
      <c r="AO34" s="1707"/>
      <c r="AP34" s="1707"/>
      <c r="AQ34" s="1707"/>
      <c r="AR34" s="1708"/>
      <c r="AS34" s="1539">
        <f>Portada!AR32</f>
        <v>350</v>
      </c>
      <c r="AT34" s="1540"/>
      <c r="AU34" s="1541"/>
      <c r="AV34" s="1706">
        <f>Portada!AU32</f>
        <v>0</v>
      </c>
      <c r="AW34" s="1707"/>
      <c r="AX34" s="1708"/>
      <c r="AY34" s="1667">
        <f>Portada!AX32</f>
        <v>27.777777777777779</v>
      </c>
      <c r="AZ34" s="1668"/>
      <c r="BA34" s="1669"/>
      <c r="BC34" s="1661"/>
      <c r="BD34" s="1662"/>
      <c r="BE34" s="1662"/>
      <c r="BF34" s="1662"/>
      <c r="BG34" s="1662"/>
      <c r="BH34" s="1662"/>
      <c r="BI34" s="1662"/>
      <c r="BJ34" s="1662"/>
      <c r="BK34" s="1662"/>
      <c r="BL34" s="1662"/>
      <c r="BM34" s="1662"/>
      <c r="BN34" s="1662"/>
      <c r="BO34" s="1662"/>
      <c r="BP34" s="1662"/>
      <c r="BQ34" s="1662"/>
      <c r="BR34" s="1662"/>
      <c r="BS34" s="1662"/>
      <c r="BT34" s="1662"/>
      <c r="BU34" s="1662"/>
      <c r="BV34" s="1663"/>
      <c r="BW34" s="453"/>
    </row>
    <row r="35" spans="1:75" ht="15" customHeight="1" x14ac:dyDescent="0.2">
      <c r="A35" s="1752"/>
      <c r="C35" s="632">
        <f>Portada!B33</f>
        <v>5</v>
      </c>
      <c r="D35" s="1862">
        <f>Portada!C33</f>
        <v>46154</v>
      </c>
      <c r="E35" s="1863"/>
      <c r="F35" s="1864"/>
      <c r="G35" s="1865" t="str">
        <f>Portada!F33</f>
        <v>Ofert.</v>
      </c>
      <c r="H35" s="1866"/>
      <c r="I35" s="1709" t="str">
        <f>Portada!H33&amp;""</f>
        <v>Coronel Souper 4060, Estacion Central</v>
      </c>
      <c r="J35" s="1710"/>
      <c r="K35" s="1710"/>
      <c r="L35" s="1710"/>
      <c r="M35" s="1710"/>
      <c r="N35" s="1710"/>
      <c r="O35" s="1710"/>
      <c r="P35" s="1710"/>
      <c r="Q35" s="1710"/>
      <c r="R35" s="1710"/>
      <c r="S35" s="1710"/>
      <c r="T35" s="1710"/>
      <c r="U35" s="1710"/>
      <c r="V35" s="1710"/>
      <c r="W35" s="1710"/>
      <c r="X35" s="1711"/>
      <c r="Y35" s="633" t="str">
        <f>Portada!X33&amp;""</f>
        <v>2017</v>
      </c>
      <c r="Z35" s="634"/>
      <c r="AA35" s="1715" t="str">
        <f>Portada!AA33&amp;""</f>
        <v>56 9 7561 6017</v>
      </c>
      <c r="AB35" s="1716"/>
      <c r="AC35" s="1716"/>
      <c r="AD35" s="1717"/>
      <c r="AE35" s="1539">
        <f>Portada!AD33</f>
        <v>1900</v>
      </c>
      <c r="AF35" s="1540"/>
      <c r="AG35" s="1540"/>
      <c r="AH35" s="1541"/>
      <c r="AI35" s="1706">
        <f>Portada!AH33</f>
        <v>0</v>
      </c>
      <c r="AJ35" s="1707"/>
      <c r="AK35" s="1707"/>
      <c r="AL35" s="1707"/>
      <c r="AM35" s="1708"/>
      <c r="AN35" s="1706">
        <f>Portada!AM33</f>
        <v>41</v>
      </c>
      <c r="AO35" s="1707"/>
      <c r="AP35" s="1707"/>
      <c r="AQ35" s="1707"/>
      <c r="AR35" s="1708"/>
      <c r="AS35" s="1539">
        <f>Portada!AR33</f>
        <v>0</v>
      </c>
      <c r="AT35" s="1540"/>
      <c r="AU35" s="1541"/>
      <c r="AV35" s="1706">
        <f>Portada!AU33</f>
        <v>0</v>
      </c>
      <c r="AW35" s="1707"/>
      <c r="AX35" s="1708"/>
      <c r="AY35" s="1667">
        <f>Portada!AX33</f>
        <v>46.341463414634148</v>
      </c>
      <c r="AZ35" s="1668"/>
      <c r="BA35" s="1669"/>
      <c r="BC35" s="1661"/>
      <c r="BD35" s="1662"/>
      <c r="BE35" s="1662"/>
      <c r="BF35" s="1662"/>
      <c r="BG35" s="1662"/>
      <c r="BH35" s="1662"/>
      <c r="BI35" s="1662"/>
      <c r="BJ35" s="1662"/>
      <c r="BK35" s="1662"/>
      <c r="BL35" s="1662"/>
      <c r="BM35" s="1662"/>
      <c r="BN35" s="1662"/>
      <c r="BO35" s="1662"/>
      <c r="BP35" s="1662"/>
      <c r="BQ35" s="1662"/>
      <c r="BR35" s="1662"/>
      <c r="BS35" s="1662"/>
      <c r="BT35" s="1662"/>
      <c r="BU35" s="1662"/>
      <c r="BV35" s="1663"/>
      <c r="BW35" s="453"/>
    </row>
    <row r="36" spans="1:75" ht="15" customHeight="1" x14ac:dyDescent="0.25">
      <c r="A36" s="1752"/>
      <c r="C36" s="1816" t="str">
        <f>Portada!B34</f>
        <v>PROMEDIO DE LA MUESTRA</v>
      </c>
      <c r="D36" s="1817"/>
      <c r="E36" s="1817"/>
      <c r="F36" s="1817"/>
      <c r="G36" s="1817"/>
      <c r="H36" s="1817"/>
      <c r="I36" s="1817"/>
      <c r="J36" s="1817"/>
      <c r="K36" s="1817"/>
      <c r="L36" s="1817"/>
      <c r="M36" s="1817"/>
      <c r="N36" s="1817"/>
      <c r="O36" s="1817"/>
      <c r="P36" s="1817"/>
      <c r="Q36" s="1817"/>
      <c r="R36" s="1817"/>
      <c r="S36" s="1817"/>
      <c r="T36" s="1817"/>
      <c r="U36" s="1817"/>
      <c r="V36" s="1817"/>
      <c r="W36" s="1817"/>
      <c r="X36" s="1817"/>
      <c r="Y36" s="1817"/>
      <c r="Z36" s="1817"/>
      <c r="AA36" s="1817"/>
      <c r="AB36" s="1817"/>
      <c r="AC36" s="1817"/>
      <c r="AD36" s="1818"/>
      <c r="AE36" s="1670">
        <f>Portada!AD34</f>
        <v>1593</v>
      </c>
      <c r="AF36" s="1671"/>
      <c r="AG36" s="1671"/>
      <c r="AH36" s="1672"/>
      <c r="AI36" s="1670">
        <f>Portada!AH34</f>
        <v>0</v>
      </c>
      <c r="AJ36" s="1671"/>
      <c r="AK36" s="1671"/>
      <c r="AL36" s="1671"/>
      <c r="AM36" s="1672"/>
      <c r="AN36" s="1670">
        <f>Portada!AM34</f>
        <v>42.8</v>
      </c>
      <c r="AO36" s="1671"/>
      <c r="AP36" s="1671"/>
      <c r="AQ36" s="1671"/>
      <c r="AR36" s="1672"/>
      <c r="AS36" s="1670">
        <f>Portada!AR34</f>
        <v>350</v>
      </c>
      <c r="AT36" s="1671"/>
      <c r="AU36" s="1672"/>
      <c r="AV36" s="1712">
        <f>Portada!AU34</f>
        <v>0</v>
      </c>
      <c r="AW36" s="1713"/>
      <c r="AX36" s="1714"/>
      <c r="AY36" s="1727">
        <f>Portada!AX34</f>
        <v>35.763724351529234</v>
      </c>
      <c r="AZ36" s="1728"/>
      <c r="BA36" s="1729"/>
      <c r="BC36" s="1661"/>
      <c r="BD36" s="1662"/>
      <c r="BE36" s="1662"/>
      <c r="BF36" s="1662"/>
      <c r="BG36" s="1662"/>
      <c r="BH36" s="1662"/>
      <c r="BI36" s="1662"/>
      <c r="BJ36" s="1662"/>
      <c r="BK36" s="1662"/>
      <c r="BL36" s="1662"/>
      <c r="BM36" s="1662"/>
      <c r="BN36" s="1662"/>
      <c r="BO36" s="1662"/>
      <c r="BP36" s="1662"/>
      <c r="BQ36" s="1662"/>
      <c r="BR36" s="1662"/>
      <c r="BS36" s="1662"/>
      <c r="BT36" s="1662"/>
      <c r="BU36" s="1662"/>
      <c r="BV36" s="1663"/>
      <c r="BW36" s="453"/>
    </row>
    <row r="37" spans="1:75" ht="15" customHeight="1" thickBot="1" x14ac:dyDescent="0.3">
      <c r="A37" s="1752"/>
      <c r="C37" s="1816" t="str">
        <f>Portada!B35</f>
        <v>TASACION</v>
      </c>
      <c r="D37" s="1817"/>
      <c r="E37" s="1817"/>
      <c r="F37" s="1817"/>
      <c r="G37" s="1817"/>
      <c r="H37" s="1817"/>
      <c r="I37" s="1817"/>
      <c r="J37" s="1817"/>
      <c r="K37" s="1817"/>
      <c r="L37" s="1817"/>
      <c r="M37" s="1817"/>
      <c r="N37" s="1817"/>
      <c r="O37" s="1817"/>
      <c r="P37" s="1817"/>
      <c r="Q37" s="1817"/>
      <c r="R37" s="1817"/>
      <c r="S37" s="1817"/>
      <c r="T37" s="1817"/>
      <c r="U37" s="1817"/>
      <c r="V37" s="1817"/>
      <c r="W37" s="1817"/>
      <c r="X37" s="1817"/>
      <c r="Y37" s="1817"/>
      <c r="Z37" s="1817"/>
      <c r="AA37" s="1817"/>
      <c r="AB37" s="1817"/>
      <c r="AC37" s="1817"/>
      <c r="AD37" s="1818"/>
      <c r="AE37" s="1670">
        <f>Portada!AD35</f>
        <v>1394</v>
      </c>
      <c r="AF37" s="1671"/>
      <c r="AG37" s="1671"/>
      <c r="AH37" s="1672"/>
      <c r="AI37" s="1670">
        <f>Portada!AH35</f>
        <v>0</v>
      </c>
      <c r="AJ37" s="1671"/>
      <c r="AK37" s="1671"/>
      <c r="AL37" s="1671"/>
      <c r="AM37" s="1672"/>
      <c r="AN37" s="1670">
        <f>Portada!AM35</f>
        <v>41</v>
      </c>
      <c r="AO37" s="1671"/>
      <c r="AP37" s="1671"/>
      <c r="AQ37" s="1671"/>
      <c r="AR37" s="1672"/>
      <c r="AS37" s="1670" t="str">
        <f>Portada!AR35</f>
        <v>0,00</v>
      </c>
      <c r="AT37" s="1671"/>
      <c r="AU37" s="1672"/>
      <c r="AV37" s="1712">
        <f>Portada!AU35</f>
        <v>0</v>
      </c>
      <c r="AW37" s="1713"/>
      <c r="AX37" s="1714"/>
      <c r="AY37" s="1727">
        <f>Portada!AX35</f>
        <v>34</v>
      </c>
      <c r="AZ37" s="1728"/>
      <c r="BA37" s="1729"/>
      <c r="BC37" s="1664"/>
      <c r="BD37" s="1665"/>
      <c r="BE37" s="1665"/>
      <c r="BF37" s="1665"/>
      <c r="BG37" s="1665"/>
      <c r="BH37" s="1665"/>
      <c r="BI37" s="1665"/>
      <c r="BJ37" s="1665"/>
      <c r="BK37" s="1665"/>
      <c r="BL37" s="1665"/>
      <c r="BM37" s="1665"/>
      <c r="BN37" s="1665"/>
      <c r="BO37" s="1665"/>
      <c r="BP37" s="1665"/>
      <c r="BQ37" s="1665"/>
      <c r="BR37" s="1665"/>
      <c r="BS37" s="1665"/>
      <c r="BT37" s="1665"/>
      <c r="BU37" s="1665"/>
      <c r="BV37" s="1666"/>
      <c r="BW37" s="453"/>
    </row>
    <row r="38" spans="1:75" ht="15" customHeight="1" x14ac:dyDescent="0.25">
      <c r="A38" s="1752"/>
      <c r="C38" s="1816" t="str">
        <f>Portada!B36</f>
        <v>TASACION V/S PROMEDIO DE LA MUESTRA</v>
      </c>
      <c r="D38" s="1817"/>
      <c r="E38" s="1817"/>
      <c r="F38" s="1817"/>
      <c r="G38" s="1817"/>
      <c r="H38" s="1817"/>
      <c r="I38" s="1817"/>
      <c r="J38" s="1817"/>
      <c r="K38" s="1817"/>
      <c r="L38" s="1817"/>
      <c r="M38" s="1817"/>
      <c r="N38" s="1817"/>
      <c r="O38" s="1817"/>
      <c r="P38" s="1817"/>
      <c r="Q38" s="1817"/>
      <c r="R38" s="1817"/>
      <c r="S38" s="1817"/>
      <c r="T38" s="1817"/>
      <c r="U38" s="1817"/>
      <c r="V38" s="1817"/>
      <c r="W38" s="1817"/>
      <c r="X38" s="1817"/>
      <c r="Y38" s="1817"/>
      <c r="Z38" s="1817"/>
      <c r="AA38" s="1817"/>
      <c r="AB38" s="1817"/>
      <c r="AC38" s="1817"/>
      <c r="AD38" s="1818"/>
      <c r="AE38" s="1859">
        <f>Portada!AD36</f>
        <v>0</v>
      </c>
      <c r="AF38" s="1860"/>
      <c r="AG38" s="1860"/>
      <c r="AH38" s="1861"/>
      <c r="AI38" s="1859">
        <f>Portada!AH36</f>
        <v>0</v>
      </c>
      <c r="AJ38" s="1860"/>
      <c r="AK38" s="1860"/>
      <c r="AL38" s="1860"/>
      <c r="AM38" s="1861"/>
      <c r="AN38" s="1859">
        <f>Portada!AM36</f>
        <v>0</v>
      </c>
      <c r="AO38" s="1860"/>
      <c r="AP38" s="1860"/>
      <c r="AQ38" s="1860"/>
      <c r="AR38" s="1861"/>
      <c r="AS38" s="1670"/>
      <c r="AT38" s="1671"/>
      <c r="AU38" s="1672"/>
      <c r="AV38" s="1856">
        <f>Portada!AU36</f>
        <v>0</v>
      </c>
      <c r="AW38" s="1857"/>
      <c r="AX38" s="1858"/>
      <c r="AY38" s="1856">
        <f>Portada!AX36</f>
        <v>-4.9316014579276257E-2</v>
      </c>
      <c r="AZ38" s="1857"/>
      <c r="BA38" s="1858"/>
      <c r="BC38" s="812" t="str">
        <f>Portada!BB36</f>
        <v>ANALISIS DE RENTABILIDAD</v>
      </c>
      <c r="BD38" s="813"/>
      <c r="BE38" s="813"/>
      <c r="BF38" s="813"/>
      <c r="BG38" s="813"/>
      <c r="BH38" s="813"/>
      <c r="BI38" s="813"/>
      <c r="BJ38" s="813"/>
      <c r="BK38" s="813"/>
      <c r="BL38" s="813"/>
      <c r="BM38" s="813"/>
      <c r="BN38" s="813"/>
      <c r="BO38" s="813"/>
      <c r="BP38" s="813"/>
      <c r="BQ38" s="813"/>
      <c r="BR38" s="813"/>
      <c r="BS38" s="813"/>
      <c r="BT38" s="813"/>
      <c r="BU38" s="813"/>
      <c r="BV38" s="814"/>
      <c r="BW38" s="453"/>
    </row>
    <row r="39" spans="1:75" ht="15" customHeight="1" x14ac:dyDescent="0.25">
      <c r="A39" s="1752"/>
      <c r="C39" s="635" t="str">
        <f>Portada!B37</f>
        <v>REF. C.B.R.</v>
      </c>
      <c r="D39" s="636"/>
      <c r="E39" s="636"/>
      <c r="F39" s="636"/>
      <c r="G39" s="636"/>
      <c r="H39" s="804"/>
      <c r="I39" s="637"/>
      <c r="J39" s="1867" t="str">
        <f>Portada!I37</f>
        <v>Dirección referencias</v>
      </c>
      <c r="K39" s="1867"/>
      <c r="L39" s="1867"/>
      <c r="M39" s="1867"/>
      <c r="N39" s="1867"/>
      <c r="O39" s="1867"/>
      <c r="P39" s="1867"/>
      <c r="Q39" s="1867"/>
      <c r="R39" s="1867"/>
      <c r="S39" s="1867"/>
      <c r="T39" s="1867"/>
      <c r="U39" s="1867"/>
      <c r="V39" s="1867"/>
      <c r="W39" s="1867"/>
      <c r="X39" s="1867"/>
      <c r="Y39" s="638" t="str">
        <f>Portada!X37</f>
        <v>Año</v>
      </c>
      <c r="Z39" s="638"/>
      <c r="AA39" s="1867" t="str">
        <f>Portada!AA37</f>
        <v>Foja y Número</v>
      </c>
      <c r="AB39" s="1867"/>
      <c r="AC39" s="1867"/>
      <c r="AD39" s="1867"/>
      <c r="AE39" s="639" t="str">
        <f>Portada!AD37</f>
        <v xml:space="preserve">    Total UF</v>
      </c>
      <c r="AF39" s="639"/>
      <c r="AG39" s="639"/>
      <c r="AH39" s="448"/>
      <c r="AI39" s="639" t="str">
        <f>Portada!AH37</f>
        <v xml:space="preserve">  Sup. Terreno.</v>
      </c>
      <c r="AJ39" s="448"/>
      <c r="AK39" s="448"/>
      <c r="AL39" s="448"/>
      <c r="AM39" s="448"/>
      <c r="AN39" s="639" t="str">
        <f>Portada!AM37</f>
        <v>Sup. Constr.</v>
      </c>
      <c r="AO39" s="448"/>
      <c r="AP39" s="448"/>
      <c r="AQ39" s="448"/>
      <c r="AR39" s="448"/>
      <c r="AS39" s="640" t="str">
        <f>Portada!AR37</f>
        <v xml:space="preserve">            OO.CC.</v>
      </c>
      <c r="AT39" s="641"/>
      <c r="AU39" s="641"/>
      <c r="AV39" s="642" t="str">
        <f>Portada!AU37</f>
        <v xml:space="preserve">  UF/m² T.</v>
      </c>
      <c r="AW39" s="641"/>
      <c r="AX39" s="641"/>
      <c r="AY39" s="642" t="str">
        <f>Portada!AX37</f>
        <v xml:space="preserve"> UF/m² C.</v>
      </c>
      <c r="AZ39" s="641"/>
      <c r="BA39" s="641"/>
      <c r="BC39" s="830" t="str">
        <f>Portada!BB37</f>
        <v>Vida Util Remanente Años</v>
      </c>
      <c r="BD39" s="831"/>
      <c r="BE39" s="673"/>
      <c r="BF39" s="831"/>
      <c r="BG39" s="831"/>
      <c r="BH39" s="832"/>
      <c r="BI39" s="661"/>
      <c r="BJ39" s="833"/>
      <c r="BK39" s="1686">
        <f>Portada!BJ37</f>
        <v>40</v>
      </c>
      <c r="BL39" s="1687"/>
      <c r="BM39" s="1687"/>
      <c r="BN39" s="1687"/>
      <c r="BO39" s="1687"/>
      <c r="BP39" s="1687"/>
      <c r="BQ39" s="1687"/>
      <c r="BR39" s="1687"/>
      <c r="BS39" s="1687"/>
      <c r="BT39" s="1687"/>
      <c r="BU39" s="1687"/>
      <c r="BV39" s="1688"/>
      <c r="BW39" s="453"/>
    </row>
    <row r="40" spans="1:75" ht="15" customHeight="1" x14ac:dyDescent="0.2">
      <c r="A40" s="1752"/>
      <c r="C40" s="643">
        <f>Portada!B38</f>
        <v>6</v>
      </c>
      <c r="D40" s="1862">
        <f>Portada!C38</f>
        <v>45383</v>
      </c>
      <c r="E40" s="1863"/>
      <c r="F40" s="1864"/>
      <c r="G40" s="1865" t="str">
        <f>Portada!F38</f>
        <v>CBR.</v>
      </c>
      <c r="H40" s="1866"/>
      <c r="I40" s="1709" t="str">
        <f>Portada!H38&amp;""</f>
        <v>Coronel Souper N° 4060 dp 1603 B</v>
      </c>
      <c r="J40" s="1710"/>
      <c r="K40" s="1710"/>
      <c r="L40" s="1710"/>
      <c r="M40" s="1710"/>
      <c r="N40" s="1710"/>
      <c r="O40" s="1710"/>
      <c r="P40" s="1710"/>
      <c r="Q40" s="1710"/>
      <c r="R40" s="1710"/>
      <c r="S40" s="1710"/>
      <c r="T40" s="1710"/>
      <c r="U40" s="1710"/>
      <c r="V40" s="1710"/>
      <c r="W40" s="1710"/>
      <c r="X40" s="1711"/>
      <c r="Y40" s="633" t="str">
        <f>Portada!X38&amp;""</f>
        <v>2017</v>
      </c>
      <c r="Z40" s="634"/>
      <c r="AA40" s="1881" t="str">
        <f>Portada!AA38</f>
        <v xml:space="preserve">33924 47556 </v>
      </c>
      <c r="AB40" s="1882"/>
      <c r="AC40" s="1882"/>
      <c r="AD40" s="1883"/>
      <c r="AE40" s="1847">
        <f>Portada!AD38</f>
        <v>1640</v>
      </c>
      <c r="AF40" s="1848"/>
      <c r="AG40" s="1848"/>
      <c r="AH40" s="1849"/>
      <c r="AI40" s="1844">
        <f>Portada!AH38</f>
        <v>0</v>
      </c>
      <c r="AJ40" s="1845"/>
      <c r="AK40" s="1845"/>
      <c r="AL40" s="1845"/>
      <c r="AM40" s="1846"/>
      <c r="AN40" s="1844">
        <f>Portada!AM38</f>
        <v>40</v>
      </c>
      <c r="AO40" s="1845"/>
      <c r="AP40" s="1845"/>
      <c r="AQ40" s="1845"/>
      <c r="AR40" s="1846"/>
      <c r="AS40" s="1847">
        <f>Portada!AR38</f>
        <v>70</v>
      </c>
      <c r="AT40" s="1848"/>
      <c r="AU40" s="1849"/>
      <c r="AV40" s="1841">
        <f>Portada!AU38</f>
        <v>0</v>
      </c>
      <c r="AW40" s="1842"/>
      <c r="AX40" s="1843"/>
      <c r="AY40" s="1676">
        <f>Portada!AX38</f>
        <v>39.25</v>
      </c>
      <c r="AZ40" s="1677"/>
      <c r="BA40" s="1678"/>
      <c r="BC40" s="830" t="str">
        <f>Portada!BB38</f>
        <v>Arriendo Bruto $ / mes</v>
      </c>
      <c r="BD40" s="831"/>
      <c r="BE40" s="673"/>
      <c r="BF40" s="831"/>
      <c r="BG40" s="831"/>
      <c r="BH40" s="661"/>
      <c r="BI40" s="661"/>
      <c r="BJ40" s="833"/>
      <c r="BK40" s="1948">
        <f>Portada!BJ38</f>
        <v>320000</v>
      </c>
      <c r="BL40" s="1949"/>
      <c r="BM40" s="1949"/>
      <c r="BN40" s="1949"/>
      <c r="BO40" s="1949"/>
      <c r="BP40" s="1949"/>
      <c r="BQ40" s="1949"/>
      <c r="BR40" s="1949"/>
      <c r="BS40" s="1949"/>
      <c r="BT40" s="1949"/>
      <c r="BU40" s="1949"/>
      <c r="BV40" s="1950"/>
      <c r="BW40" s="453"/>
    </row>
    <row r="41" spans="1:75" ht="15" customHeight="1" x14ac:dyDescent="0.2">
      <c r="A41" s="1752"/>
      <c r="C41" s="643">
        <f>Portada!B39</f>
        <v>7</v>
      </c>
      <c r="D41" s="1862">
        <f>Portada!C39</f>
        <v>45292</v>
      </c>
      <c r="E41" s="1863"/>
      <c r="F41" s="1864"/>
      <c r="G41" s="1865" t="str">
        <f>Portada!F39</f>
        <v>CBR.</v>
      </c>
      <c r="H41" s="1866"/>
      <c r="I41" s="1709" t="str">
        <f>Portada!H39&amp;""</f>
        <v>Coronel Souper N° 4060 dp 203</v>
      </c>
      <c r="J41" s="1710"/>
      <c r="K41" s="1710"/>
      <c r="L41" s="1710"/>
      <c r="M41" s="1710"/>
      <c r="N41" s="1710"/>
      <c r="O41" s="1710"/>
      <c r="P41" s="1710"/>
      <c r="Q41" s="1710"/>
      <c r="R41" s="1710"/>
      <c r="S41" s="1710"/>
      <c r="T41" s="1710"/>
      <c r="U41" s="1710"/>
      <c r="V41" s="1710"/>
      <c r="W41" s="1710"/>
      <c r="X41" s="1711"/>
      <c r="Y41" s="633" t="str">
        <f>Portada!X39&amp;""</f>
        <v>2017</v>
      </c>
      <c r="Z41" s="634"/>
      <c r="AA41" s="1838" t="str">
        <f>Portada!AA39</f>
        <v>1975 2808</v>
      </c>
      <c r="AB41" s="1839"/>
      <c r="AC41" s="1839"/>
      <c r="AD41" s="1840"/>
      <c r="AE41" s="1847">
        <f>Portada!AD39</f>
        <v>1100</v>
      </c>
      <c r="AF41" s="1848"/>
      <c r="AG41" s="1848"/>
      <c r="AH41" s="1849"/>
      <c r="AI41" s="1844">
        <f>Portada!AH39</f>
        <v>0</v>
      </c>
      <c r="AJ41" s="1845"/>
      <c r="AK41" s="1845"/>
      <c r="AL41" s="1845"/>
      <c r="AM41" s="1846"/>
      <c r="AN41" s="1844">
        <f>Portada!AM39</f>
        <v>40</v>
      </c>
      <c r="AO41" s="1845"/>
      <c r="AP41" s="1845"/>
      <c r="AQ41" s="1845"/>
      <c r="AR41" s="1846"/>
      <c r="AS41" s="1847">
        <f>Portada!AR39</f>
        <v>0</v>
      </c>
      <c r="AT41" s="1848"/>
      <c r="AU41" s="1849"/>
      <c r="AV41" s="1841">
        <f>Portada!AU39</f>
        <v>0</v>
      </c>
      <c r="AW41" s="1842"/>
      <c r="AX41" s="1843"/>
      <c r="AY41" s="1676">
        <f>Portada!AX39</f>
        <v>27.5</v>
      </c>
      <c r="AZ41" s="1677"/>
      <c r="BA41" s="1678"/>
      <c r="BC41" s="830" t="str">
        <f>Portada!BB39</f>
        <v>UF/ mes</v>
      </c>
      <c r="BD41" s="831"/>
      <c r="BE41" s="673"/>
      <c r="BF41" s="831"/>
      <c r="BG41" s="831"/>
      <c r="BH41" s="661"/>
      <c r="BI41" s="661"/>
      <c r="BJ41" s="833"/>
      <c r="BK41" s="1951">
        <f>Portada!BJ39</f>
        <v>7.9423248227186232</v>
      </c>
      <c r="BL41" s="1952"/>
      <c r="BM41" s="1952"/>
      <c r="BN41" s="1952"/>
      <c r="BO41" s="1952"/>
      <c r="BP41" s="1952"/>
      <c r="BQ41" s="1952"/>
      <c r="BR41" s="1952"/>
      <c r="BS41" s="1952"/>
      <c r="BT41" s="1952"/>
      <c r="BU41" s="1952"/>
      <c r="BV41" s="1953"/>
      <c r="BW41" s="453"/>
    </row>
    <row r="42" spans="1:75" ht="15" customHeight="1" x14ac:dyDescent="0.2">
      <c r="A42" s="1752"/>
      <c r="C42" s="643">
        <f>Portada!B40</f>
        <v>8</v>
      </c>
      <c r="D42" s="1862">
        <f>Portada!C40</f>
        <v>0</v>
      </c>
      <c r="E42" s="1863"/>
      <c r="F42" s="1864"/>
      <c r="G42" s="1865" t="str">
        <f>Portada!F40</f>
        <v>CBR.</v>
      </c>
      <c r="H42" s="1866"/>
      <c r="I42" s="1709" t="str">
        <f>Portada!H40&amp;""</f>
        <v/>
      </c>
      <c r="J42" s="1710"/>
      <c r="K42" s="1710"/>
      <c r="L42" s="1710"/>
      <c r="M42" s="1710"/>
      <c r="N42" s="1710"/>
      <c r="O42" s="1710"/>
      <c r="P42" s="1710"/>
      <c r="Q42" s="1710"/>
      <c r="R42" s="1710"/>
      <c r="S42" s="1710"/>
      <c r="T42" s="1710"/>
      <c r="U42" s="1710"/>
      <c r="V42" s="1710"/>
      <c r="W42" s="1710"/>
      <c r="X42" s="1711"/>
      <c r="Y42" s="633" t="str">
        <f>Portada!X40&amp;""</f>
        <v/>
      </c>
      <c r="Z42" s="634"/>
      <c r="AA42" s="1838">
        <f>Portada!AA40</f>
        <v>0</v>
      </c>
      <c r="AB42" s="1839"/>
      <c r="AC42" s="1839"/>
      <c r="AD42" s="1840"/>
      <c r="AE42" s="1847">
        <f>Portada!AD40</f>
        <v>0</v>
      </c>
      <c r="AF42" s="1848"/>
      <c r="AG42" s="1848"/>
      <c r="AH42" s="1849"/>
      <c r="AI42" s="1844">
        <f>Portada!AH40</f>
        <v>0</v>
      </c>
      <c r="AJ42" s="1845"/>
      <c r="AK42" s="1845"/>
      <c r="AL42" s="1845"/>
      <c r="AM42" s="1846"/>
      <c r="AN42" s="1844">
        <f>Portada!AM40</f>
        <v>0</v>
      </c>
      <c r="AO42" s="1845"/>
      <c r="AP42" s="1845"/>
      <c r="AQ42" s="1845"/>
      <c r="AR42" s="1846"/>
      <c r="AS42" s="1847">
        <f>Portada!AR40</f>
        <v>0</v>
      </c>
      <c r="AT42" s="1848"/>
      <c r="AU42" s="1849"/>
      <c r="AV42" s="1841">
        <f>Portada!AU40</f>
        <v>0</v>
      </c>
      <c r="AW42" s="1842"/>
      <c r="AX42" s="1843"/>
      <c r="AY42" s="1676">
        <f>Portada!AX40</f>
        <v>0</v>
      </c>
      <c r="AZ42" s="1677"/>
      <c r="BA42" s="1678"/>
      <c r="BC42" s="830" t="str">
        <f>Portada!BB40</f>
        <v>Gasto Anual $</v>
      </c>
      <c r="BD42" s="831"/>
      <c r="BE42" s="673"/>
      <c r="BF42" s="831"/>
      <c r="BG42" s="831"/>
      <c r="BH42" s="661"/>
      <c r="BI42" s="661"/>
      <c r="BJ42" s="833"/>
      <c r="BK42" s="1958">
        <f>Portada!BJ40</f>
        <v>320000</v>
      </c>
      <c r="BL42" s="1959"/>
      <c r="BM42" s="1959"/>
      <c r="BN42" s="1959"/>
      <c r="BO42" s="1959"/>
      <c r="BP42" s="1959"/>
      <c r="BQ42" s="1959"/>
      <c r="BR42" s="1959"/>
      <c r="BS42" s="1959"/>
      <c r="BT42" s="1959"/>
      <c r="BU42" s="1959"/>
      <c r="BV42" s="1960"/>
      <c r="BW42" s="453"/>
    </row>
    <row r="43" spans="1:75" ht="15" customHeight="1" x14ac:dyDescent="0.2">
      <c r="A43" s="1752"/>
      <c r="C43" s="643">
        <f>Portada!B41</f>
        <v>9</v>
      </c>
      <c r="D43" s="1862">
        <f>Portada!C41</f>
        <v>0</v>
      </c>
      <c r="E43" s="1863"/>
      <c r="F43" s="1864"/>
      <c r="G43" s="1865" t="str">
        <f>Portada!F41</f>
        <v>CBR.</v>
      </c>
      <c r="H43" s="1866"/>
      <c r="I43" s="1709" t="str">
        <f>Portada!H41&amp;""</f>
        <v/>
      </c>
      <c r="J43" s="1710"/>
      <c r="K43" s="1710"/>
      <c r="L43" s="1710"/>
      <c r="M43" s="1710"/>
      <c r="N43" s="1710"/>
      <c r="O43" s="1710"/>
      <c r="P43" s="1710"/>
      <c r="Q43" s="1710"/>
      <c r="R43" s="1710"/>
      <c r="S43" s="1710"/>
      <c r="T43" s="1710"/>
      <c r="U43" s="1710"/>
      <c r="V43" s="1710"/>
      <c r="W43" s="1710"/>
      <c r="X43" s="1711"/>
      <c r="Y43" s="633" t="str">
        <f>Portada!X41&amp;""</f>
        <v/>
      </c>
      <c r="Z43" s="634"/>
      <c r="AA43" s="1838">
        <f>Portada!AA41</f>
        <v>0</v>
      </c>
      <c r="AB43" s="1839"/>
      <c r="AC43" s="1839"/>
      <c r="AD43" s="1840"/>
      <c r="AE43" s="1847">
        <f>Portada!AD41</f>
        <v>0</v>
      </c>
      <c r="AF43" s="1848"/>
      <c r="AG43" s="1848"/>
      <c r="AH43" s="1849"/>
      <c r="AI43" s="1844">
        <f>Portada!AH41</f>
        <v>0</v>
      </c>
      <c r="AJ43" s="1845"/>
      <c r="AK43" s="1845"/>
      <c r="AL43" s="1845"/>
      <c r="AM43" s="1846"/>
      <c r="AN43" s="1844">
        <f>Portada!AM41</f>
        <v>0</v>
      </c>
      <c r="AO43" s="1845"/>
      <c r="AP43" s="1845"/>
      <c r="AQ43" s="1845"/>
      <c r="AR43" s="1846"/>
      <c r="AS43" s="1847">
        <f>Portada!AR41</f>
        <v>0</v>
      </c>
      <c r="AT43" s="1848"/>
      <c r="AU43" s="1849"/>
      <c r="AV43" s="1841">
        <f>Portada!AU41</f>
        <v>0</v>
      </c>
      <c r="AW43" s="1842"/>
      <c r="AX43" s="1843"/>
      <c r="AY43" s="1676">
        <f>Portada!AX41</f>
        <v>0</v>
      </c>
      <c r="AZ43" s="1677"/>
      <c r="BA43" s="1678"/>
      <c r="BC43" s="830" t="str">
        <f>Portada!BB41</f>
        <v>Tasa Exigida Proyecto</v>
      </c>
      <c r="BD43" s="831"/>
      <c r="BE43" s="673"/>
      <c r="BF43" s="831"/>
      <c r="BG43" s="831"/>
      <c r="BH43" s="661"/>
      <c r="BI43" s="661"/>
      <c r="BJ43" s="833"/>
      <c r="BK43" s="1955" t="str">
        <f>Portada!BJ41</f>
        <v>6,0%</v>
      </c>
      <c r="BL43" s="1956"/>
      <c r="BM43" s="1956"/>
      <c r="BN43" s="1956"/>
      <c r="BO43" s="1956"/>
      <c r="BP43" s="1956"/>
      <c r="BQ43" s="1956"/>
      <c r="BR43" s="1956"/>
      <c r="BS43" s="1956"/>
      <c r="BT43" s="1956"/>
      <c r="BU43" s="1956"/>
      <c r="BV43" s="1957"/>
      <c r="BW43" s="453"/>
    </row>
    <row r="44" spans="1:75" ht="15" customHeight="1" x14ac:dyDescent="0.2">
      <c r="A44" s="1752"/>
      <c r="C44" s="1816" t="str">
        <f>Portada!B42</f>
        <v>PROMEDIO DE LA MUESTRA</v>
      </c>
      <c r="D44" s="1817"/>
      <c r="E44" s="1817"/>
      <c r="F44" s="1817"/>
      <c r="G44" s="1817"/>
      <c r="H44" s="1817"/>
      <c r="I44" s="1817"/>
      <c r="J44" s="1817"/>
      <c r="K44" s="1817"/>
      <c r="L44" s="1817"/>
      <c r="M44" s="1817"/>
      <c r="N44" s="1817"/>
      <c r="O44" s="1817"/>
      <c r="P44" s="1817"/>
      <c r="Q44" s="1817"/>
      <c r="R44" s="1817"/>
      <c r="S44" s="1817"/>
      <c r="T44" s="1817"/>
      <c r="U44" s="1817"/>
      <c r="V44" s="1817"/>
      <c r="W44" s="1817"/>
      <c r="X44" s="1817"/>
      <c r="Y44" s="1817"/>
      <c r="Z44" s="1817"/>
      <c r="AA44" s="1817"/>
      <c r="AB44" s="1817"/>
      <c r="AC44" s="1817"/>
      <c r="AD44" s="1818"/>
      <c r="AE44" s="1603">
        <f>Portada!AD42</f>
        <v>1370</v>
      </c>
      <c r="AF44" s="1604"/>
      <c r="AG44" s="1604"/>
      <c r="AH44" s="1605"/>
      <c r="AI44" s="1603">
        <f>Portada!AH42</f>
        <v>0</v>
      </c>
      <c r="AJ44" s="1604"/>
      <c r="AK44" s="1604"/>
      <c r="AL44" s="1604"/>
      <c r="AM44" s="1605"/>
      <c r="AN44" s="1603">
        <f>Portada!AM42</f>
        <v>40</v>
      </c>
      <c r="AO44" s="1604"/>
      <c r="AP44" s="1604"/>
      <c r="AQ44" s="1604"/>
      <c r="AR44" s="1605"/>
      <c r="AS44" s="1603">
        <f>Portada!AR42</f>
        <v>70</v>
      </c>
      <c r="AT44" s="1604"/>
      <c r="AU44" s="1605"/>
      <c r="AV44" s="1683">
        <f>Portada!AU42</f>
        <v>0</v>
      </c>
      <c r="AW44" s="1684"/>
      <c r="AX44" s="1685"/>
      <c r="AY44" s="1683">
        <f>Portada!AX42</f>
        <v>33.375</v>
      </c>
      <c r="AZ44" s="1684"/>
      <c r="BA44" s="1685"/>
      <c r="BC44" s="830" t="str">
        <f>Portada!BB42</f>
        <v>Tiempo Renta (años)</v>
      </c>
      <c r="BD44" s="831"/>
      <c r="BE44" s="673"/>
      <c r="BF44" s="831"/>
      <c r="BG44" s="831"/>
      <c r="BH44" s="661"/>
      <c r="BI44" s="661"/>
      <c r="BJ44" s="833"/>
      <c r="BK44" s="1686">
        <f>Portada!BJ42</f>
        <v>35</v>
      </c>
      <c r="BL44" s="1687"/>
      <c r="BM44" s="1687"/>
      <c r="BN44" s="1687"/>
      <c r="BO44" s="1687"/>
      <c r="BP44" s="1687"/>
      <c r="BQ44" s="1687"/>
      <c r="BR44" s="1687"/>
      <c r="BS44" s="1687"/>
      <c r="BT44" s="1687"/>
      <c r="BU44" s="1687"/>
      <c r="BV44" s="1688"/>
      <c r="BW44" s="453"/>
    </row>
    <row r="45" spans="1:75" ht="15" customHeight="1" x14ac:dyDescent="0.2">
      <c r="A45" s="1752"/>
      <c r="C45" s="1816" t="str">
        <f>Portada!B43</f>
        <v>TASACION</v>
      </c>
      <c r="D45" s="1817"/>
      <c r="E45" s="1817"/>
      <c r="F45" s="1817"/>
      <c r="G45" s="1817"/>
      <c r="H45" s="1817"/>
      <c r="I45" s="1817"/>
      <c r="J45" s="1817"/>
      <c r="K45" s="1817"/>
      <c r="L45" s="1817"/>
      <c r="M45" s="1817"/>
      <c r="N45" s="1817"/>
      <c r="O45" s="1817"/>
      <c r="P45" s="1817"/>
      <c r="Q45" s="1817"/>
      <c r="R45" s="1817"/>
      <c r="S45" s="1817"/>
      <c r="T45" s="1817"/>
      <c r="U45" s="1817"/>
      <c r="V45" s="1817"/>
      <c r="W45" s="1817"/>
      <c r="X45" s="1817"/>
      <c r="Y45" s="1817"/>
      <c r="Z45" s="1817"/>
      <c r="AA45" s="1817"/>
      <c r="AB45" s="1817"/>
      <c r="AC45" s="1817"/>
      <c r="AD45" s="1818"/>
      <c r="AE45" s="1603">
        <f>Portada!AD43</f>
        <v>1394</v>
      </c>
      <c r="AF45" s="1604"/>
      <c r="AG45" s="1604"/>
      <c r="AH45" s="1605"/>
      <c r="AI45" s="1603">
        <f>Portada!AH43</f>
        <v>0</v>
      </c>
      <c r="AJ45" s="1604"/>
      <c r="AK45" s="1604"/>
      <c r="AL45" s="1604"/>
      <c r="AM45" s="1605"/>
      <c r="AN45" s="1603">
        <f>Portada!AM43</f>
        <v>41</v>
      </c>
      <c r="AO45" s="1604"/>
      <c r="AP45" s="1604"/>
      <c r="AQ45" s="1604"/>
      <c r="AR45" s="1605"/>
      <c r="AS45" s="1603" t="str">
        <f>Portada!AR43</f>
        <v>0,00</v>
      </c>
      <c r="AT45" s="1604"/>
      <c r="AU45" s="1605"/>
      <c r="AV45" s="1683">
        <f>Portada!AU43</f>
        <v>0</v>
      </c>
      <c r="AW45" s="1684"/>
      <c r="AX45" s="1685"/>
      <c r="AY45" s="1683">
        <f>Portada!AX43</f>
        <v>34</v>
      </c>
      <c r="AZ45" s="1684"/>
      <c r="BA45" s="1685"/>
      <c r="BC45" s="644" t="str">
        <f>Portada!BB43</f>
        <v>Ingreso Líquido Anual</v>
      </c>
      <c r="BD45" s="645"/>
      <c r="BE45" s="805"/>
      <c r="BF45" s="645"/>
      <c r="BG45" s="645"/>
      <c r="BH45" s="646"/>
      <c r="BI45" s="646"/>
      <c r="BJ45" s="647"/>
      <c r="BK45" s="1702">
        <f>Portada!BJ43</f>
        <v>3520000</v>
      </c>
      <c r="BL45" s="1703"/>
      <c r="BM45" s="1703"/>
      <c r="BN45" s="1703"/>
      <c r="BO45" s="1703"/>
      <c r="BP45" s="1703"/>
      <c r="BQ45" s="1703"/>
      <c r="BR45" s="1703"/>
      <c r="BS45" s="1703"/>
      <c r="BT45" s="1703"/>
      <c r="BU45" s="1703"/>
      <c r="BV45" s="1704"/>
      <c r="BW45" s="453"/>
    </row>
    <row r="46" spans="1:75" ht="15" customHeight="1" x14ac:dyDescent="0.2">
      <c r="A46" s="1752"/>
      <c r="C46" s="1816" t="str">
        <f>Portada!B44</f>
        <v>TASACION V/S PROMEDIO DE LA MUESTRA</v>
      </c>
      <c r="D46" s="1817"/>
      <c r="E46" s="1817"/>
      <c r="F46" s="1817"/>
      <c r="G46" s="1817"/>
      <c r="H46" s="1817"/>
      <c r="I46" s="1817"/>
      <c r="J46" s="1817"/>
      <c r="K46" s="1817"/>
      <c r="L46" s="1817"/>
      <c r="M46" s="1817"/>
      <c r="N46" s="1817"/>
      <c r="O46" s="1817"/>
      <c r="P46" s="1817"/>
      <c r="Q46" s="1817"/>
      <c r="R46" s="1817"/>
      <c r="S46" s="1817"/>
      <c r="T46" s="1817"/>
      <c r="U46" s="1817"/>
      <c r="V46" s="1817"/>
      <c r="W46" s="1817"/>
      <c r="X46" s="1817"/>
      <c r="Y46" s="1817"/>
      <c r="Z46" s="1817"/>
      <c r="AA46" s="1817"/>
      <c r="AB46" s="1817"/>
      <c r="AC46" s="1817"/>
      <c r="AD46" s="1818"/>
      <c r="AE46" s="1850">
        <f>Portada!AD44</f>
        <v>0</v>
      </c>
      <c r="AF46" s="1851"/>
      <c r="AG46" s="1851"/>
      <c r="AH46" s="1852"/>
      <c r="AI46" s="1850">
        <f>Portada!AH44</f>
        <v>0</v>
      </c>
      <c r="AJ46" s="1851"/>
      <c r="AK46" s="1851"/>
      <c r="AL46" s="1851"/>
      <c r="AM46" s="1852"/>
      <c r="AN46" s="1850">
        <f>Portada!AM44</f>
        <v>0</v>
      </c>
      <c r="AO46" s="1851"/>
      <c r="AP46" s="1851"/>
      <c r="AQ46" s="1851"/>
      <c r="AR46" s="1852"/>
      <c r="AS46" s="1603"/>
      <c r="AT46" s="1604"/>
      <c r="AU46" s="1605"/>
      <c r="AV46" s="1609">
        <f>Portada!AU44</f>
        <v>0</v>
      </c>
      <c r="AW46" s="1610"/>
      <c r="AX46" s="1611"/>
      <c r="AY46" s="1609">
        <f>Portada!AX44</f>
        <v>1.8726591760299671E-2</v>
      </c>
      <c r="AZ46" s="1610"/>
      <c r="BA46" s="1611"/>
      <c r="BC46" s="644" t="str">
        <f>Portada!BB44</f>
        <v>Renta Perpetua</v>
      </c>
      <c r="BD46" s="645"/>
      <c r="BE46" s="805"/>
      <c r="BF46" s="645"/>
      <c r="BG46" s="645"/>
      <c r="BH46" s="646"/>
      <c r="BI46" s="646"/>
      <c r="BJ46" s="647"/>
      <c r="BK46" s="1702">
        <f>Portada!BJ44</f>
        <v>58666666.666666672</v>
      </c>
      <c r="BL46" s="1703"/>
      <c r="BM46" s="1703"/>
      <c r="BN46" s="1703"/>
      <c r="BO46" s="1703"/>
      <c r="BP46" s="1703"/>
      <c r="BQ46" s="1703"/>
      <c r="BR46" s="1703"/>
      <c r="BS46" s="1703"/>
      <c r="BT46" s="1703"/>
      <c r="BU46" s="1703"/>
      <c r="BV46" s="1704"/>
      <c r="BW46" s="453"/>
    </row>
    <row r="47" spans="1:75" ht="15" customHeight="1" x14ac:dyDescent="0.2">
      <c r="A47" s="1752"/>
      <c r="C47" s="453"/>
      <c r="BV47" s="447"/>
      <c r="BW47" s="453"/>
    </row>
    <row r="48" spans="1:75" ht="15" customHeight="1" thickBot="1" x14ac:dyDescent="0.3">
      <c r="A48" s="1752"/>
      <c r="C48" s="648" t="s">
        <v>1209</v>
      </c>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49"/>
      <c r="AF48" s="649"/>
      <c r="AG48" s="649"/>
      <c r="AH48" s="649"/>
      <c r="AI48" s="649"/>
      <c r="AJ48" s="649"/>
      <c r="AK48" s="649"/>
      <c r="AL48" s="649"/>
      <c r="AM48" s="649"/>
      <c r="AN48" s="649"/>
      <c r="AO48" s="649"/>
      <c r="AP48" s="649"/>
      <c r="AQ48" s="649"/>
      <c r="AR48" s="649"/>
      <c r="AS48" s="649"/>
      <c r="AT48" s="649"/>
      <c r="AU48" s="649"/>
      <c r="AV48" s="649"/>
      <c r="AW48" s="649"/>
      <c r="AX48" s="649"/>
      <c r="AY48" s="649"/>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c r="BV48" s="650"/>
      <c r="BW48" s="453"/>
    </row>
    <row r="49" spans="1:92" ht="15" customHeight="1" x14ac:dyDescent="0.2">
      <c r="A49" s="1752"/>
      <c r="C49" s="1692"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1693"/>
      <c r="E49" s="1693"/>
      <c r="F49" s="1693"/>
      <c r="G49" s="1693"/>
      <c r="H49" s="1693"/>
      <c r="I49" s="1693"/>
      <c r="J49" s="1693"/>
      <c r="K49" s="1693"/>
      <c r="L49" s="1693"/>
      <c r="M49" s="1693"/>
      <c r="N49" s="1693"/>
      <c r="O49" s="1693"/>
      <c r="P49" s="1693"/>
      <c r="Q49" s="1693"/>
      <c r="R49" s="1693"/>
      <c r="S49" s="1693"/>
      <c r="T49" s="1693"/>
      <c r="U49" s="1693"/>
      <c r="V49" s="1693"/>
      <c r="W49" s="1693"/>
      <c r="X49" s="1693"/>
      <c r="Y49" s="1693"/>
      <c r="Z49" s="1693"/>
      <c r="AA49" s="1693"/>
      <c r="AB49" s="1693"/>
      <c r="AC49" s="1693"/>
      <c r="AD49" s="1693"/>
      <c r="AE49" s="1693"/>
      <c r="AF49" s="1693"/>
      <c r="AG49" s="1693"/>
      <c r="AH49" s="1693"/>
      <c r="AI49" s="1693"/>
      <c r="AJ49" s="1693"/>
      <c r="AK49" s="1693"/>
      <c r="AL49" s="1693"/>
      <c r="AM49" s="1693"/>
      <c r="AN49" s="1693"/>
      <c r="AO49" s="1693"/>
      <c r="AP49" s="1693"/>
      <c r="AQ49" s="1693"/>
      <c r="AR49" s="1693"/>
      <c r="AS49" s="1693"/>
      <c r="AT49" s="1693"/>
      <c r="AU49" s="1693"/>
      <c r="AV49" s="1693"/>
      <c r="AW49" s="1693"/>
      <c r="AX49" s="1693"/>
      <c r="AY49" s="1693"/>
      <c r="AZ49" s="1693"/>
      <c r="BA49" s="1693"/>
      <c r="BB49" s="1693"/>
      <c r="BC49" s="1693"/>
      <c r="BD49" s="1693"/>
      <c r="BE49" s="1693"/>
      <c r="BF49" s="1693"/>
      <c r="BG49" s="1693"/>
      <c r="BH49" s="1693"/>
      <c r="BI49" s="1693"/>
      <c r="BJ49" s="1693"/>
      <c r="BK49" s="1693"/>
      <c r="BL49" s="1693"/>
      <c r="BM49" s="1693"/>
      <c r="BN49" s="1693"/>
      <c r="BO49" s="1693"/>
      <c r="BP49" s="1693"/>
      <c r="BQ49" s="1693"/>
      <c r="BR49" s="1693"/>
      <c r="BS49" s="1693"/>
      <c r="BT49" s="1693"/>
      <c r="BU49" s="1693"/>
      <c r="BV49" s="1694"/>
      <c r="BW49" s="453"/>
    </row>
    <row r="50" spans="1:92" ht="15" customHeight="1" thickBot="1" x14ac:dyDescent="0.25">
      <c r="A50" s="1752"/>
      <c r="C50" s="1695"/>
      <c r="D50" s="1696"/>
      <c r="E50" s="1696"/>
      <c r="F50" s="1696"/>
      <c r="G50" s="1696"/>
      <c r="H50" s="1696"/>
      <c r="I50" s="1696"/>
      <c r="J50" s="1696"/>
      <c r="K50" s="1696"/>
      <c r="L50" s="1696"/>
      <c r="M50" s="1696"/>
      <c r="N50" s="1696"/>
      <c r="O50" s="1696"/>
      <c r="P50" s="1696"/>
      <c r="Q50" s="1696"/>
      <c r="R50" s="1696"/>
      <c r="S50" s="1696"/>
      <c r="T50" s="1696"/>
      <c r="U50" s="1696"/>
      <c r="V50" s="1696"/>
      <c r="W50" s="1696"/>
      <c r="X50" s="1696"/>
      <c r="Y50" s="1696"/>
      <c r="Z50" s="1696"/>
      <c r="AA50" s="1696"/>
      <c r="AB50" s="1696"/>
      <c r="AC50" s="1696"/>
      <c r="AD50" s="1696"/>
      <c r="AE50" s="1696"/>
      <c r="AF50" s="1696"/>
      <c r="AG50" s="1696"/>
      <c r="AH50" s="1696"/>
      <c r="AI50" s="1696"/>
      <c r="AJ50" s="1696"/>
      <c r="AK50" s="1696"/>
      <c r="AL50" s="1696"/>
      <c r="AM50" s="1696"/>
      <c r="AN50" s="1696"/>
      <c r="AO50" s="1696"/>
      <c r="AP50" s="1696"/>
      <c r="AQ50" s="1696"/>
      <c r="AR50" s="1696"/>
      <c r="AS50" s="1696"/>
      <c r="AT50" s="1696"/>
      <c r="AU50" s="1696"/>
      <c r="AV50" s="1696"/>
      <c r="AW50" s="1696"/>
      <c r="AX50" s="1696"/>
      <c r="AY50" s="1696"/>
      <c r="AZ50" s="1696"/>
      <c r="BA50" s="1696"/>
      <c r="BB50" s="1696"/>
      <c r="BC50" s="1696"/>
      <c r="BD50" s="1696"/>
      <c r="BE50" s="1696"/>
      <c r="BF50" s="1696"/>
      <c r="BG50" s="1696"/>
      <c r="BH50" s="1696"/>
      <c r="BI50" s="1696"/>
      <c r="BJ50" s="1696"/>
      <c r="BK50" s="1696"/>
      <c r="BL50" s="1696"/>
      <c r="BM50" s="1696"/>
      <c r="BN50" s="1696"/>
      <c r="BO50" s="1696"/>
      <c r="BP50" s="1696"/>
      <c r="BQ50" s="1696"/>
      <c r="BR50" s="1696"/>
      <c r="BS50" s="1696"/>
      <c r="BT50" s="1696"/>
      <c r="BU50" s="1696"/>
      <c r="BV50" s="1697"/>
      <c r="BW50" s="453"/>
    </row>
    <row r="51" spans="1:92" ht="15" customHeight="1" thickBot="1" x14ac:dyDescent="0.25">
      <c r="C51" s="453"/>
      <c r="BV51" s="447"/>
      <c r="BW51" s="453"/>
    </row>
    <row r="52" spans="1:92" ht="15" customHeight="1" x14ac:dyDescent="0.25">
      <c r="A52" s="1752" t="s">
        <v>1193</v>
      </c>
      <c r="C52" s="651" t="s">
        <v>619</v>
      </c>
      <c r="D52" s="652"/>
      <c r="E52" s="652"/>
      <c r="F52" s="652"/>
      <c r="G52" s="652"/>
      <c r="H52" s="652"/>
      <c r="I52" s="652"/>
      <c r="J52" s="652"/>
      <c r="K52" s="652"/>
      <c r="L52" s="652"/>
      <c r="M52" s="652"/>
      <c r="N52" s="652"/>
      <c r="O52" s="652"/>
      <c r="P52" s="652"/>
      <c r="Q52" s="652"/>
      <c r="R52" s="652"/>
      <c r="S52" s="652"/>
      <c r="T52" s="652"/>
      <c r="U52" s="652"/>
      <c r="V52" s="652"/>
      <c r="W52" s="652"/>
      <c r="X52" s="652"/>
      <c r="Y52" s="652"/>
      <c r="Z52" s="652"/>
      <c r="AA52" s="652"/>
      <c r="AB52" s="652"/>
      <c r="AC52" s="652"/>
      <c r="AD52" s="652"/>
      <c r="AE52" s="652"/>
      <c r="AF52" s="652"/>
      <c r="AG52" s="652"/>
      <c r="AH52" s="652"/>
      <c r="AI52" s="652"/>
      <c r="AJ52" s="652"/>
      <c r="AK52" s="652"/>
      <c r="AL52" s="652"/>
      <c r="AM52" s="652"/>
      <c r="AN52" s="652"/>
      <c r="AO52" s="652"/>
      <c r="AP52" s="652"/>
      <c r="AQ52" s="652"/>
      <c r="AR52" s="652"/>
      <c r="AS52" s="652"/>
      <c r="AT52" s="652"/>
      <c r="AU52" s="652"/>
      <c r="AV52" s="652"/>
      <c r="AW52" s="652"/>
      <c r="AX52" s="652"/>
      <c r="AY52" s="652"/>
      <c r="AZ52" s="652"/>
      <c r="BA52" s="652"/>
      <c r="BB52" s="652"/>
      <c r="BC52" s="652"/>
      <c r="BD52" s="652"/>
      <c r="BE52" s="652"/>
      <c r="BF52" s="652"/>
      <c r="BG52" s="652"/>
      <c r="BH52" s="652"/>
      <c r="BI52" s="652"/>
      <c r="BJ52" s="652"/>
      <c r="BK52" s="652"/>
      <c r="BL52" s="652"/>
      <c r="BM52" s="652"/>
      <c r="BN52" s="652"/>
      <c r="BO52" s="652"/>
      <c r="BP52" s="652"/>
      <c r="BQ52" s="652"/>
      <c r="BR52" s="652"/>
      <c r="BS52" s="652"/>
      <c r="BT52" s="652"/>
      <c r="BU52" s="652"/>
      <c r="BV52" s="653"/>
      <c r="BW52" s="453"/>
    </row>
    <row r="53" spans="1:92" ht="15" customHeight="1" x14ac:dyDescent="0.2">
      <c r="A53" s="1752"/>
      <c r="C53" s="1880" t="s">
        <v>621</v>
      </c>
      <c r="D53" s="1878"/>
      <c r="E53" s="1878"/>
      <c r="F53" s="1879"/>
      <c r="G53" s="654" t="s">
        <v>622</v>
      </c>
      <c r="H53" s="1877" t="s">
        <v>623</v>
      </c>
      <c r="I53" s="1878"/>
      <c r="J53" s="1878"/>
      <c r="K53" s="1878"/>
      <c r="L53" s="1878"/>
      <c r="M53" s="1878"/>
      <c r="N53" s="1878"/>
      <c r="O53" s="1879"/>
      <c r="P53" s="1600" t="s">
        <v>624</v>
      </c>
      <c r="Q53" s="1601"/>
      <c r="R53" s="1601"/>
      <c r="S53" s="1601"/>
      <c r="T53" s="1602"/>
      <c r="U53" s="1600" t="s">
        <v>570</v>
      </c>
      <c r="V53" s="1602"/>
      <c r="W53" s="1600" t="s">
        <v>625</v>
      </c>
      <c r="X53" s="1601"/>
      <c r="Y53" s="1602"/>
      <c r="Z53" s="1877" t="s">
        <v>626</v>
      </c>
      <c r="AA53" s="1878"/>
      <c r="AB53" s="1878"/>
      <c r="AC53" s="1878"/>
      <c r="AD53" s="1878"/>
      <c r="AE53" s="1879"/>
      <c r="AF53" s="1600" t="s">
        <v>627</v>
      </c>
      <c r="AG53" s="1602"/>
      <c r="AH53" s="1877" t="s">
        <v>628</v>
      </c>
      <c r="AI53" s="1878"/>
      <c r="AJ53" s="1879"/>
      <c r="AK53" s="1877" t="s">
        <v>629</v>
      </c>
      <c r="AL53" s="1878"/>
      <c r="AM53" s="1878"/>
      <c r="AN53" s="1879"/>
      <c r="AO53" s="1600" t="s">
        <v>630</v>
      </c>
      <c r="AP53" s="1601"/>
      <c r="AQ53" s="1601"/>
      <c r="AR53" s="1601"/>
      <c r="AS53" s="1601"/>
      <c r="AT53" s="1602"/>
      <c r="AU53" s="1600" t="s">
        <v>631</v>
      </c>
      <c r="AV53" s="1601"/>
      <c r="AW53" s="1601"/>
      <c r="AX53" s="1602"/>
      <c r="AY53" s="1600" t="s">
        <v>632</v>
      </c>
      <c r="AZ53" s="1601"/>
      <c r="BA53" s="1602"/>
      <c r="BB53" s="1600" t="s">
        <v>634</v>
      </c>
      <c r="BC53" s="1601"/>
      <c r="BD53" s="1601"/>
      <c r="BE53" s="1602"/>
      <c r="BF53" s="1600" t="s">
        <v>1859</v>
      </c>
      <c r="BG53" s="1601"/>
      <c r="BH53" s="1601"/>
      <c r="BI53" s="1601"/>
      <c r="BJ53" s="1525" t="s">
        <v>1860</v>
      </c>
      <c r="BK53" s="1525"/>
      <c r="BL53" s="1525"/>
      <c r="BM53" s="1525"/>
      <c r="BN53" s="1525"/>
      <c r="BO53" s="1525"/>
      <c r="BP53" s="1600" t="s">
        <v>1858</v>
      </c>
      <c r="BQ53" s="1601"/>
      <c r="BR53" s="1601"/>
      <c r="BS53" s="1601"/>
      <c r="BT53" s="1601"/>
      <c r="BU53" s="1601"/>
      <c r="BV53" s="1954"/>
      <c r="BW53" s="443"/>
    </row>
    <row r="54" spans="1:92" ht="15" customHeight="1" x14ac:dyDescent="0.2">
      <c r="A54" s="1752"/>
      <c r="C54" s="1836" t="str">
        <f>Portada!B51</f>
        <v>Edificación</v>
      </c>
      <c r="D54" s="1680"/>
      <c r="E54" s="1680"/>
      <c r="F54" s="1681"/>
      <c r="G54" s="655">
        <f>Portada!F51</f>
        <v>1</v>
      </c>
      <c r="H54" s="1698" t="str">
        <f>Portada!G51</f>
        <v>Departamento N°2502 B</v>
      </c>
      <c r="I54" s="1699"/>
      <c r="J54" s="1699"/>
      <c r="K54" s="1699"/>
      <c r="L54" s="1699"/>
      <c r="M54" s="1699"/>
      <c r="N54" s="1699"/>
      <c r="O54" s="1700"/>
      <c r="P54" s="1622" t="str">
        <f>Portada!O51</f>
        <v>694-416</v>
      </c>
      <c r="Q54" s="1623"/>
      <c r="R54" s="1623"/>
      <c r="S54" s="1623"/>
      <c r="T54" s="1624"/>
      <c r="U54" s="1627" t="str">
        <f>Portada!T51</f>
        <v>2018</v>
      </c>
      <c r="V54" s="1628"/>
      <c r="W54" s="1627" t="str">
        <f>Portada!V51</f>
        <v>HA</v>
      </c>
      <c r="X54" s="1682"/>
      <c r="Y54" s="1628"/>
      <c r="Z54" s="1679" t="str">
        <f>Portada!Y51</f>
        <v>Regularizado</v>
      </c>
      <c r="AA54" s="1680"/>
      <c r="AB54" s="1680"/>
      <c r="AC54" s="1680"/>
      <c r="AD54" s="1680"/>
      <c r="AE54" s="1681"/>
      <c r="AF54" s="1627" t="str">
        <f>Portada!AE51</f>
        <v>B</v>
      </c>
      <c r="AG54" s="1628"/>
      <c r="AH54" s="1627" t="str">
        <f>Portada!AG51</f>
        <v>N/D</v>
      </c>
      <c r="AI54" s="1682"/>
      <c r="AJ54" s="1628"/>
      <c r="AK54" s="1606" t="str">
        <f>Portada!AJ51</f>
        <v>Plano Prop.</v>
      </c>
      <c r="AL54" s="1607"/>
      <c r="AM54" s="1607"/>
      <c r="AN54" s="1608"/>
      <c r="AO54" s="1689">
        <f>Portada!AN51</f>
        <v>41</v>
      </c>
      <c r="AP54" s="1690"/>
      <c r="AQ54" s="1690"/>
      <c r="AR54" s="1690"/>
      <c r="AS54" s="1690"/>
      <c r="AT54" s="1691"/>
      <c r="AU54" s="1597">
        <f>Portada!AT51</f>
        <v>34</v>
      </c>
      <c r="AV54" s="1598"/>
      <c r="AW54" s="1598"/>
      <c r="AX54" s="1599"/>
      <c r="AY54" s="1597">
        <f>+Portada!AX51</f>
        <v>1</v>
      </c>
      <c r="AZ54" s="1598"/>
      <c r="BA54" s="1599"/>
      <c r="BB54" s="1546">
        <f>Portada!BD51</f>
        <v>34</v>
      </c>
      <c r="BC54" s="1547"/>
      <c r="BD54" s="1547"/>
      <c r="BE54" s="1548"/>
      <c r="BF54" s="1526">
        <f>Portada!BI51</f>
        <v>1394</v>
      </c>
      <c r="BG54" s="1527"/>
      <c r="BH54" s="1527"/>
      <c r="BI54" s="1528"/>
      <c r="BJ54" s="1526">
        <f>Portada!BO51</f>
        <v>1394</v>
      </c>
      <c r="BK54" s="1527"/>
      <c r="BL54" s="1527"/>
      <c r="BM54" s="1527"/>
      <c r="BN54" s="1527"/>
      <c r="BO54" s="1528"/>
      <c r="BP54" s="1526">
        <f>Portada!BV51</f>
        <v>1150.05</v>
      </c>
      <c r="BQ54" s="1527"/>
      <c r="BR54" s="1527"/>
      <c r="BS54" s="1527"/>
      <c r="BT54" s="1527"/>
      <c r="BU54" s="1527"/>
      <c r="BV54" s="1527"/>
      <c r="BW54" s="453"/>
      <c r="CC54" s="443">
        <f>Portada!BY51</f>
        <v>1394</v>
      </c>
      <c r="CD54" s="443" t="b">
        <f>Portada!BZ51</f>
        <v>0</v>
      </c>
      <c r="CE54" s="443" t="b">
        <f>Portada!CA51</f>
        <v>0</v>
      </c>
      <c r="CF54" s="443" t="str">
        <f>Portada!CB51</f>
        <v xml:space="preserve"> -</v>
      </c>
      <c r="CG54" s="443">
        <f>Portada!CC51</f>
        <v>0</v>
      </c>
      <c r="CH54" s="443">
        <f>Portada!CD51</f>
        <v>0</v>
      </c>
      <c r="CI54" s="443">
        <f>Portada!CE51</f>
        <v>0</v>
      </c>
      <c r="CJ54" s="443">
        <f>Portada!CF51</f>
        <v>0</v>
      </c>
      <c r="CK54" s="443">
        <f>Portada!CG51</f>
        <v>0</v>
      </c>
      <c r="CL54" s="443">
        <f>Portada!CH51</f>
        <v>0</v>
      </c>
      <c r="CM54" s="443">
        <f>Portada!CI51</f>
        <v>0</v>
      </c>
      <c r="CN54" s="443">
        <f>Portada!CJ51</f>
        <v>0</v>
      </c>
    </row>
    <row r="55" spans="1:92" ht="15" customHeight="1" x14ac:dyDescent="0.2">
      <c r="A55" s="1752"/>
      <c r="C55" s="1836">
        <f>Portada!B52</f>
        <v>0</v>
      </c>
      <c r="D55" s="1680"/>
      <c r="E55" s="1680"/>
      <c r="F55" s="1681"/>
      <c r="G55" s="655" t="str">
        <f>Portada!F52</f>
        <v/>
      </c>
      <c r="H55" s="1698">
        <f>Portada!G52</f>
        <v>0</v>
      </c>
      <c r="I55" s="1699"/>
      <c r="J55" s="1699"/>
      <c r="K55" s="1699"/>
      <c r="L55" s="1699"/>
      <c r="M55" s="1699"/>
      <c r="N55" s="1699"/>
      <c r="O55" s="1700"/>
      <c r="P55" s="1622">
        <f>Portada!O52</f>
        <v>0</v>
      </c>
      <c r="Q55" s="1623"/>
      <c r="R55" s="1623"/>
      <c r="S55" s="1623"/>
      <c r="T55" s="1624"/>
      <c r="U55" s="1627">
        <f>Portada!T52</f>
        <v>0</v>
      </c>
      <c r="V55" s="1628"/>
      <c r="W55" s="1627">
        <f>Portada!V52</f>
        <v>0</v>
      </c>
      <c r="X55" s="1682"/>
      <c r="Y55" s="1628"/>
      <c r="Z55" s="1679">
        <f>Portada!Y52</f>
        <v>0</v>
      </c>
      <c r="AA55" s="1680"/>
      <c r="AB55" s="1680"/>
      <c r="AC55" s="1680"/>
      <c r="AD55" s="1680"/>
      <c r="AE55" s="1681"/>
      <c r="AF55" s="1627">
        <f>Portada!AE52</f>
        <v>0</v>
      </c>
      <c r="AG55" s="1628"/>
      <c r="AH55" s="1627">
        <f>Portada!AG52</f>
        <v>0</v>
      </c>
      <c r="AI55" s="1682"/>
      <c r="AJ55" s="1628"/>
      <c r="AK55" s="1606">
        <f>Portada!AJ52</f>
        <v>0</v>
      </c>
      <c r="AL55" s="1607"/>
      <c r="AM55" s="1607"/>
      <c r="AN55" s="1608"/>
      <c r="AO55" s="1689">
        <f>Portada!AN52</f>
        <v>0</v>
      </c>
      <c r="AP55" s="1690"/>
      <c r="AQ55" s="1690"/>
      <c r="AR55" s="1690"/>
      <c r="AS55" s="1690"/>
      <c r="AT55" s="1691"/>
      <c r="AU55" s="1597">
        <f>Portada!AT52</f>
        <v>0</v>
      </c>
      <c r="AV55" s="1598"/>
      <c r="AW55" s="1598"/>
      <c r="AX55" s="1599"/>
      <c r="AY55" s="1597">
        <f>+Portada!AX52</f>
        <v>0</v>
      </c>
      <c r="AZ55" s="1598"/>
      <c r="BA55" s="1599"/>
      <c r="BB55" s="1546">
        <f>Portada!BD52</f>
        <v>0</v>
      </c>
      <c r="BC55" s="1547"/>
      <c r="BD55" s="1547"/>
      <c r="BE55" s="1548"/>
      <c r="BF55" s="1529">
        <f>Portada!BI52</f>
        <v>0</v>
      </c>
      <c r="BG55" s="1529"/>
      <c r="BH55" s="1529"/>
      <c r="BI55" s="1526"/>
      <c r="BJ55" s="1526">
        <f>Portada!BO52</f>
        <v>0</v>
      </c>
      <c r="BK55" s="1527"/>
      <c r="BL55" s="1527"/>
      <c r="BM55" s="1527"/>
      <c r="BN55" s="1527"/>
      <c r="BO55" s="1528"/>
      <c r="BP55" s="1526">
        <f>Portada!BV52</f>
        <v>0</v>
      </c>
      <c r="BQ55" s="1527"/>
      <c r="BR55" s="1527"/>
      <c r="BS55" s="1527"/>
      <c r="BT55" s="1527"/>
      <c r="BU55" s="1527"/>
      <c r="BV55" s="1912"/>
      <c r="BW55" s="453"/>
      <c r="CC55" s="443">
        <f>Portada!BY52</f>
        <v>0</v>
      </c>
      <c r="CD55" s="443" t="b">
        <f>Portada!BZ52</f>
        <v>0</v>
      </c>
      <c r="CE55" s="443" t="b">
        <f>Portada!CA52</f>
        <v>0</v>
      </c>
      <c r="CF55" s="443" t="str">
        <f>Portada!CB52</f>
        <v xml:space="preserve"> -</v>
      </c>
      <c r="CG55" s="443">
        <f>Portada!CC52</f>
        <v>0</v>
      </c>
      <c r="CH55" s="443">
        <f>Portada!CD52</f>
        <v>0</v>
      </c>
      <c r="CI55" s="443">
        <f>Portada!CE52</f>
        <v>0</v>
      </c>
      <c r="CJ55" s="443">
        <f>Portada!CF52</f>
        <v>0</v>
      </c>
      <c r="CK55" s="443">
        <f>Portada!CG52</f>
        <v>0</v>
      </c>
      <c r="CL55" s="443">
        <f>Portada!CH52</f>
        <v>0</v>
      </c>
      <c r="CM55" s="443">
        <f>Portada!CI52</f>
        <v>0</v>
      </c>
      <c r="CN55" s="443">
        <f>Portada!CJ52</f>
        <v>0</v>
      </c>
    </row>
    <row r="56" spans="1:92" ht="15" customHeight="1" x14ac:dyDescent="0.2">
      <c r="A56" s="1752"/>
      <c r="C56" s="1836">
        <f>Portada!B53</f>
        <v>0</v>
      </c>
      <c r="D56" s="1680"/>
      <c r="E56" s="1680"/>
      <c r="F56" s="1681"/>
      <c r="G56" s="655" t="str">
        <f>Portada!F53</f>
        <v/>
      </c>
      <c r="H56" s="1698">
        <f>Portada!G53</f>
        <v>0</v>
      </c>
      <c r="I56" s="1699"/>
      <c r="J56" s="1699"/>
      <c r="K56" s="1699"/>
      <c r="L56" s="1699"/>
      <c r="M56" s="1699"/>
      <c r="N56" s="1699"/>
      <c r="O56" s="1700"/>
      <c r="P56" s="1622">
        <f>Portada!O53</f>
        <v>0</v>
      </c>
      <c r="Q56" s="1623"/>
      <c r="R56" s="1623"/>
      <c r="S56" s="1623"/>
      <c r="T56" s="1624"/>
      <c r="U56" s="1627">
        <f>Portada!T53</f>
        <v>0</v>
      </c>
      <c r="V56" s="1628"/>
      <c r="W56" s="1627">
        <f>Portada!V53</f>
        <v>0</v>
      </c>
      <c r="X56" s="1682"/>
      <c r="Y56" s="1628"/>
      <c r="Z56" s="1679">
        <f>Portada!Y53</f>
        <v>0</v>
      </c>
      <c r="AA56" s="1680"/>
      <c r="AB56" s="1680"/>
      <c r="AC56" s="1680"/>
      <c r="AD56" s="1680"/>
      <c r="AE56" s="1681"/>
      <c r="AF56" s="1627">
        <f>Portada!AE53</f>
        <v>0</v>
      </c>
      <c r="AG56" s="1628"/>
      <c r="AH56" s="1627">
        <f>Portada!AG53</f>
        <v>0</v>
      </c>
      <c r="AI56" s="1682"/>
      <c r="AJ56" s="1628"/>
      <c r="AK56" s="1606">
        <f>Portada!AJ53</f>
        <v>0</v>
      </c>
      <c r="AL56" s="1607"/>
      <c r="AM56" s="1607"/>
      <c r="AN56" s="1608"/>
      <c r="AO56" s="1689">
        <f>Portada!AN53</f>
        <v>0</v>
      </c>
      <c r="AP56" s="1690"/>
      <c r="AQ56" s="1690"/>
      <c r="AR56" s="1690"/>
      <c r="AS56" s="1690"/>
      <c r="AT56" s="1691"/>
      <c r="AU56" s="1597">
        <f>Portada!AT53</f>
        <v>0</v>
      </c>
      <c r="AV56" s="1598"/>
      <c r="AW56" s="1598"/>
      <c r="AX56" s="1599"/>
      <c r="AY56" s="1597">
        <f>+Portada!AX53</f>
        <v>0</v>
      </c>
      <c r="AZ56" s="1598"/>
      <c r="BA56" s="1599"/>
      <c r="BB56" s="1546">
        <f>Portada!BD53</f>
        <v>0</v>
      </c>
      <c r="BC56" s="1547"/>
      <c r="BD56" s="1547"/>
      <c r="BE56" s="1548"/>
      <c r="BF56" s="1529">
        <f>Portada!BI53</f>
        <v>0</v>
      </c>
      <c r="BG56" s="1529"/>
      <c r="BH56" s="1529"/>
      <c r="BI56" s="1526"/>
      <c r="BJ56" s="1526">
        <f>Portada!BO53</f>
        <v>0</v>
      </c>
      <c r="BK56" s="1527"/>
      <c r="BL56" s="1527"/>
      <c r="BM56" s="1527"/>
      <c r="BN56" s="1527"/>
      <c r="BO56" s="1528"/>
      <c r="BP56" s="1526">
        <f>Portada!BV53</f>
        <v>0</v>
      </c>
      <c r="BQ56" s="1527"/>
      <c r="BR56" s="1527"/>
      <c r="BS56" s="1527"/>
      <c r="BT56" s="1527"/>
      <c r="BU56" s="1527"/>
      <c r="BV56" s="1912"/>
      <c r="BW56" s="443"/>
      <c r="CC56" s="443">
        <f>Portada!BY53</f>
        <v>0</v>
      </c>
      <c r="CD56" s="443" t="b">
        <f>Portada!BZ53</f>
        <v>0</v>
      </c>
      <c r="CE56" s="443" t="b">
        <f>Portada!CA53</f>
        <v>0</v>
      </c>
      <c r="CF56" s="443" t="str">
        <f>Portada!CB53</f>
        <v xml:space="preserve"> -</v>
      </c>
      <c r="CG56" s="443">
        <f>Portada!CC53</f>
        <v>0</v>
      </c>
      <c r="CH56" s="443">
        <f>Portada!CD53</f>
        <v>0</v>
      </c>
      <c r="CI56" s="443" t="e">
        <f ca="1">Portada!CE53</f>
        <v>#N/A</v>
      </c>
      <c r="CJ56" s="443" t="str">
        <f>Portada!CF53</f>
        <v>Las Condes</v>
      </c>
      <c r="CK56" s="443" t="str">
        <f>Portada!CG53</f>
        <v>Las Condes</v>
      </c>
      <c r="CL56" s="443">
        <f>Portada!CH53</f>
        <v>0</v>
      </c>
      <c r="CM56" s="443">
        <f>Portada!CI53</f>
        <v>0</v>
      </c>
      <c r="CN56" s="443">
        <f>Portada!CJ53</f>
        <v>0</v>
      </c>
    </row>
    <row r="57" spans="1:92" ht="15" customHeight="1" x14ac:dyDescent="0.2">
      <c r="A57" s="1752"/>
      <c r="C57" s="1836">
        <f>Portada!B54</f>
        <v>0</v>
      </c>
      <c r="D57" s="1680"/>
      <c r="E57" s="1680"/>
      <c r="F57" s="1681"/>
      <c r="G57" s="655" t="str">
        <f>Portada!F54</f>
        <v/>
      </c>
      <c r="H57" s="1698">
        <f>Portada!G54</f>
        <v>0</v>
      </c>
      <c r="I57" s="1699"/>
      <c r="J57" s="1699"/>
      <c r="K57" s="1699"/>
      <c r="L57" s="1699"/>
      <c r="M57" s="1699"/>
      <c r="N57" s="1699"/>
      <c r="O57" s="1700"/>
      <c r="P57" s="1622">
        <f>Portada!O54</f>
        <v>0</v>
      </c>
      <c r="Q57" s="1623"/>
      <c r="R57" s="1623"/>
      <c r="S57" s="1623"/>
      <c r="T57" s="1624"/>
      <c r="U57" s="1627">
        <f>Portada!T54</f>
        <v>0</v>
      </c>
      <c r="V57" s="1628"/>
      <c r="W57" s="1627">
        <f>Portada!V54</f>
        <v>0</v>
      </c>
      <c r="X57" s="1682"/>
      <c r="Y57" s="1628"/>
      <c r="Z57" s="1679">
        <f>Portada!Y54</f>
        <v>0</v>
      </c>
      <c r="AA57" s="1680"/>
      <c r="AB57" s="1680"/>
      <c r="AC57" s="1680"/>
      <c r="AD57" s="1680"/>
      <c r="AE57" s="1681"/>
      <c r="AF57" s="1627">
        <f>Portada!AE54</f>
        <v>0</v>
      </c>
      <c r="AG57" s="1628"/>
      <c r="AH57" s="1627">
        <f>Portada!AG54</f>
        <v>0</v>
      </c>
      <c r="AI57" s="1682"/>
      <c r="AJ57" s="1628"/>
      <c r="AK57" s="1606">
        <f>Portada!AJ54</f>
        <v>0</v>
      </c>
      <c r="AL57" s="1607"/>
      <c r="AM57" s="1607"/>
      <c r="AN57" s="1608"/>
      <c r="AO57" s="1689">
        <f>Portada!AN54</f>
        <v>0</v>
      </c>
      <c r="AP57" s="1690"/>
      <c r="AQ57" s="1690"/>
      <c r="AR57" s="1690"/>
      <c r="AS57" s="1690"/>
      <c r="AT57" s="1691"/>
      <c r="AU57" s="1597">
        <f>Portada!AT54</f>
        <v>0</v>
      </c>
      <c r="AV57" s="1598"/>
      <c r="AW57" s="1598"/>
      <c r="AX57" s="1599"/>
      <c r="AY57" s="1597">
        <f>Portada!AX54</f>
        <v>0</v>
      </c>
      <c r="AZ57" s="1598"/>
      <c r="BA57" s="1599"/>
      <c r="BB57" s="1546">
        <f>Portada!BD54</f>
        <v>0</v>
      </c>
      <c r="BC57" s="1547"/>
      <c r="BD57" s="1547"/>
      <c r="BE57" s="1548"/>
      <c r="BF57" s="1529">
        <f>Portada!BI54</f>
        <v>0</v>
      </c>
      <c r="BG57" s="1529"/>
      <c r="BH57" s="1529"/>
      <c r="BI57" s="1526"/>
      <c r="BJ57" s="1526">
        <f>Portada!BO54</f>
        <v>0</v>
      </c>
      <c r="BK57" s="1527"/>
      <c r="BL57" s="1527"/>
      <c r="BM57" s="1527"/>
      <c r="BN57" s="1527"/>
      <c r="BO57" s="1528"/>
      <c r="BP57" s="1526">
        <f>Portada!BV54</f>
        <v>0</v>
      </c>
      <c r="BQ57" s="1527"/>
      <c r="BR57" s="1527"/>
      <c r="BS57" s="1527"/>
      <c r="BT57" s="1527"/>
      <c r="BU57" s="1527"/>
      <c r="BV57" s="1912"/>
      <c r="BW57" s="443"/>
      <c r="CC57" s="443">
        <f>Portada!BY54</f>
        <v>0</v>
      </c>
      <c r="CD57" s="443" t="b">
        <f>Portada!BZ54</f>
        <v>0</v>
      </c>
      <c r="CE57" s="443" t="b">
        <f>Portada!CA54</f>
        <v>0</v>
      </c>
      <c r="CF57" s="443" t="str">
        <f>Portada!CB54</f>
        <v xml:space="preserve"> -</v>
      </c>
      <c r="CG57" s="443">
        <f>Portada!CC54</f>
        <v>0</v>
      </c>
      <c r="CH57" s="443">
        <f>Portada!CD54</f>
        <v>0</v>
      </c>
      <c r="CI57" s="443">
        <f>Portada!CE54</f>
        <v>0</v>
      </c>
      <c r="CJ57" s="443">
        <f>Portada!CF54</f>
        <v>0</v>
      </c>
      <c r="CK57" s="443">
        <f>Portada!CG54</f>
        <v>0</v>
      </c>
      <c r="CL57" s="443">
        <f>Portada!CH54</f>
        <v>0</v>
      </c>
      <c r="CM57" s="443">
        <f>Portada!CI54</f>
        <v>0</v>
      </c>
      <c r="CN57" s="443">
        <f>Portada!CJ54</f>
        <v>0</v>
      </c>
    </row>
    <row r="58" spans="1:92" ht="15" customHeight="1" x14ac:dyDescent="0.2">
      <c r="A58" s="1752"/>
      <c r="C58" s="1836">
        <f>Portada!B55</f>
        <v>0</v>
      </c>
      <c r="D58" s="1680"/>
      <c r="E58" s="1680"/>
      <c r="F58" s="1681"/>
      <c r="G58" s="655" t="str">
        <f>Portada!F55</f>
        <v/>
      </c>
      <c r="H58" s="1698">
        <f>Portada!G55</f>
        <v>0</v>
      </c>
      <c r="I58" s="1699"/>
      <c r="J58" s="1699"/>
      <c r="K58" s="1699"/>
      <c r="L58" s="1699"/>
      <c r="M58" s="1699"/>
      <c r="N58" s="1699"/>
      <c r="O58" s="1700"/>
      <c r="P58" s="1622">
        <f>Portada!O55</f>
        <v>0</v>
      </c>
      <c r="Q58" s="1623"/>
      <c r="R58" s="1623"/>
      <c r="S58" s="1623"/>
      <c r="T58" s="1624"/>
      <c r="U58" s="1627">
        <f>Portada!T55</f>
        <v>0</v>
      </c>
      <c r="V58" s="1628"/>
      <c r="W58" s="1627">
        <f>Portada!V55</f>
        <v>0</v>
      </c>
      <c r="X58" s="1682"/>
      <c r="Y58" s="1628"/>
      <c r="Z58" s="1679">
        <f>Portada!Y55</f>
        <v>0</v>
      </c>
      <c r="AA58" s="1680"/>
      <c r="AB58" s="1680"/>
      <c r="AC58" s="1680"/>
      <c r="AD58" s="1680"/>
      <c r="AE58" s="1681"/>
      <c r="AF58" s="1627">
        <f>Portada!AE55</f>
        <v>0</v>
      </c>
      <c r="AG58" s="1628"/>
      <c r="AH58" s="1627">
        <f>Portada!AG55</f>
        <v>0</v>
      </c>
      <c r="AI58" s="1682"/>
      <c r="AJ58" s="1628"/>
      <c r="AK58" s="1606">
        <f>Portada!AJ55</f>
        <v>0</v>
      </c>
      <c r="AL58" s="1607"/>
      <c r="AM58" s="1607"/>
      <c r="AN58" s="1608"/>
      <c r="AO58" s="1689">
        <f>Portada!AN55</f>
        <v>0</v>
      </c>
      <c r="AP58" s="1690"/>
      <c r="AQ58" s="1690"/>
      <c r="AR58" s="1690"/>
      <c r="AS58" s="1690"/>
      <c r="AT58" s="1691"/>
      <c r="AU58" s="1597">
        <f>Portada!AT55</f>
        <v>0</v>
      </c>
      <c r="AV58" s="1598"/>
      <c r="AW58" s="1598"/>
      <c r="AX58" s="1599"/>
      <c r="AY58" s="1597">
        <f>Portada!AX55</f>
        <v>0</v>
      </c>
      <c r="AZ58" s="1598"/>
      <c r="BA58" s="1599"/>
      <c r="BB58" s="1546">
        <f>Portada!BD55</f>
        <v>0</v>
      </c>
      <c r="BC58" s="1547"/>
      <c r="BD58" s="1547"/>
      <c r="BE58" s="1548"/>
      <c r="BF58" s="1529">
        <f>Portada!BI55</f>
        <v>0</v>
      </c>
      <c r="BG58" s="1529"/>
      <c r="BH58" s="1529"/>
      <c r="BI58" s="1526"/>
      <c r="BJ58" s="1526">
        <f>Portada!BO55</f>
        <v>0</v>
      </c>
      <c r="BK58" s="1527"/>
      <c r="BL58" s="1527"/>
      <c r="BM58" s="1527"/>
      <c r="BN58" s="1527"/>
      <c r="BO58" s="1528"/>
      <c r="BP58" s="1526">
        <f>Portada!BV55</f>
        <v>0</v>
      </c>
      <c r="BQ58" s="1527"/>
      <c r="BR58" s="1527"/>
      <c r="BS58" s="1527"/>
      <c r="BT58" s="1527"/>
      <c r="BU58" s="1527"/>
      <c r="BV58" s="1912"/>
      <c r="BW58" s="453"/>
      <c r="CC58" s="443">
        <f>Portada!BY55</f>
        <v>0</v>
      </c>
      <c r="CD58" s="443" t="b">
        <f>Portada!BZ55</f>
        <v>0</v>
      </c>
      <c r="CE58" s="443" t="b">
        <f>Portada!CA55</f>
        <v>0</v>
      </c>
      <c r="CF58" s="443" t="str">
        <f>Portada!CB55</f>
        <v xml:space="preserve"> -</v>
      </c>
      <c r="CG58" s="443">
        <f>Portada!CC55</f>
        <v>0</v>
      </c>
      <c r="CH58" s="443">
        <f>Portada!CD55</f>
        <v>0</v>
      </c>
      <c r="CI58" s="443">
        <f>Portada!CE55</f>
        <v>0</v>
      </c>
      <c r="CJ58" s="443">
        <f>Portada!CF55</f>
        <v>0</v>
      </c>
      <c r="CK58" s="443">
        <f>Portada!CG55</f>
        <v>0</v>
      </c>
      <c r="CL58" s="443">
        <f>Portada!CH55</f>
        <v>0</v>
      </c>
      <c r="CM58" s="443">
        <f>Portada!CI55</f>
        <v>0</v>
      </c>
      <c r="CN58" s="443">
        <f>Portada!CJ55</f>
        <v>0</v>
      </c>
    </row>
    <row r="59" spans="1:92" ht="15" customHeight="1" x14ac:dyDescent="0.2">
      <c r="A59" s="1752"/>
      <c r="C59" s="1836">
        <f>Portada!B56</f>
        <v>0</v>
      </c>
      <c r="D59" s="1680"/>
      <c r="E59" s="1680"/>
      <c r="F59" s="1681"/>
      <c r="G59" s="655" t="str">
        <f>Portada!F56</f>
        <v/>
      </c>
      <c r="H59" s="1698">
        <f>Portada!G56</f>
        <v>0</v>
      </c>
      <c r="I59" s="1699"/>
      <c r="J59" s="1699"/>
      <c r="K59" s="1699"/>
      <c r="L59" s="1699"/>
      <c r="M59" s="1699"/>
      <c r="N59" s="1699"/>
      <c r="O59" s="1700"/>
      <c r="P59" s="1622">
        <f>Portada!O56</f>
        <v>0</v>
      </c>
      <c r="Q59" s="1623"/>
      <c r="R59" s="1623"/>
      <c r="S59" s="1623"/>
      <c r="T59" s="1624"/>
      <c r="U59" s="1627">
        <f>Portada!T56</f>
        <v>0</v>
      </c>
      <c r="V59" s="1628"/>
      <c r="W59" s="1627">
        <f>Portada!V56</f>
        <v>0</v>
      </c>
      <c r="X59" s="1682"/>
      <c r="Y59" s="1628"/>
      <c r="Z59" s="1679">
        <f>Portada!Y56</f>
        <v>0</v>
      </c>
      <c r="AA59" s="1680"/>
      <c r="AB59" s="1680"/>
      <c r="AC59" s="1680"/>
      <c r="AD59" s="1680"/>
      <c r="AE59" s="1681"/>
      <c r="AF59" s="1627">
        <f>Portada!AE56</f>
        <v>0</v>
      </c>
      <c r="AG59" s="1628"/>
      <c r="AH59" s="1627">
        <f>Portada!AG56</f>
        <v>0</v>
      </c>
      <c r="AI59" s="1682"/>
      <c r="AJ59" s="1628"/>
      <c r="AK59" s="1606">
        <f>Portada!AJ56</f>
        <v>0</v>
      </c>
      <c r="AL59" s="1607"/>
      <c r="AM59" s="1607"/>
      <c r="AN59" s="1608"/>
      <c r="AO59" s="1689">
        <f>Portada!AN56</f>
        <v>0</v>
      </c>
      <c r="AP59" s="1690"/>
      <c r="AQ59" s="1690"/>
      <c r="AR59" s="1690"/>
      <c r="AS59" s="1690"/>
      <c r="AT59" s="1691"/>
      <c r="AU59" s="1597">
        <f>Portada!AT56</f>
        <v>0</v>
      </c>
      <c r="AV59" s="1598"/>
      <c r="AW59" s="1598"/>
      <c r="AX59" s="1599"/>
      <c r="AY59" s="1597">
        <f>Portada!AX56</f>
        <v>0</v>
      </c>
      <c r="AZ59" s="1598"/>
      <c r="BA59" s="1599"/>
      <c r="BB59" s="1546">
        <f>Portada!BD56</f>
        <v>0</v>
      </c>
      <c r="BC59" s="1547"/>
      <c r="BD59" s="1547"/>
      <c r="BE59" s="1548"/>
      <c r="BF59" s="1529">
        <f>Portada!BI56</f>
        <v>0</v>
      </c>
      <c r="BG59" s="1529"/>
      <c r="BH59" s="1529"/>
      <c r="BI59" s="1526"/>
      <c r="BJ59" s="1526">
        <f>Portada!BO56</f>
        <v>0</v>
      </c>
      <c r="BK59" s="1527"/>
      <c r="BL59" s="1527"/>
      <c r="BM59" s="1527"/>
      <c r="BN59" s="1527"/>
      <c r="BO59" s="1528"/>
      <c r="BP59" s="1526">
        <f>Portada!BV56</f>
        <v>0</v>
      </c>
      <c r="BQ59" s="1527"/>
      <c r="BR59" s="1527"/>
      <c r="BS59" s="1527"/>
      <c r="BT59" s="1527"/>
      <c r="BU59" s="1527"/>
      <c r="BV59" s="1912"/>
      <c r="BW59" s="453"/>
      <c r="CC59" s="443">
        <f>Portada!BY56</f>
        <v>0</v>
      </c>
      <c r="CD59" s="443" t="b">
        <f>Portada!BZ56</f>
        <v>0</v>
      </c>
      <c r="CE59" s="443" t="b">
        <f>Portada!CA56</f>
        <v>0</v>
      </c>
      <c r="CF59" s="443" t="str">
        <f>Portada!CB56</f>
        <v xml:space="preserve"> -</v>
      </c>
      <c r="CG59" s="443">
        <f>Portada!CC56</f>
        <v>0</v>
      </c>
      <c r="CH59" s="443">
        <f>Portada!CD56</f>
        <v>0</v>
      </c>
      <c r="CI59" s="443">
        <f>Portada!CE56</f>
        <v>0</v>
      </c>
      <c r="CJ59" s="443">
        <f>Portada!CF56</f>
        <v>0</v>
      </c>
      <c r="CK59" s="443">
        <f>Portada!CG56</f>
        <v>0</v>
      </c>
      <c r="CL59" s="443">
        <f>Portada!CH56</f>
        <v>0</v>
      </c>
      <c r="CM59" s="443">
        <f>Portada!CI56</f>
        <v>0</v>
      </c>
      <c r="CN59" s="443">
        <f>Portada!CJ56</f>
        <v>0</v>
      </c>
    </row>
    <row r="60" spans="1:92" ht="15" customHeight="1" x14ac:dyDescent="0.2">
      <c r="A60" s="1752"/>
      <c r="C60" s="1836">
        <f>Portada!B57</f>
        <v>0</v>
      </c>
      <c r="D60" s="1680"/>
      <c r="E60" s="1680"/>
      <c r="F60" s="1681"/>
      <c r="G60" s="655" t="str">
        <f>Portada!F57</f>
        <v/>
      </c>
      <c r="H60" s="1698">
        <f>Portada!G57</f>
        <v>0</v>
      </c>
      <c r="I60" s="1699"/>
      <c r="J60" s="1699"/>
      <c r="K60" s="1699"/>
      <c r="L60" s="1699"/>
      <c r="M60" s="1699"/>
      <c r="N60" s="1699"/>
      <c r="O60" s="1700"/>
      <c r="P60" s="1622">
        <f>Portada!O57</f>
        <v>0</v>
      </c>
      <c r="Q60" s="1623"/>
      <c r="R60" s="1623"/>
      <c r="S60" s="1623"/>
      <c r="T60" s="1624"/>
      <c r="U60" s="1627">
        <f>Portada!T57</f>
        <v>0</v>
      </c>
      <c r="V60" s="1628"/>
      <c r="W60" s="1627">
        <f>Portada!V57</f>
        <v>0</v>
      </c>
      <c r="X60" s="1682"/>
      <c r="Y60" s="1628"/>
      <c r="Z60" s="1679">
        <f>Portada!Y57</f>
        <v>0</v>
      </c>
      <c r="AA60" s="1680"/>
      <c r="AB60" s="1680"/>
      <c r="AC60" s="1680"/>
      <c r="AD60" s="1680"/>
      <c r="AE60" s="1681"/>
      <c r="AF60" s="1627">
        <f>Portada!AE57</f>
        <v>0</v>
      </c>
      <c r="AG60" s="1628"/>
      <c r="AH60" s="1627">
        <f>Portada!AG57</f>
        <v>0</v>
      </c>
      <c r="AI60" s="1682"/>
      <c r="AJ60" s="1628"/>
      <c r="AK60" s="1606">
        <f>Portada!AJ57</f>
        <v>0</v>
      </c>
      <c r="AL60" s="1607"/>
      <c r="AM60" s="1607"/>
      <c r="AN60" s="1608"/>
      <c r="AO60" s="1689">
        <f>Portada!AN57</f>
        <v>0</v>
      </c>
      <c r="AP60" s="1690"/>
      <c r="AQ60" s="1690"/>
      <c r="AR60" s="1690"/>
      <c r="AS60" s="1690"/>
      <c r="AT60" s="1691"/>
      <c r="AU60" s="1597">
        <f>Portada!AT57</f>
        <v>0</v>
      </c>
      <c r="AV60" s="1598"/>
      <c r="AW60" s="1598"/>
      <c r="AX60" s="1599"/>
      <c r="AY60" s="1597">
        <f>Portada!AX57</f>
        <v>0</v>
      </c>
      <c r="AZ60" s="1598"/>
      <c r="BA60" s="1599"/>
      <c r="BB60" s="1546">
        <f>Portada!BD57</f>
        <v>0</v>
      </c>
      <c r="BC60" s="1547"/>
      <c r="BD60" s="1547"/>
      <c r="BE60" s="1548"/>
      <c r="BF60" s="1529">
        <f>Portada!BI57</f>
        <v>0</v>
      </c>
      <c r="BG60" s="1529"/>
      <c r="BH60" s="1529"/>
      <c r="BI60" s="1526"/>
      <c r="BJ60" s="1526">
        <f>Portada!BO57</f>
        <v>0</v>
      </c>
      <c r="BK60" s="1527"/>
      <c r="BL60" s="1527"/>
      <c r="BM60" s="1527"/>
      <c r="BN60" s="1527"/>
      <c r="BO60" s="1528"/>
      <c r="BP60" s="1526">
        <f>Portada!BV57</f>
        <v>0</v>
      </c>
      <c r="BQ60" s="1527"/>
      <c r="BR60" s="1527"/>
      <c r="BS60" s="1527"/>
      <c r="BT60" s="1527"/>
      <c r="BU60" s="1527"/>
      <c r="BV60" s="1912"/>
      <c r="BW60" s="453"/>
      <c r="CC60" s="443">
        <f>Portada!BY57</f>
        <v>0</v>
      </c>
      <c r="CD60" s="443" t="b">
        <f>Portada!BZ57</f>
        <v>0</v>
      </c>
      <c r="CE60" s="443" t="b">
        <f>Portada!CA57</f>
        <v>0</v>
      </c>
      <c r="CF60" s="443" t="str">
        <f>Portada!CB57</f>
        <v xml:space="preserve"> -</v>
      </c>
      <c r="CG60" s="443">
        <f>Portada!CC57</f>
        <v>0</v>
      </c>
      <c r="CH60" s="443">
        <f>Portada!CD57</f>
        <v>0</v>
      </c>
      <c r="CI60" s="443">
        <f>Portada!CE57</f>
        <v>0</v>
      </c>
      <c r="CJ60" s="443">
        <f>Portada!CF57</f>
        <v>0</v>
      </c>
      <c r="CK60" s="443">
        <f>Portada!CG57</f>
        <v>0</v>
      </c>
      <c r="CL60" s="443">
        <f>Portada!CH57</f>
        <v>0</v>
      </c>
      <c r="CM60" s="443">
        <f>Portada!CI57</f>
        <v>0</v>
      </c>
      <c r="CN60" s="443">
        <f>Portada!CJ57</f>
        <v>0</v>
      </c>
    </row>
    <row r="61" spans="1:92" ht="15" customHeight="1" x14ac:dyDescent="0.2">
      <c r="A61" s="1752"/>
      <c r="B61" s="542"/>
      <c r="C61" s="1836">
        <f>Portada!B58</f>
        <v>0</v>
      </c>
      <c r="D61" s="1680"/>
      <c r="E61" s="1680"/>
      <c r="F61" s="1681"/>
      <c r="G61" s="655" t="str">
        <f>Portada!F58</f>
        <v/>
      </c>
      <c r="H61" s="1698">
        <f>Portada!G58</f>
        <v>0</v>
      </c>
      <c r="I61" s="1699"/>
      <c r="J61" s="1699"/>
      <c r="K61" s="1699"/>
      <c r="L61" s="1699"/>
      <c r="M61" s="1699"/>
      <c r="N61" s="1699"/>
      <c r="O61" s="1700"/>
      <c r="P61" s="1622">
        <f>Portada!O58</f>
        <v>0</v>
      </c>
      <c r="Q61" s="1623"/>
      <c r="R61" s="1623"/>
      <c r="S61" s="1623"/>
      <c r="T61" s="1624"/>
      <c r="U61" s="1627">
        <f>Portada!T58</f>
        <v>0</v>
      </c>
      <c r="V61" s="1628"/>
      <c r="W61" s="1627">
        <f>Portada!V58</f>
        <v>0</v>
      </c>
      <c r="X61" s="1682"/>
      <c r="Y61" s="1628"/>
      <c r="Z61" s="1679">
        <f>Portada!Y58</f>
        <v>0</v>
      </c>
      <c r="AA61" s="1680"/>
      <c r="AB61" s="1680"/>
      <c r="AC61" s="1680"/>
      <c r="AD61" s="1680"/>
      <c r="AE61" s="1681"/>
      <c r="AF61" s="1627">
        <f>Portada!AE58</f>
        <v>0</v>
      </c>
      <c r="AG61" s="1628"/>
      <c r="AH61" s="1627">
        <f>Portada!AG58</f>
        <v>0</v>
      </c>
      <c r="AI61" s="1682"/>
      <c r="AJ61" s="1628"/>
      <c r="AK61" s="1606">
        <f>Portada!AJ58</f>
        <v>0</v>
      </c>
      <c r="AL61" s="1607"/>
      <c r="AM61" s="1607"/>
      <c r="AN61" s="1608"/>
      <c r="AO61" s="1689">
        <f>Portada!AN58</f>
        <v>0</v>
      </c>
      <c r="AP61" s="1690"/>
      <c r="AQ61" s="1690"/>
      <c r="AR61" s="1690"/>
      <c r="AS61" s="1690"/>
      <c r="AT61" s="1691"/>
      <c r="AU61" s="1597">
        <f>Portada!AT58</f>
        <v>0</v>
      </c>
      <c r="AV61" s="1598"/>
      <c r="AW61" s="1598"/>
      <c r="AX61" s="1599"/>
      <c r="AY61" s="1597">
        <f>Portada!AX58</f>
        <v>0</v>
      </c>
      <c r="AZ61" s="1598"/>
      <c r="BA61" s="1599"/>
      <c r="BB61" s="1546">
        <f>Portada!BD58</f>
        <v>0</v>
      </c>
      <c r="BC61" s="1547"/>
      <c r="BD61" s="1547"/>
      <c r="BE61" s="1548"/>
      <c r="BF61" s="1529">
        <f>Portada!BI58</f>
        <v>0</v>
      </c>
      <c r="BG61" s="1529"/>
      <c r="BH61" s="1529"/>
      <c r="BI61" s="1526"/>
      <c r="BJ61" s="1526">
        <f>Portada!BO58</f>
        <v>0</v>
      </c>
      <c r="BK61" s="1527"/>
      <c r="BL61" s="1527"/>
      <c r="BM61" s="1527"/>
      <c r="BN61" s="1527"/>
      <c r="BO61" s="1528"/>
      <c r="BP61" s="1526">
        <f>Portada!BV58</f>
        <v>0</v>
      </c>
      <c r="BQ61" s="1527"/>
      <c r="BR61" s="1527"/>
      <c r="BS61" s="1527"/>
      <c r="BT61" s="1527"/>
      <c r="BU61" s="1527"/>
      <c r="BV61" s="1527"/>
      <c r="BW61" s="453"/>
      <c r="CC61" s="443">
        <f>Portada!BY58</f>
        <v>0</v>
      </c>
      <c r="CD61" s="443" t="b">
        <f>Portada!BZ58</f>
        <v>0</v>
      </c>
      <c r="CE61" s="443" t="b">
        <f>Portada!CA58</f>
        <v>0</v>
      </c>
      <c r="CF61" s="443" t="str">
        <f>Portada!CB58</f>
        <v xml:space="preserve"> -</v>
      </c>
      <c r="CG61" s="443">
        <f>Portada!CC58</f>
        <v>0</v>
      </c>
      <c r="CH61" s="443">
        <f>Portada!CD58</f>
        <v>0</v>
      </c>
      <c r="CI61" s="443">
        <f>Portada!CE58</f>
        <v>0</v>
      </c>
      <c r="CJ61" s="443">
        <f>Portada!CF58</f>
        <v>0</v>
      </c>
      <c r="CK61" s="443">
        <f>Portada!CG58</f>
        <v>0</v>
      </c>
      <c r="CL61" s="443">
        <f>Portada!CH58</f>
        <v>0</v>
      </c>
      <c r="CM61" s="443">
        <f>Portada!CI58</f>
        <v>0</v>
      </c>
      <c r="CN61" s="443">
        <f>Portada!CJ58</f>
        <v>0</v>
      </c>
    </row>
    <row r="62" spans="1:92" ht="15" customHeight="1" x14ac:dyDescent="0.2">
      <c r="A62" s="1752"/>
      <c r="B62" s="542"/>
      <c r="C62" s="656" t="s">
        <v>636</v>
      </c>
      <c r="D62" s="657"/>
      <c r="E62" s="657"/>
      <c r="F62" s="657"/>
      <c r="G62" s="657"/>
      <c r="H62" s="657"/>
      <c r="I62" s="657"/>
      <c r="J62" s="488"/>
      <c r="K62" s="488"/>
      <c r="L62" s="488"/>
      <c r="M62" s="488"/>
      <c r="N62" s="488"/>
      <c r="O62" s="492"/>
      <c r="P62" s="1837"/>
      <c r="Q62" s="1746"/>
      <c r="R62" s="1746"/>
      <c r="S62" s="1746"/>
      <c r="T62" s="1747"/>
      <c r="U62" s="1625">
        <f>Portada!T59</f>
        <v>0</v>
      </c>
      <c r="V62" s="1626"/>
      <c r="W62" s="657"/>
      <c r="X62" s="657"/>
      <c r="Y62" s="657"/>
      <c r="Z62" s="657"/>
      <c r="AA62" s="657"/>
      <c r="AB62" s="657"/>
      <c r="AC62" s="657"/>
      <c r="AD62" s="806"/>
      <c r="AE62" s="809"/>
      <c r="AF62" s="810"/>
      <c r="AG62" s="488"/>
      <c r="AH62" s="1596">
        <f>IF(EXACT(Portada!AG59,0),"0",+Portada!AG59)</f>
        <v>1</v>
      </c>
      <c r="AI62" s="1596"/>
      <c r="AJ62" s="1596"/>
      <c r="AK62" s="1596"/>
      <c r="AL62" s="1596"/>
      <c r="AM62" s="1596"/>
      <c r="AN62" s="492"/>
      <c r="AO62" s="1853">
        <f>Portada!AN59</f>
        <v>41</v>
      </c>
      <c r="AP62" s="1854"/>
      <c r="AQ62" s="1854"/>
      <c r="AR62" s="1854"/>
      <c r="AS62" s="1854"/>
      <c r="AT62" s="1855"/>
      <c r="AU62" s="1803">
        <f ca="1">Portada!AT59</f>
        <v>34</v>
      </c>
      <c r="AV62" s="1796"/>
      <c r="AW62" s="1796"/>
      <c r="AX62" s="1804"/>
      <c r="AY62" s="1799">
        <f ca="1">Portada!AX59</f>
        <v>1</v>
      </c>
      <c r="AZ62" s="1800"/>
      <c r="BA62" s="1801"/>
      <c r="BB62" s="1799">
        <f>Portada!BD59</f>
        <v>34</v>
      </c>
      <c r="BC62" s="1800"/>
      <c r="BD62" s="1800"/>
      <c r="BE62" s="1801"/>
      <c r="BF62" s="1522" t="str">
        <f>Portada!BH59</f>
        <v>UF</v>
      </c>
      <c r="BG62" s="1522"/>
      <c r="BH62" s="1523">
        <f>Portada!BI59</f>
        <v>1394</v>
      </c>
      <c r="BI62" s="1523"/>
      <c r="BJ62" s="1941">
        <f ca="1">Portada!BO59</f>
        <v>1394</v>
      </c>
      <c r="BK62" s="1896"/>
      <c r="BL62" s="1896"/>
      <c r="BM62" s="1896"/>
      <c r="BN62" s="1896"/>
      <c r="BO62" s="1942"/>
      <c r="BP62" s="1941">
        <f ca="1">Portada!BV59</f>
        <v>1150.05</v>
      </c>
      <c r="BQ62" s="1896"/>
      <c r="BR62" s="1896"/>
      <c r="BS62" s="1896"/>
      <c r="BT62" s="1896"/>
      <c r="BU62" s="1896"/>
      <c r="BV62" s="1897"/>
      <c r="BW62" s="443"/>
    </row>
    <row r="63" spans="1:92" ht="15" customHeight="1" x14ac:dyDescent="0.2">
      <c r="A63" s="1752"/>
      <c r="B63" s="542"/>
      <c r="C63" s="656" t="s">
        <v>639</v>
      </c>
      <c r="D63" s="657"/>
      <c r="E63" s="657"/>
      <c r="F63" s="657"/>
      <c r="G63" s="657"/>
      <c r="H63" s="657"/>
      <c r="I63" s="657"/>
      <c r="J63" s="657"/>
      <c r="K63" s="657"/>
      <c r="L63" s="657"/>
      <c r="M63" s="657"/>
      <c r="N63" s="657"/>
      <c r="O63" s="658"/>
      <c r="P63" s="658"/>
      <c r="Q63" s="658"/>
      <c r="R63" s="658"/>
      <c r="S63" s="658"/>
      <c r="T63" s="658"/>
      <c r="U63" s="658"/>
      <c r="V63" s="467"/>
      <c r="W63" s="467"/>
      <c r="X63" s="467"/>
      <c r="Y63" s="467"/>
      <c r="Z63" s="467"/>
      <c r="AA63" s="467"/>
      <c r="AC63" s="488"/>
      <c r="AD63" s="488"/>
      <c r="AE63" s="488"/>
      <c r="AF63" s="488"/>
      <c r="AG63" s="657"/>
      <c r="AH63" s="1596" t="str">
        <f>IF(EXACT(Portada!AG60,0),"0",+Portada!AG60)</f>
        <v>0</v>
      </c>
      <c r="AI63" s="1596"/>
      <c r="AJ63" s="1596"/>
      <c r="AK63" s="657"/>
      <c r="AL63" s="657"/>
      <c r="AM63" s="657"/>
      <c r="AN63" s="659"/>
      <c r="AO63" s="1853">
        <f>Portada!AN60</f>
        <v>0</v>
      </c>
      <c r="AP63" s="1854"/>
      <c r="AQ63" s="1854"/>
      <c r="AR63" s="1854"/>
      <c r="AS63" s="1854"/>
      <c r="AT63" s="1855"/>
      <c r="AU63" s="1803">
        <f>Portada!AT60</f>
        <v>0</v>
      </c>
      <c r="AV63" s="1796"/>
      <c r="AW63" s="1796"/>
      <c r="AX63" s="1804"/>
      <c r="AY63" s="1521">
        <f>Portada!AX60</f>
        <v>0</v>
      </c>
      <c r="AZ63" s="1521"/>
      <c r="BA63" s="1521"/>
      <c r="BB63" s="1521"/>
      <c r="BC63" s="1521"/>
      <c r="BD63" s="1521"/>
      <c r="BE63" s="1521"/>
      <c r="BF63" s="1522" t="str">
        <f>Portada!BH60</f>
        <v>UF</v>
      </c>
      <c r="BG63" s="1522"/>
      <c r="BH63" s="1524" t="str">
        <f>Portada!BI60</f>
        <v>0,00</v>
      </c>
      <c r="BI63" s="1524"/>
      <c r="BJ63" s="1805" t="str">
        <f ca="1">Portada!BO60</f>
        <v>0,00</v>
      </c>
      <c r="BK63" s="1806"/>
      <c r="BL63" s="1806"/>
      <c r="BM63" s="1806"/>
      <c r="BN63" s="1806"/>
      <c r="BO63" s="1807"/>
      <c r="BP63" s="1805" t="str">
        <f ca="1">Portada!BV60</f>
        <v>0,00</v>
      </c>
      <c r="BQ63" s="1806"/>
      <c r="BR63" s="1806"/>
      <c r="BS63" s="1806"/>
      <c r="BT63" s="1806"/>
      <c r="BU63" s="1806"/>
      <c r="BV63" s="1943"/>
      <c r="BW63" s="443"/>
    </row>
    <row r="64" spans="1:92" ht="15" customHeight="1" x14ac:dyDescent="0.2">
      <c r="A64" s="1752"/>
      <c r="B64" s="542"/>
      <c r="C64" s="656" t="s">
        <v>641</v>
      </c>
      <c r="D64" s="657"/>
      <c r="E64" s="657"/>
      <c r="F64" s="657"/>
      <c r="G64" s="657"/>
      <c r="H64" s="657"/>
      <c r="I64" s="657"/>
      <c r="J64" s="657"/>
      <c r="K64" s="657"/>
      <c r="L64" s="657"/>
      <c r="M64" s="657"/>
      <c r="N64" s="657"/>
      <c r="O64" s="657"/>
      <c r="P64" s="657"/>
      <c r="Q64" s="657"/>
      <c r="R64" s="657"/>
      <c r="S64" s="657"/>
      <c r="T64" s="657"/>
      <c r="U64" s="657"/>
      <c r="V64" s="488"/>
      <c r="W64" s="488"/>
      <c r="X64" s="488"/>
      <c r="Y64" s="488"/>
      <c r="Z64" s="488"/>
      <c r="AA64" s="488"/>
      <c r="AB64" s="488"/>
      <c r="AC64" s="488"/>
      <c r="AD64" s="488"/>
      <c r="AE64" s="488"/>
      <c r="AF64" s="488"/>
      <c r="AH64" s="1596" t="str">
        <f>IF(EXACT(Portada!AG61,0),"0",+Portada!AG61)</f>
        <v>0</v>
      </c>
      <c r="AI64" s="1596"/>
      <c r="AJ64" s="1596"/>
      <c r="AO64" s="1853">
        <f>Portada!AN61</f>
        <v>0</v>
      </c>
      <c r="AP64" s="1854"/>
      <c r="AQ64" s="1854"/>
      <c r="AR64" s="1854"/>
      <c r="AS64" s="1854"/>
      <c r="AT64" s="1855"/>
      <c r="AU64" s="1803">
        <f>Portada!AT61</f>
        <v>0</v>
      </c>
      <c r="AV64" s="1796"/>
      <c r="AW64" s="1796"/>
      <c r="AX64" s="1804"/>
      <c r="AY64" s="1521">
        <f>Portada!AX61</f>
        <v>0</v>
      </c>
      <c r="AZ64" s="1521"/>
      <c r="BA64" s="1521"/>
      <c r="BB64" s="1521">
        <f>Portada!BD61</f>
        <v>0</v>
      </c>
      <c r="BC64" s="1521"/>
      <c r="BD64" s="1521"/>
      <c r="BE64" s="1521"/>
      <c r="BF64" s="1522" t="str">
        <f>Portada!BH61</f>
        <v>UF</v>
      </c>
      <c r="BG64" s="1522"/>
      <c r="BH64" s="1524" t="str">
        <f>Portada!BI61</f>
        <v>0,00</v>
      </c>
      <c r="BI64" s="1524"/>
      <c r="BJ64" s="1805" t="str">
        <f>Portada!BO61</f>
        <v>0,00</v>
      </c>
      <c r="BK64" s="1806"/>
      <c r="BL64" s="1806"/>
      <c r="BM64" s="1806"/>
      <c r="BN64" s="1806"/>
      <c r="BO64" s="1807"/>
      <c r="BP64" s="1805" t="str">
        <f ca="1">Portada!BV61</f>
        <v>0,00</v>
      </c>
      <c r="BQ64" s="1806"/>
      <c r="BR64" s="1806"/>
      <c r="BS64" s="1806"/>
      <c r="BT64" s="1806"/>
      <c r="BU64" s="1806"/>
      <c r="BV64" s="1943"/>
      <c r="BW64" s="443"/>
    </row>
    <row r="65" spans="1:131" ht="15" customHeight="1" thickBot="1" x14ac:dyDescent="0.3">
      <c r="A65" s="1752"/>
      <c r="C65" s="660"/>
      <c r="D65" s="1924" t="s">
        <v>1916</v>
      </c>
      <c r="E65" s="1924"/>
      <c r="F65" s="1924"/>
      <c r="G65" s="1924"/>
      <c r="H65" s="1924"/>
      <c r="I65" s="1924"/>
      <c r="J65" s="1924"/>
      <c r="K65" s="1924"/>
      <c r="L65" s="1924"/>
      <c r="M65" s="1924"/>
      <c r="N65" s="1924"/>
      <c r="O65" s="1924"/>
      <c r="P65" s="1924"/>
      <c r="Q65" s="1924"/>
      <c r="R65" s="1924"/>
      <c r="S65" s="1924"/>
      <c r="T65" s="1924"/>
      <c r="U65" s="1924"/>
      <c r="V65" s="1924"/>
      <c r="W65" s="1924"/>
      <c r="X65" s="1924"/>
      <c r="Y65" s="1924"/>
      <c r="Z65" s="1924"/>
      <c r="AA65" s="1924"/>
      <c r="AB65" s="1924"/>
      <c r="AC65" s="1924"/>
      <c r="AD65" s="1924"/>
      <c r="AE65" s="1924"/>
      <c r="AF65" s="1924"/>
      <c r="AG65" s="1924"/>
      <c r="AH65" s="1924"/>
      <c r="AI65" s="1924"/>
      <c r="AJ65" s="1924"/>
      <c r="AK65" s="1924"/>
      <c r="AL65" s="1924"/>
      <c r="AM65" s="1924"/>
      <c r="AN65" s="1925"/>
      <c r="AO65" s="834" t="s">
        <v>644</v>
      </c>
      <c r="AP65" s="835"/>
      <c r="AQ65" s="835"/>
      <c r="AR65" s="836"/>
      <c r="AS65" s="836"/>
      <c r="AT65" s="835"/>
      <c r="AU65" s="835"/>
      <c r="AV65" s="835"/>
      <c r="AW65" s="837"/>
      <c r="AX65" s="838"/>
      <c r="AY65" s="838"/>
      <c r="AZ65" s="838"/>
      <c r="BA65" s="835"/>
      <c r="BB65" s="839"/>
      <c r="BC65" s="840" t="s">
        <v>462</v>
      </c>
      <c r="BD65" s="835"/>
      <c r="BE65" s="835"/>
      <c r="BF65" s="1811" t="s">
        <v>645</v>
      </c>
      <c r="BG65" s="1811"/>
      <c r="BH65" s="1796">
        <f>Portada!BI62</f>
        <v>1394</v>
      </c>
      <c r="BI65" s="1796"/>
      <c r="BJ65" s="1796">
        <f ca="1">Portada!BO62</f>
        <v>1394</v>
      </c>
      <c r="BK65" s="1796"/>
      <c r="BL65" s="1796"/>
      <c r="BM65" s="1796"/>
      <c r="BN65" s="1796"/>
      <c r="BO65" s="1796"/>
      <c r="BP65" s="1896">
        <f ca="1">Portada!BV62</f>
        <v>1150.05</v>
      </c>
      <c r="BQ65" s="1896"/>
      <c r="BR65" s="1896"/>
      <c r="BS65" s="1896"/>
      <c r="BT65" s="1896"/>
      <c r="BU65" s="1896"/>
      <c r="BV65" s="1897"/>
      <c r="BW65" s="443"/>
    </row>
    <row r="66" spans="1:131" ht="15" customHeight="1" x14ac:dyDescent="0.2">
      <c r="A66" s="1752"/>
      <c r="C66" s="453"/>
      <c r="G66" s="1913"/>
      <c r="H66" s="1914"/>
      <c r="I66" s="1914"/>
      <c r="J66" s="1914"/>
      <c r="K66" s="1914"/>
      <c r="L66" s="1914"/>
      <c r="M66" s="1914"/>
      <c r="N66" s="1914"/>
      <c r="O66" s="1914"/>
      <c r="P66" s="1914"/>
      <c r="Q66" s="1914"/>
      <c r="R66" s="1914"/>
      <c r="S66" s="1914"/>
      <c r="T66" s="1914"/>
      <c r="U66" s="1914"/>
      <c r="V66" s="1914"/>
      <c r="W66" s="1914"/>
      <c r="X66" s="1914"/>
      <c r="Y66" s="1914"/>
      <c r="Z66" s="1914"/>
      <c r="AA66" s="1914"/>
      <c r="AB66" s="1914"/>
      <c r="AC66" s="1914"/>
      <c r="AD66" s="1914"/>
      <c r="AE66" s="1914"/>
      <c r="AF66" s="1914"/>
      <c r="AG66" s="1914"/>
      <c r="AH66" s="1914"/>
      <c r="AI66" s="1914"/>
      <c r="AJ66" s="1914"/>
      <c r="AK66" s="1915"/>
      <c r="AL66" s="448"/>
      <c r="AM66" s="448"/>
      <c r="AO66" s="943" t="str">
        <f>Portada!AN63</f>
        <v>BIENES NO CONSIDERADOS GARANTIA</v>
      </c>
      <c r="AP66" s="944"/>
      <c r="AQ66" s="944"/>
      <c r="AR66" s="944"/>
      <c r="AS66" s="944"/>
      <c r="AT66" s="945"/>
      <c r="AU66" s="945"/>
      <c r="AV66" s="945"/>
      <c r="AW66" s="944"/>
      <c r="AX66" s="944"/>
      <c r="AY66" s="944"/>
      <c r="AZ66" s="944"/>
      <c r="BA66" s="944"/>
      <c r="BB66" s="944"/>
      <c r="BC66" s="946" t="s">
        <v>462</v>
      </c>
      <c r="BD66" s="944"/>
      <c r="BE66" s="944"/>
      <c r="BF66" s="1795" t="s">
        <v>645</v>
      </c>
      <c r="BG66" s="1795"/>
      <c r="BH66" s="1810">
        <f>Portada!BI63</f>
        <v>0</v>
      </c>
      <c r="BI66" s="1810"/>
      <c r="BJ66" s="1810"/>
      <c r="BK66" s="1810"/>
      <c r="BL66" s="1810"/>
      <c r="BM66" s="1810"/>
      <c r="BN66" s="1810"/>
      <c r="BO66" s="947"/>
      <c r="BP66" s="1926"/>
      <c r="BQ66" s="1926"/>
      <c r="BR66" s="1926"/>
      <c r="BS66" s="1926"/>
      <c r="BT66" s="1926"/>
      <c r="BU66" s="1926"/>
      <c r="BV66" s="1927"/>
      <c r="BW66" s="443"/>
    </row>
    <row r="67" spans="1:131" ht="15" customHeight="1" x14ac:dyDescent="0.2">
      <c r="A67" s="1752"/>
      <c r="C67" s="453"/>
      <c r="G67" s="1916"/>
      <c r="H67" s="1917"/>
      <c r="I67" s="1917"/>
      <c r="J67" s="1917"/>
      <c r="K67" s="1917"/>
      <c r="L67" s="1917"/>
      <c r="M67" s="1917"/>
      <c r="N67" s="1917"/>
      <c r="O67" s="1917"/>
      <c r="P67" s="1917"/>
      <c r="Q67" s="1917"/>
      <c r="R67" s="1917"/>
      <c r="S67" s="1917"/>
      <c r="T67" s="1917"/>
      <c r="U67" s="1917"/>
      <c r="V67" s="1917"/>
      <c r="W67" s="1917"/>
      <c r="X67" s="1917"/>
      <c r="Y67" s="1917"/>
      <c r="Z67" s="1917"/>
      <c r="AA67" s="1917"/>
      <c r="AB67" s="1917"/>
      <c r="AC67" s="1917"/>
      <c r="AD67" s="1917"/>
      <c r="AE67" s="1917"/>
      <c r="AF67" s="1917"/>
      <c r="AG67" s="1917"/>
      <c r="AH67" s="1917"/>
      <c r="AI67" s="1917"/>
      <c r="AJ67" s="1917"/>
      <c r="AK67" s="1918"/>
      <c r="AL67" s="448"/>
      <c r="AM67" s="448"/>
      <c r="AO67" s="1808"/>
      <c r="AP67" s="1808"/>
      <c r="AQ67" s="1808"/>
      <c r="AR67" s="1808"/>
      <c r="AS67" s="1808"/>
      <c r="AT67" s="1808"/>
      <c r="AU67" s="1808"/>
      <c r="AV67" s="1808"/>
      <c r="AW67" s="1808"/>
      <c r="AX67" s="1808"/>
      <c r="AY67" s="1808"/>
      <c r="AZ67" s="1808"/>
      <c r="BA67" s="1808"/>
      <c r="BB67" s="1808"/>
      <c r="BC67" s="1808"/>
      <c r="BD67" s="1808"/>
      <c r="BE67" s="1808"/>
      <c r="BF67" s="1808"/>
      <c r="BG67" s="1808"/>
      <c r="BH67" s="1808"/>
      <c r="BI67" s="1808"/>
      <c r="BJ67" s="1808"/>
      <c r="BK67" s="1808"/>
      <c r="BL67" s="1808"/>
      <c r="BM67" s="1808"/>
      <c r="BN67" s="1808"/>
      <c r="BO67" s="1808"/>
      <c r="BP67" s="1808"/>
      <c r="BQ67" s="1808"/>
      <c r="BR67" s="1808"/>
      <c r="BS67" s="1808"/>
      <c r="BT67" s="1808"/>
      <c r="BU67" s="1808"/>
      <c r="BV67" s="1809"/>
      <c r="BW67" s="443"/>
    </row>
    <row r="68" spans="1:131" ht="15" customHeight="1" thickBot="1" x14ac:dyDescent="0.25">
      <c r="A68" s="1752"/>
      <c r="C68" s="453"/>
      <c r="G68" s="1916"/>
      <c r="H68" s="1917"/>
      <c r="I68" s="1917"/>
      <c r="J68" s="1917"/>
      <c r="K68" s="1917"/>
      <c r="L68" s="1917"/>
      <c r="M68" s="1917"/>
      <c r="N68" s="1917"/>
      <c r="O68" s="1917"/>
      <c r="P68" s="1917"/>
      <c r="Q68" s="1917"/>
      <c r="R68" s="1917"/>
      <c r="S68" s="1917"/>
      <c r="T68" s="1917"/>
      <c r="U68" s="1917"/>
      <c r="V68" s="1917"/>
      <c r="W68" s="1917"/>
      <c r="X68" s="1917"/>
      <c r="Y68" s="1917"/>
      <c r="Z68" s="1917"/>
      <c r="AA68" s="1917"/>
      <c r="AB68" s="1917"/>
      <c r="AC68" s="1917"/>
      <c r="AD68" s="1917"/>
      <c r="AE68" s="1917"/>
      <c r="AF68" s="1917"/>
      <c r="AG68" s="1917"/>
      <c r="AH68" s="1917"/>
      <c r="AI68" s="1917"/>
      <c r="AJ68" s="1917"/>
      <c r="AK68" s="1918"/>
      <c r="AL68" s="448"/>
      <c r="AM68" s="448"/>
      <c r="AO68" s="1808"/>
      <c r="AP68" s="1808"/>
      <c r="AQ68" s="1808"/>
      <c r="AR68" s="1808"/>
      <c r="AS68" s="1808"/>
      <c r="AT68" s="1808"/>
      <c r="AU68" s="1808"/>
      <c r="AV68" s="1808"/>
      <c r="AW68" s="1808"/>
      <c r="AX68" s="1808"/>
      <c r="AY68" s="1808"/>
      <c r="AZ68" s="1808"/>
      <c r="BA68" s="1808"/>
      <c r="BB68" s="1808"/>
      <c r="BC68" s="1808"/>
      <c r="BD68" s="1808"/>
      <c r="BE68" s="1808"/>
      <c r="BF68" s="1808"/>
      <c r="BG68" s="1808"/>
      <c r="BH68" s="1808"/>
      <c r="BI68" s="1808"/>
      <c r="BJ68" s="1808"/>
      <c r="BK68" s="1808"/>
      <c r="BL68" s="1808"/>
      <c r="BM68" s="1808"/>
      <c r="BN68" s="1808"/>
      <c r="BO68" s="1808"/>
      <c r="BP68" s="1808"/>
      <c r="BQ68" s="1808"/>
      <c r="BR68" s="1808"/>
      <c r="BS68" s="1808"/>
      <c r="BT68" s="1808"/>
      <c r="BU68" s="1808"/>
      <c r="BV68" s="1809"/>
      <c r="BW68" s="443"/>
    </row>
    <row r="69" spans="1:131" ht="7.5" customHeight="1" x14ac:dyDescent="0.2">
      <c r="A69" s="1752"/>
      <c r="C69" s="453"/>
      <c r="G69" s="1916"/>
      <c r="H69" s="1917"/>
      <c r="I69" s="1917"/>
      <c r="J69" s="1917"/>
      <c r="K69" s="1917"/>
      <c r="L69" s="1917"/>
      <c r="M69" s="1917"/>
      <c r="N69" s="1917"/>
      <c r="O69" s="1917"/>
      <c r="P69" s="1917"/>
      <c r="Q69" s="1917"/>
      <c r="R69" s="1917"/>
      <c r="S69" s="1917"/>
      <c r="T69" s="1917"/>
      <c r="U69" s="1917"/>
      <c r="V69" s="1917"/>
      <c r="W69" s="1917"/>
      <c r="X69" s="1917"/>
      <c r="Y69" s="1917"/>
      <c r="Z69" s="1917"/>
      <c r="AA69" s="1917"/>
      <c r="AB69" s="1917"/>
      <c r="AC69" s="1917"/>
      <c r="AD69" s="1917"/>
      <c r="AE69" s="1917"/>
      <c r="AF69" s="1917"/>
      <c r="AG69" s="1917"/>
      <c r="AH69" s="1917"/>
      <c r="AI69" s="1917"/>
      <c r="AJ69" s="1917"/>
      <c r="AK69" s="1918"/>
      <c r="AL69" s="448"/>
      <c r="AM69" s="448"/>
      <c r="AO69" s="1931" t="s">
        <v>1237</v>
      </c>
      <c r="AP69" s="1932"/>
      <c r="AQ69" s="1932"/>
      <c r="AR69" s="1932"/>
      <c r="AS69" s="1932"/>
      <c r="AT69" s="1932"/>
      <c r="AU69" s="1932"/>
      <c r="AV69" s="1932"/>
      <c r="AW69" s="1932"/>
      <c r="AX69" s="1932"/>
      <c r="AY69" s="1932"/>
      <c r="AZ69" s="1932"/>
      <c r="BA69" s="1932"/>
      <c r="BB69" s="1932"/>
      <c r="BC69" s="1932"/>
      <c r="BD69" s="1932"/>
      <c r="BE69" s="1932"/>
      <c r="BF69" s="1932"/>
      <c r="BG69" s="1932"/>
      <c r="BH69" s="1932"/>
      <c r="BI69" s="1932"/>
      <c r="BJ69" s="1932"/>
      <c r="BK69" s="1932"/>
      <c r="BL69" s="1932"/>
      <c r="BM69" s="1932"/>
      <c r="BN69" s="1932"/>
      <c r="BO69" s="1932"/>
      <c r="BP69" s="1932"/>
      <c r="BQ69" s="1932"/>
      <c r="BR69" s="1932"/>
      <c r="BS69" s="1932"/>
      <c r="BT69" s="1932"/>
      <c r="BU69" s="1932"/>
      <c r="BV69" s="1933"/>
      <c r="BW69" s="443"/>
    </row>
    <row r="70" spans="1:131" ht="15" customHeight="1" thickBot="1" x14ac:dyDescent="0.25">
      <c r="A70" s="1752"/>
      <c r="C70" s="453"/>
      <c r="G70" s="1916"/>
      <c r="H70" s="1917"/>
      <c r="I70" s="1917"/>
      <c r="J70" s="1917"/>
      <c r="K70" s="1917"/>
      <c r="L70" s="1917"/>
      <c r="M70" s="1917"/>
      <c r="N70" s="1917"/>
      <c r="O70" s="1917"/>
      <c r="P70" s="1917"/>
      <c r="Q70" s="1917"/>
      <c r="R70" s="1917"/>
      <c r="S70" s="1917"/>
      <c r="T70" s="1917"/>
      <c r="U70" s="1917"/>
      <c r="V70" s="1917"/>
      <c r="W70" s="1917"/>
      <c r="X70" s="1917"/>
      <c r="Y70" s="1917"/>
      <c r="Z70" s="1917"/>
      <c r="AA70" s="1917"/>
      <c r="AB70" s="1917"/>
      <c r="AC70" s="1917"/>
      <c r="AD70" s="1917"/>
      <c r="AE70" s="1917"/>
      <c r="AF70" s="1917"/>
      <c r="AG70" s="1917"/>
      <c r="AH70" s="1917"/>
      <c r="AI70" s="1917"/>
      <c r="AJ70" s="1917"/>
      <c r="AK70" s="1918"/>
      <c r="AL70" s="448"/>
      <c r="AM70" s="448"/>
      <c r="AO70" s="1934"/>
      <c r="AP70" s="1935"/>
      <c r="AQ70" s="1935"/>
      <c r="AR70" s="1935"/>
      <c r="AS70" s="1935"/>
      <c r="AT70" s="1935"/>
      <c r="AU70" s="1935"/>
      <c r="AV70" s="1935"/>
      <c r="AW70" s="1935"/>
      <c r="AX70" s="1935"/>
      <c r="AY70" s="1935"/>
      <c r="AZ70" s="1935"/>
      <c r="BA70" s="1935"/>
      <c r="BB70" s="1935"/>
      <c r="BC70" s="1935"/>
      <c r="BD70" s="1935"/>
      <c r="BE70" s="1935"/>
      <c r="BF70" s="1935"/>
      <c r="BG70" s="1935"/>
      <c r="BH70" s="1935"/>
      <c r="BI70" s="1935"/>
      <c r="BJ70" s="1935"/>
      <c r="BK70" s="1935"/>
      <c r="BL70" s="1935"/>
      <c r="BM70" s="1935"/>
      <c r="BN70" s="1935"/>
      <c r="BO70" s="1935"/>
      <c r="BP70" s="1935"/>
      <c r="BQ70" s="1935"/>
      <c r="BR70" s="1935"/>
      <c r="BS70" s="1935"/>
      <c r="BT70" s="1935"/>
      <c r="BU70" s="1935"/>
      <c r="BV70" s="1936"/>
      <c r="BW70" s="443"/>
    </row>
    <row r="71" spans="1:131" ht="16.5" thickBot="1" x14ac:dyDescent="0.25">
      <c r="A71" s="1752"/>
      <c r="C71" s="453"/>
      <c r="G71" s="1916"/>
      <c r="H71" s="1917"/>
      <c r="I71" s="1917"/>
      <c r="J71" s="1917"/>
      <c r="K71" s="1917"/>
      <c r="L71" s="1917"/>
      <c r="M71" s="1917"/>
      <c r="N71" s="1917"/>
      <c r="O71" s="1917"/>
      <c r="P71" s="1917"/>
      <c r="Q71" s="1917"/>
      <c r="R71" s="1917"/>
      <c r="S71" s="1917"/>
      <c r="T71" s="1917"/>
      <c r="U71" s="1917"/>
      <c r="V71" s="1917"/>
      <c r="W71" s="1917"/>
      <c r="X71" s="1917"/>
      <c r="Y71" s="1917"/>
      <c r="Z71" s="1917"/>
      <c r="AA71" s="1917"/>
      <c r="AB71" s="1917"/>
      <c r="AC71" s="1917"/>
      <c r="AD71" s="1917"/>
      <c r="AE71" s="1917"/>
      <c r="AF71" s="1917"/>
      <c r="AG71" s="1917"/>
      <c r="AH71" s="1917"/>
      <c r="AI71" s="1917"/>
      <c r="AJ71" s="1917"/>
      <c r="AK71" s="1918"/>
      <c r="AL71" s="448"/>
      <c r="AM71" s="448"/>
      <c r="AO71" s="664"/>
      <c r="AP71" s="664"/>
      <c r="AQ71" s="664"/>
      <c r="AR71" s="664"/>
      <c r="AS71" s="664"/>
      <c r="AT71" s="664"/>
      <c r="AU71" s="664"/>
      <c r="AV71" s="664"/>
      <c r="AW71" s="664"/>
      <c r="AX71" s="664"/>
      <c r="AY71" s="664"/>
      <c r="AZ71" s="664"/>
      <c r="BA71" s="664"/>
      <c r="BB71" s="664"/>
      <c r="BC71" s="664"/>
      <c r="BD71" s="664"/>
      <c r="BE71" s="664"/>
      <c r="BF71" s="664"/>
      <c r="BG71" s="664"/>
      <c r="BH71" s="664"/>
      <c r="BI71" s="664"/>
      <c r="BJ71" s="664"/>
      <c r="BK71" s="664"/>
      <c r="BL71" s="664"/>
      <c r="BM71" s="664"/>
      <c r="BN71" s="664"/>
      <c r="BO71" s="664"/>
      <c r="BP71" s="664"/>
      <c r="BQ71" s="664"/>
      <c r="BR71" s="664"/>
      <c r="BS71" s="664"/>
      <c r="BT71" s="664"/>
      <c r="BU71" s="664"/>
      <c r="BV71" s="665"/>
      <c r="BW71" s="443"/>
    </row>
    <row r="72" spans="1:131" ht="15" customHeight="1" thickTop="1" thickBot="1" x14ac:dyDescent="0.25">
      <c r="A72" s="1752"/>
      <c r="C72" s="453"/>
      <c r="G72" s="1916"/>
      <c r="H72" s="1917"/>
      <c r="I72" s="1917"/>
      <c r="J72" s="1917"/>
      <c r="K72" s="1917"/>
      <c r="L72" s="1917"/>
      <c r="M72" s="1917"/>
      <c r="N72" s="1917"/>
      <c r="O72" s="1917"/>
      <c r="P72" s="1917"/>
      <c r="Q72" s="1917"/>
      <c r="R72" s="1917"/>
      <c r="S72" s="1917"/>
      <c r="T72" s="1917"/>
      <c r="U72" s="1917"/>
      <c r="V72" s="1917"/>
      <c r="W72" s="1917"/>
      <c r="X72" s="1917"/>
      <c r="Y72" s="1917"/>
      <c r="Z72" s="1917"/>
      <c r="AA72" s="1917"/>
      <c r="AB72" s="1917"/>
      <c r="AC72" s="1917"/>
      <c r="AD72" s="1917"/>
      <c r="AE72" s="1917"/>
      <c r="AF72" s="1917"/>
      <c r="AG72" s="1917"/>
      <c r="AH72" s="1917"/>
      <c r="AI72" s="1917"/>
      <c r="AJ72" s="1917"/>
      <c r="AK72" s="1918"/>
      <c r="AL72" s="448"/>
      <c r="AM72" s="448"/>
      <c r="AO72" s="1884" t="s">
        <v>645</v>
      </c>
      <c r="AP72" s="1885"/>
      <c r="AQ72" s="1895">
        <f>Portada!AP69</f>
        <v>1394</v>
      </c>
      <c r="AR72" s="1895"/>
      <c r="AS72" s="1895"/>
      <c r="AT72" s="1895"/>
      <c r="AU72" s="1895"/>
      <c r="AV72" s="1895"/>
      <c r="AW72" s="1895"/>
      <c r="AX72" s="841"/>
      <c r="AY72" s="842" t="s">
        <v>646</v>
      </c>
      <c r="AZ72" s="1945">
        <f>Portada!AY69</f>
        <v>56164915.18</v>
      </c>
      <c r="BA72" s="1945"/>
      <c r="BB72" s="1945"/>
      <c r="BC72" s="1945"/>
      <c r="BD72" s="1945"/>
      <c r="BE72" s="1945"/>
      <c r="BF72" s="1945"/>
      <c r="BG72" s="1945"/>
      <c r="BH72" s="843"/>
      <c r="BI72" s="841" t="s">
        <v>654</v>
      </c>
      <c r="BJ72" s="1946">
        <f>Portada!BI69</f>
        <v>46154</v>
      </c>
      <c r="BK72" s="1946"/>
      <c r="BL72" s="1946"/>
      <c r="BM72" s="1946"/>
      <c r="BN72" s="1946"/>
      <c r="BO72" s="1946"/>
      <c r="BP72" s="1946"/>
      <c r="BQ72" s="1946"/>
      <c r="BR72" s="1946"/>
      <c r="BS72" s="1946"/>
      <c r="BT72" s="1946"/>
      <c r="BU72" s="1946"/>
      <c r="BV72" s="1947"/>
      <c r="BW72" s="443"/>
    </row>
    <row r="73" spans="1:131" ht="15" customHeight="1" thickTop="1" x14ac:dyDescent="0.2">
      <c r="A73" s="1752"/>
      <c r="C73" s="453"/>
      <c r="G73" s="1916"/>
      <c r="H73" s="1917"/>
      <c r="I73" s="1917"/>
      <c r="J73" s="1917"/>
      <c r="K73" s="1917"/>
      <c r="L73" s="1917"/>
      <c r="M73" s="1917"/>
      <c r="N73" s="1917"/>
      <c r="O73" s="1917"/>
      <c r="P73" s="1917"/>
      <c r="Q73" s="1917"/>
      <c r="R73" s="1917"/>
      <c r="S73" s="1917"/>
      <c r="T73" s="1917"/>
      <c r="U73" s="1917"/>
      <c r="V73" s="1917"/>
      <c r="W73" s="1917"/>
      <c r="X73" s="1917"/>
      <c r="Y73" s="1917"/>
      <c r="Z73" s="1917"/>
      <c r="AA73" s="1917"/>
      <c r="AB73" s="1917"/>
      <c r="AC73" s="1917"/>
      <c r="AD73" s="1917"/>
      <c r="AE73" s="1917"/>
      <c r="AF73" s="1917"/>
      <c r="AG73" s="1917"/>
      <c r="AH73" s="1917"/>
      <c r="AI73" s="1917"/>
      <c r="AJ73" s="1917"/>
      <c r="AK73" s="1918"/>
      <c r="AL73" s="448"/>
      <c r="AM73" s="448"/>
      <c r="AO73" s="666"/>
      <c r="AP73" s="844"/>
      <c r="AQ73" s="844"/>
      <c r="AR73" s="844"/>
      <c r="AS73" s="844"/>
      <c r="AT73" s="844"/>
      <c r="AU73" s="844"/>
      <c r="AV73" s="844"/>
      <c r="AW73" s="844"/>
      <c r="AX73" s="844"/>
      <c r="AY73" s="844"/>
      <c r="AZ73" s="844"/>
      <c r="BA73" s="844"/>
      <c r="BB73" s="844"/>
      <c r="BF73" s="845" t="s">
        <v>656</v>
      </c>
      <c r="BG73" s="1940" t="str">
        <f>Portada!BF70</f>
        <v>8 A 10 MESES</v>
      </c>
      <c r="BH73" s="1940"/>
      <c r="BI73" s="1940"/>
      <c r="BJ73" s="1940"/>
      <c r="BK73" s="1940"/>
      <c r="BL73" s="1940"/>
      <c r="BM73" s="1940"/>
      <c r="BN73" s="1940"/>
      <c r="BO73" s="1940"/>
      <c r="BQ73" s="844"/>
      <c r="BR73" s="844"/>
      <c r="BS73" s="844"/>
      <c r="BT73" s="844"/>
      <c r="BU73" s="844"/>
      <c r="BV73" s="846"/>
      <c r="BW73" s="443"/>
    </row>
    <row r="74" spans="1:131" ht="15" customHeight="1" x14ac:dyDescent="0.2">
      <c r="A74" s="1752"/>
      <c r="C74" s="453"/>
      <c r="G74" s="1916"/>
      <c r="H74" s="1917"/>
      <c r="I74" s="1917"/>
      <c r="J74" s="1917"/>
      <c r="K74" s="1917"/>
      <c r="L74" s="1917"/>
      <c r="M74" s="1917"/>
      <c r="N74" s="1917"/>
      <c r="O74" s="1917"/>
      <c r="P74" s="1917"/>
      <c r="Q74" s="1917"/>
      <c r="R74" s="1917"/>
      <c r="S74" s="1917"/>
      <c r="T74" s="1917"/>
      <c r="U74" s="1917"/>
      <c r="V74" s="1917"/>
      <c r="W74" s="1917"/>
      <c r="X74" s="1917"/>
      <c r="Y74" s="1917"/>
      <c r="Z74" s="1917"/>
      <c r="AA74" s="1917"/>
      <c r="AB74" s="1917"/>
      <c r="AC74" s="1917"/>
      <c r="AD74" s="1917"/>
      <c r="AE74" s="1917"/>
      <c r="AF74" s="1917"/>
      <c r="AG74" s="1917"/>
      <c r="AH74" s="1917"/>
      <c r="AI74" s="1917"/>
      <c r="AJ74" s="1917"/>
      <c r="AK74" s="1918"/>
      <c r="AL74" s="448"/>
      <c r="AM74" s="448"/>
      <c r="AO74" s="536" t="s">
        <v>657</v>
      </c>
      <c r="AP74" s="668"/>
      <c r="AQ74" s="811" t="s">
        <v>658</v>
      </c>
      <c r="AR74" s="1894">
        <f>Portada!$AQ$71</f>
        <v>40290.47</v>
      </c>
      <c r="AS74" s="1894"/>
      <c r="AT74" s="1894"/>
      <c r="AU74" s="1894"/>
      <c r="AV74" s="1894"/>
      <c r="AW74" s="670"/>
      <c r="AX74" s="670"/>
      <c r="AY74" s="670"/>
      <c r="AZ74" s="670"/>
      <c r="BA74" s="670"/>
      <c r="BB74" s="670"/>
      <c r="BC74" s="670"/>
      <c r="BD74" s="670"/>
      <c r="BE74" s="670"/>
      <c r="BF74" s="670"/>
      <c r="BG74" s="670"/>
      <c r="BH74" s="670"/>
      <c r="BI74" s="670"/>
      <c r="BJ74" s="670"/>
      <c r="BK74" s="670"/>
      <c r="BL74" s="670"/>
      <c r="BM74" s="670"/>
      <c r="BN74" s="847" t="s">
        <v>659</v>
      </c>
      <c r="BO74" s="811" t="s">
        <v>658</v>
      </c>
      <c r="BP74" s="1894">
        <f>Portada!$BO$71</f>
        <v>894.25</v>
      </c>
      <c r="BQ74" s="1894"/>
      <c r="BR74" s="1894"/>
      <c r="BS74" s="1894"/>
      <c r="BT74" s="1894"/>
      <c r="BU74" s="1894"/>
      <c r="BV74" s="1944"/>
      <c r="BW74" s="443"/>
      <c r="DS74" s="671"/>
      <c r="DT74" s="671"/>
      <c r="DU74" s="671"/>
      <c r="DV74" s="671"/>
      <c r="DW74" s="671"/>
      <c r="DX74" s="671"/>
      <c r="DY74" s="671"/>
      <c r="DZ74" s="671"/>
      <c r="EA74" s="671"/>
    </row>
    <row r="75" spans="1:131" ht="15" customHeight="1" x14ac:dyDescent="0.2">
      <c r="A75" s="1752"/>
      <c r="C75" s="453"/>
      <c r="G75" s="1916"/>
      <c r="H75" s="1917"/>
      <c r="I75" s="1917"/>
      <c r="J75" s="1917"/>
      <c r="K75" s="1917"/>
      <c r="L75" s="1917"/>
      <c r="M75" s="1917"/>
      <c r="N75" s="1917"/>
      <c r="O75" s="1917"/>
      <c r="P75" s="1917"/>
      <c r="Q75" s="1917"/>
      <c r="R75" s="1917"/>
      <c r="S75" s="1917"/>
      <c r="T75" s="1917"/>
      <c r="U75" s="1917"/>
      <c r="V75" s="1917"/>
      <c r="W75" s="1917"/>
      <c r="X75" s="1917"/>
      <c r="Y75" s="1917"/>
      <c r="Z75" s="1917"/>
      <c r="AA75" s="1917"/>
      <c r="AB75" s="1917"/>
      <c r="AC75" s="1917"/>
      <c r="AD75" s="1917"/>
      <c r="AE75" s="1917"/>
      <c r="AF75" s="1917"/>
      <c r="AG75" s="1917"/>
      <c r="AH75" s="1917"/>
      <c r="AI75" s="1917"/>
      <c r="AJ75" s="1917"/>
      <c r="AK75" s="1918"/>
      <c r="AL75" s="448"/>
      <c r="AM75" s="448"/>
      <c r="AO75" s="488" t="s">
        <v>660</v>
      </c>
      <c r="AP75" s="488"/>
      <c r="AQ75" s="488"/>
      <c r="AR75" s="488"/>
      <c r="AS75" s="672"/>
      <c r="AT75" s="488"/>
      <c r="AU75" s="488"/>
      <c r="AV75" s="488"/>
      <c r="AW75" s="488"/>
      <c r="AX75" s="488" t="s">
        <v>462</v>
      </c>
      <c r="AY75" s="1825" t="s">
        <v>661</v>
      </c>
      <c r="AZ75" s="1825"/>
      <c r="BA75" s="1893">
        <f ca="1">Portada!$AZ$72</f>
        <v>50245.381206597711</v>
      </c>
      <c r="BB75" s="1893"/>
      <c r="BC75" s="1893"/>
      <c r="BD75" s="1893"/>
      <c r="BE75" s="1893"/>
      <c r="BF75" s="662" t="s">
        <v>645</v>
      </c>
      <c r="BG75" s="662"/>
      <c r="BH75" s="1615">
        <f ca="1">Portada!$BG$72</f>
        <v>1115.2</v>
      </c>
      <c r="BI75" s="1615"/>
      <c r="BJ75" s="1615"/>
      <c r="BK75" s="1615"/>
      <c r="BL75" s="663" t="s">
        <v>646</v>
      </c>
      <c r="BM75" s="1612">
        <f ca="1">Portada!$BL$72</f>
        <v>44931932.144000001</v>
      </c>
      <c r="BN75" s="1612"/>
      <c r="BO75" s="1612"/>
      <c r="BP75" s="1612"/>
      <c r="BQ75" s="1612"/>
      <c r="BR75" s="1612"/>
      <c r="BS75" s="1612"/>
      <c r="BT75" s="1612"/>
      <c r="BU75" s="1612"/>
      <c r="BV75" s="1613"/>
      <c r="BW75" s="443"/>
      <c r="DS75" s="671"/>
      <c r="DT75" s="671"/>
      <c r="DU75" s="671"/>
      <c r="DV75" s="671"/>
      <c r="DW75" s="671"/>
      <c r="DX75" s="671"/>
      <c r="DY75" s="671"/>
      <c r="DZ75" s="671"/>
      <c r="EA75" s="671"/>
    </row>
    <row r="76" spans="1:131" ht="15" customHeight="1" x14ac:dyDescent="0.2">
      <c r="A76" s="1752"/>
      <c r="C76" s="453"/>
      <c r="G76" s="1916"/>
      <c r="H76" s="1917"/>
      <c r="I76" s="1917"/>
      <c r="J76" s="1917"/>
      <c r="K76" s="1917"/>
      <c r="L76" s="1917"/>
      <c r="M76" s="1917"/>
      <c r="N76" s="1917"/>
      <c r="O76" s="1917"/>
      <c r="P76" s="1917"/>
      <c r="Q76" s="1917"/>
      <c r="R76" s="1917"/>
      <c r="S76" s="1917"/>
      <c r="T76" s="1917"/>
      <c r="U76" s="1917"/>
      <c r="V76" s="1917"/>
      <c r="W76" s="1917"/>
      <c r="X76" s="1917"/>
      <c r="Y76" s="1917"/>
      <c r="Z76" s="1917"/>
      <c r="AA76" s="1917"/>
      <c r="AB76" s="1917"/>
      <c r="AC76" s="1917"/>
      <c r="AD76" s="1917"/>
      <c r="AE76" s="1917"/>
      <c r="AF76" s="1917"/>
      <c r="AG76" s="1917"/>
      <c r="AH76" s="1917"/>
      <c r="AI76" s="1917"/>
      <c r="AJ76" s="1917"/>
      <c r="AK76" s="1918"/>
      <c r="AL76" s="448"/>
      <c r="AM76" s="448"/>
      <c r="AO76" s="673" t="s">
        <v>662</v>
      </c>
      <c r="AP76" s="488"/>
      <c r="AQ76" s="488"/>
      <c r="AR76" s="488"/>
      <c r="AS76" s="488"/>
      <c r="AT76" s="488"/>
      <c r="AU76" s="488"/>
      <c r="AV76" s="488"/>
      <c r="AW76" s="488"/>
      <c r="AX76" s="488" t="s">
        <v>462</v>
      </c>
      <c r="AY76" s="1825" t="s">
        <v>661</v>
      </c>
      <c r="AZ76" s="1825"/>
      <c r="BA76" s="1893">
        <f ca="1">Portada!$AZ$73</f>
        <v>62806.726508247135</v>
      </c>
      <c r="BB76" s="1893"/>
      <c r="BC76" s="1893"/>
      <c r="BD76" s="1893"/>
      <c r="BE76" s="1893"/>
      <c r="BF76" s="662" t="s">
        <v>645</v>
      </c>
      <c r="BG76" s="662"/>
      <c r="BH76" s="1615">
        <f ca="1">Portada!$BG$73</f>
        <v>1394</v>
      </c>
      <c r="BI76" s="1615"/>
      <c r="BJ76" s="1615"/>
      <c r="BK76" s="1615"/>
      <c r="BL76" s="663" t="s">
        <v>646</v>
      </c>
      <c r="BM76" s="1612">
        <f ca="1">Portada!$BL$73</f>
        <v>56164915.18</v>
      </c>
      <c r="BN76" s="1612"/>
      <c r="BO76" s="1612"/>
      <c r="BP76" s="1612"/>
      <c r="BQ76" s="1612"/>
      <c r="BR76" s="1612"/>
      <c r="BS76" s="1612"/>
      <c r="BT76" s="1612"/>
      <c r="BU76" s="1612"/>
      <c r="BV76" s="1613"/>
      <c r="BW76" s="443"/>
      <c r="DS76" s="671"/>
      <c r="DT76" s="671"/>
      <c r="DU76" s="671"/>
      <c r="DV76" s="671"/>
      <c r="DW76" s="671"/>
      <c r="DX76" s="671"/>
      <c r="DY76" s="671"/>
      <c r="DZ76" s="671"/>
      <c r="EA76" s="671"/>
    </row>
    <row r="77" spans="1:131" ht="15" customHeight="1" x14ac:dyDescent="0.2">
      <c r="A77" s="1752"/>
      <c r="C77" s="453"/>
      <c r="G77" s="1916"/>
      <c r="H77" s="1917"/>
      <c r="I77" s="1917"/>
      <c r="J77" s="1917"/>
      <c r="K77" s="1917"/>
      <c r="L77" s="1917"/>
      <c r="M77" s="1917"/>
      <c r="N77" s="1917"/>
      <c r="O77" s="1917"/>
      <c r="P77" s="1917"/>
      <c r="Q77" s="1917"/>
      <c r="R77" s="1917"/>
      <c r="S77" s="1917"/>
      <c r="T77" s="1917"/>
      <c r="U77" s="1917"/>
      <c r="V77" s="1917"/>
      <c r="W77" s="1917"/>
      <c r="X77" s="1917"/>
      <c r="Y77" s="1917"/>
      <c r="Z77" s="1917"/>
      <c r="AA77" s="1917"/>
      <c r="AB77" s="1917"/>
      <c r="AC77" s="1917"/>
      <c r="AD77" s="1917"/>
      <c r="AE77" s="1917"/>
      <c r="AF77" s="1917"/>
      <c r="AG77" s="1917"/>
      <c r="AH77" s="1917"/>
      <c r="AI77" s="1917"/>
      <c r="AJ77" s="1917"/>
      <c r="AK77" s="1918"/>
      <c r="AL77" s="448"/>
      <c r="AM77" s="448"/>
      <c r="AO77" s="673" t="s">
        <v>1906</v>
      </c>
      <c r="AP77" s="488"/>
      <c r="AQ77" s="488"/>
      <c r="AR77" s="488"/>
      <c r="AS77" s="488"/>
      <c r="AT77" s="488"/>
      <c r="AU77" s="488"/>
      <c r="AV77" s="488"/>
      <c r="AW77" s="488"/>
      <c r="AX77" s="488" t="s">
        <v>462</v>
      </c>
      <c r="AY77" s="1825" t="s">
        <v>661</v>
      </c>
      <c r="AZ77" s="1825"/>
      <c r="BA77" s="1893">
        <f>Portada!$AZ$74</f>
        <v>56601.512999720435</v>
      </c>
      <c r="BB77" s="1893"/>
      <c r="BC77" s="1893"/>
      <c r="BD77" s="1893"/>
      <c r="BE77" s="1893"/>
      <c r="BF77" s="662" t="s">
        <v>645</v>
      </c>
      <c r="BG77" s="662"/>
      <c r="BH77" s="1615">
        <f>Portada!$BG$74</f>
        <v>1256.2748213163063</v>
      </c>
      <c r="BI77" s="1615"/>
      <c r="BJ77" s="1615"/>
      <c r="BK77" s="1615"/>
      <c r="BL77" s="663" t="s">
        <v>646</v>
      </c>
      <c r="BM77" s="1612">
        <f>Portada!$BL$74</f>
        <v>50615903</v>
      </c>
      <c r="BN77" s="1612"/>
      <c r="BO77" s="1612"/>
      <c r="BP77" s="1612"/>
      <c r="BQ77" s="1612"/>
      <c r="BR77" s="1612"/>
      <c r="BS77" s="1612"/>
      <c r="BT77" s="1612"/>
      <c r="BU77" s="1612"/>
      <c r="BV77" s="1613"/>
      <c r="BW77" s="443"/>
      <c r="DS77" s="671"/>
      <c r="DT77" s="671"/>
      <c r="DU77" s="671"/>
      <c r="DV77" s="671"/>
      <c r="DW77" s="671"/>
      <c r="DX77" s="671"/>
      <c r="DY77" s="671"/>
      <c r="DZ77" s="671"/>
      <c r="EA77" s="671"/>
    </row>
    <row r="78" spans="1:131" ht="15" customHeight="1" x14ac:dyDescent="0.2">
      <c r="A78" s="1752"/>
      <c r="C78" s="453"/>
      <c r="G78" s="1916"/>
      <c r="H78" s="1917"/>
      <c r="I78" s="1917"/>
      <c r="J78" s="1917"/>
      <c r="K78" s="1917"/>
      <c r="L78" s="1917"/>
      <c r="M78" s="1917"/>
      <c r="N78" s="1917"/>
      <c r="O78" s="1917"/>
      <c r="P78" s="1917"/>
      <c r="Q78" s="1917"/>
      <c r="R78" s="1917"/>
      <c r="S78" s="1917"/>
      <c r="T78" s="1917"/>
      <c r="U78" s="1917"/>
      <c r="V78" s="1917"/>
      <c r="W78" s="1917"/>
      <c r="X78" s="1917"/>
      <c r="Y78" s="1917"/>
      <c r="Z78" s="1917"/>
      <c r="AA78" s="1917"/>
      <c r="AB78" s="1917"/>
      <c r="AC78" s="1917"/>
      <c r="AD78" s="1917"/>
      <c r="AE78" s="1917"/>
      <c r="AF78" s="1917"/>
      <c r="AG78" s="1917"/>
      <c r="AH78" s="1917"/>
      <c r="AI78" s="1917"/>
      <c r="AJ78" s="1917"/>
      <c r="AK78" s="1918"/>
      <c r="AL78" s="448"/>
      <c r="AM78" s="448"/>
      <c r="AO78" s="674" t="s">
        <v>664</v>
      </c>
      <c r="AP78" s="674"/>
      <c r="AQ78" s="674"/>
      <c r="AR78" s="674"/>
      <c r="AS78" s="674"/>
      <c r="AT78" s="675"/>
      <c r="AU78" s="675"/>
      <c r="AV78" s="1892">
        <f>Portada!AU77</f>
        <v>0.64999999999999991</v>
      </c>
      <c r="AW78" s="1892"/>
      <c r="AX78" s="488" t="s">
        <v>462</v>
      </c>
      <c r="AY78" s="1825" t="s">
        <v>661</v>
      </c>
      <c r="AZ78" s="1825"/>
      <c r="BA78" s="1893">
        <f>Portada!AZ77</f>
        <v>40824.372230360634</v>
      </c>
      <c r="BB78" s="1893"/>
      <c r="BC78" s="1893"/>
      <c r="BD78" s="1893"/>
      <c r="BE78" s="1893"/>
      <c r="BF78" s="662" t="str">
        <f>Portada!BE77</f>
        <v>UF</v>
      </c>
      <c r="BG78" s="662"/>
      <c r="BH78" s="1615">
        <f>Portada!BG77</f>
        <v>906.09999999999991</v>
      </c>
      <c r="BI78" s="1615"/>
      <c r="BJ78" s="1615"/>
      <c r="BK78" s="1615"/>
      <c r="BL78" s="663" t="str">
        <f>Portada!BK77</f>
        <v>$</v>
      </c>
      <c r="BM78" s="1612">
        <f>Portada!BL77</f>
        <v>36507194.866999999</v>
      </c>
      <c r="BN78" s="1612"/>
      <c r="BO78" s="1612"/>
      <c r="BP78" s="1612"/>
      <c r="BQ78" s="1612"/>
      <c r="BR78" s="1612"/>
      <c r="BS78" s="1612"/>
      <c r="BT78" s="1612"/>
      <c r="BU78" s="1612"/>
      <c r="BV78" s="1613"/>
      <c r="BW78" s="443"/>
    </row>
    <row r="79" spans="1:131" ht="15" customHeight="1" thickBot="1" x14ac:dyDescent="0.25">
      <c r="A79" s="1752"/>
      <c r="C79" s="453"/>
      <c r="G79" s="1919"/>
      <c r="H79" s="1920"/>
      <c r="I79" s="1920"/>
      <c r="J79" s="1920"/>
      <c r="K79" s="1920"/>
      <c r="L79" s="1920"/>
      <c r="M79" s="1920"/>
      <c r="N79" s="1920"/>
      <c r="O79" s="1920"/>
      <c r="P79" s="1920"/>
      <c r="Q79" s="1920"/>
      <c r="R79" s="1920"/>
      <c r="S79" s="1920"/>
      <c r="T79" s="1920"/>
      <c r="U79" s="1920"/>
      <c r="V79" s="1920"/>
      <c r="W79" s="1920"/>
      <c r="X79" s="1920"/>
      <c r="Y79" s="1920"/>
      <c r="Z79" s="1920"/>
      <c r="AA79" s="1920"/>
      <c r="AB79" s="1920"/>
      <c r="AC79" s="1920"/>
      <c r="AD79" s="1920"/>
      <c r="AE79" s="1920"/>
      <c r="AF79" s="1920"/>
      <c r="AG79" s="1920"/>
      <c r="AH79" s="1920"/>
      <c r="AI79" s="1920"/>
      <c r="AJ79" s="1920"/>
      <c r="AK79" s="1921"/>
      <c r="AL79" s="448"/>
      <c r="AM79" s="448"/>
      <c r="AO79" s="924" t="s">
        <v>1901</v>
      </c>
      <c r="AP79" s="676"/>
      <c r="AQ79" s="676"/>
      <c r="AR79" s="676"/>
      <c r="AS79" s="676"/>
      <c r="AT79" s="676"/>
      <c r="AU79" s="676"/>
      <c r="AV79" s="1798">
        <f>Portada!AU78</f>
        <v>0.82499999999999996</v>
      </c>
      <c r="AW79" s="1798"/>
      <c r="AX79" s="460" t="s">
        <v>462</v>
      </c>
      <c r="AY79" s="1797" t="s">
        <v>661</v>
      </c>
      <c r="AZ79" s="1797"/>
      <c r="BA79" s="1614">
        <f>Portada!AZ78</f>
        <v>51815.549369303888</v>
      </c>
      <c r="BB79" s="1614"/>
      <c r="BC79" s="1614"/>
      <c r="BD79" s="1614"/>
      <c r="BE79" s="1614"/>
      <c r="BF79" s="677" t="str">
        <f>Portada!BE78</f>
        <v>UF</v>
      </c>
      <c r="BG79" s="677"/>
      <c r="BH79" s="1891">
        <f>Portada!BG78</f>
        <v>1150.05</v>
      </c>
      <c r="BI79" s="1891"/>
      <c r="BJ79" s="1891"/>
      <c r="BK79" s="1891"/>
      <c r="BL79" s="678" t="str">
        <f>Portada!BK78</f>
        <v>$</v>
      </c>
      <c r="BM79" s="1793">
        <f>Portada!BL78</f>
        <v>46336055.023500003</v>
      </c>
      <c r="BN79" s="1793"/>
      <c r="BO79" s="1793"/>
      <c r="BP79" s="1793"/>
      <c r="BQ79" s="1793"/>
      <c r="BR79" s="1793"/>
      <c r="BS79" s="1793"/>
      <c r="BT79" s="1793"/>
      <c r="BU79" s="1793"/>
      <c r="BV79" s="1794"/>
      <c r="BW79" s="443"/>
    </row>
    <row r="80" spans="1:131" ht="15" customHeight="1" x14ac:dyDescent="0.2">
      <c r="A80" s="1752"/>
      <c r="C80" s="453"/>
      <c r="D80" s="448" t="s">
        <v>476</v>
      </c>
      <c r="H80" s="443" t="s">
        <v>462</v>
      </c>
      <c r="I80" s="1637" t="str">
        <f>+'FICHA SOLIC'!F10</f>
        <v>Marcela Gómez</v>
      </c>
      <c r="J80" s="1637"/>
      <c r="K80" s="1637"/>
      <c r="L80" s="1637"/>
      <c r="M80" s="1637"/>
      <c r="N80" s="1637"/>
      <c r="O80" s="1637"/>
      <c r="P80" s="1637"/>
      <c r="Q80" s="1637"/>
      <c r="R80" s="1637"/>
      <c r="S80" s="1637"/>
      <c r="T80" s="1637"/>
      <c r="U80" s="1637"/>
      <c r="V80" s="1637"/>
      <c r="W80" s="1637"/>
      <c r="X80" s="1637"/>
      <c r="Y80" s="1637"/>
      <c r="Z80" s="1637"/>
      <c r="AA80" s="1637"/>
      <c r="AB80" s="1637"/>
      <c r="AC80" s="1637"/>
      <c r="AD80" s="1637"/>
      <c r="AE80" s="1637"/>
      <c r="AO80" s="1887" t="s">
        <v>1871</v>
      </c>
      <c r="AP80" s="1887"/>
      <c r="AQ80" s="1887"/>
      <c r="AR80" s="1887"/>
      <c r="AS80" s="1887"/>
      <c r="AT80" s="1887"/>
      <c r="AU80" s="1887"/>
      <c r="AV80" s="1887"/>
      <c r="AW80" s="1887"/>
      <c r="AX80" s="1887"/>
      <c r="AY80" s="1887"/>
      <c r="AZ80" s="1887"/>
      <c r="BA80" s="1887"/>
      <c r="BB80" s="1887"/>
      <c r="BC80" s="1887"/>
      <c r="BD80" s="1887"/>
      <c r="BE80" s="1887"/>
      <c r="BF80" s="1887"/>
      <c r="BG80" s="1887"/>
      <c r="BH80" s="1887"/>
      <c r="BI80" s="1887"/>
      <c r="BJ80" s="1887"/>
      <c r="BK80" s="1887"/>
      <c r="BL80" s="1887"/>
      <c r="BM80" s="1887"/>
      <c r="BN80" s="1887"/>
      <c r="BO80" s="1887"/>
      <c r="BP80" s="1887"/>
      <c r="BQ80" s="1887"/>
      <c r="BR80" s="1887"/>
      <c r="BS80" s="1887"/>
      <c r="BT80" s="1887"/>
      <c r="BU80" s="1887"/>
      <c r="BV80" s="1888"/>
      <c r="BW80" s="443"/>
    </row>
    <row r="81" spans="1:75" ht="15" customHeight="1" x14ac:dyDescent="0.2">
      <c r="A81" s="1752"/>
      <c r="C81" s="453"/>
      <c r="D81" s="448" t="s">
        <v>1864</v>
      </c>
      <c r="H81" s="443" t="s">
        <v>462</v>
      </c>
      <c r="I81" s="1542" t="str">
        <f>IF(Portada!G84="Gloria Pereira C.",CONCATENATE(Portada!G84, " RUT: 15.338.587-4"),Portada!G84)</f>
        <v>Héctor Martínez C.</v>
      </c>
      <c r="J81" s="1542"/>
      <c r="K81" s="1542"/>
      <c r="L81" s="1542"/>
      <c r="M81" s="1542"/>
      <c r="N81" s="1542"/>
      <c r="O81" s="1542"/>
      <c r="P81" s="1542"/>
      <c r="Q81" s="1542"/>
      <c r="R81" s="1542"/>
      <c r="S81" s="1542"/>
      <c r="T81" s="1542"/>
      <c r="U81" s="1542"/>
      <c r="V81" s="1542"/>
      <c r="W81" s="443" t="s">
        <v>669</v>
      </c>
      <c r="AA81" s="443" t="s">
        <v>462</v>
      </c>
      <c r="AB81" s="803"/>
      <c r="AC81" s="803"/>
      <c r="AD81" s="803"/>
      <c r="AE81" s="803"/>
      <c r="AK81" s="679"/>
      <c r="AL81" s="679"/>
      <c r="AM81" s="679"/>
      <c r="AN81" s="679"/>
      <c r="AO81" s="1887"/>
      <c r="AP81" s="1887"/>
      <c r="AQ81" s="1887"/>
      <c r="AR81" s="1887"/>
      <c r="AS81" s="1887"/>
      <c r="AT81" s="1887"/>
      <c r="AU81" s="1887"/>
      <c r="AV81" s="1887"/>
      <c r="AW81" s="1887"/>
      <c r="AX81" s="1887"/>
      <c r="AY81" s="1887"/>
      <c r="AZ81" s="1887"/>
      <c r="BA81" s="1887"/>
      <c r="BB81" s="1887"/>
      <c r="BC81" s="1887"/>
      <c r="BD81" s="1887"/>
      <c r="BE81" s="1887"/>
      <c r="BF81" s="1887"/>
      <c r="BG81" s="1887"/>
      <c r="BH81" s="1887"/>
      <c r="BI81" s="1887"/>
      <c r="BJ81" s="1887"/>
      <c r="BK81" s="1887"/>
      <c r="BL81" s="1887"/>
      <c r="BM81" s="1887"/>
      <c r="BN81" s="1887"/>
      <c r="BO81" s="1887"/>
      <c r="BP81" s="1887"/>
      <c r="BQ81" s="1887"/>
      <c r="BR81" s="1887"/>
      <c r="BS81" s="1887"/>
      <c r="BT81" s="1887"/>
      <c r="BU81" s="1887"/>
      <c r="BV81" s="1888"/>
      <c r="BW81" s="443"/>
    </row>
    <row r="82" spans="1:75" ht="15" customHeight="1" x14ac:dyDescent="0.2">
      <c r="A82" s="1752"/>
      <c r="C82" s="453"/>
      <c r="D82" s="448" t="s">
        <v>670</v>
      </c>
      <c r="H82" s="443" t="s">
        <v>462</v>
      </c>
      <c r="I82" s="1812">
        <f>Portada!G85</f>
        <v>46154</v>
      </c>
      <c r="J82" s="1812"/>
      <c r="K82" s="1812"/>
      <c r="L82" s="1812"/>
      <c r="M82" s="1812"/>
      <c r="N82" s="1812"/>
      <c r="O82" s="1812"/>
      <c r="P82" s="1812"/>
      <c r="Q82" s="1812"/>
      <c r="R82" s="1812"/>
      <c r="S82" s="1812"/>
      <c r="AJ82" s="680"/>
      <c r="AL82" s="564"/>
      <c r="AM82" s="564"/>
      <c r="AN82" s="564"/>
      <c r="AO82" s="1887"/>
      <c r="AP82" s="1887"/>
      <c r="AQ82" s="1887"/>
      <c r="AR82" s="1887"/>
      <c r="AS82" s="1887"/>
      <c r="AT82" s="1887"/>
      <c r="AU82" s="1887"/>
      <c r="AV82" s="1887"/>
      <c r="AW82" s="1887"/>
      <c r="AX82" s="1887"/>
      <c r="AY82" s="1887"/>
      <c r="AZ82" s="1887"/>
      <c r="BA82" s="1887"/>
      <c r="BB82" s="1887"/>
      <c r="BC82" s="1887"/>
      <c r="BD82" s="1887"/>
      <c r="BE82" s="1887"/>
      <c r="BF82" s="1887"/>
      <c r="BG82" s="1887"/>
      <c r="BH82" s="1887"/>
      <c r="BI82" s="1887"/>
      <c r="BJ82" s="1887"/>
      <c r="BK82" s="1887"/>
      <c r="BL82" s="1887"/>
      <c r="BM82" s="1887"/>
      <c r="BN82" s="1887"/>
      <c r="BO82" s="1887"/>
      <c r="BP82" s="1887"/>
      <c r="BQ82" s="1887"/>
      <c r="BR82" s="1887"/>
      <c r="BS82" s="1887"/>
      <c r="BT82" s="1887"/>
      <c r="BU82" s="1887"/>
      <c r="BV82" s="1888"/>
      <c r="BW82" s="443"/>
    </row>
    <row r="83" spans="1:75" ht="15" customHeight="1" x14ac:dyDescent="0.2">
      <c r="A83" s="1752"/>
      <c r="C83" s="453"/>
      <c r="D83" s="448" t="s">
        <v>671</v>
      </c>
      <c r="H83" s="564" t="s">
        <v>462</v>
      </c>
      <c r="I83" s="1886">
        <f>Portada!Y85</f>
        <v>46156</v>
      </c>
      <c r="J83" s="1886"/>
      <c r="K83" s="1886"/>
      <c r="L83" s="1886"/>
      <c r="M83" s="1886"/>
      <c r="N83" s="1886"/>
      <c r="O83" s="1886"/>
      <c r="P83" s="1886"/>
      <c r="Q83" s="1886"/>
      <c r="R83" s="1886"/>
      <c r="S83" s="884"/>
      <c r="T83" s="884"/>
      <c r="U83" s="803"/>
      <c r="V83" s="803"/>
      <c r="W83" s="803"/>
      <c r="X83" s="803"/>
      <c r="Y83" s="803"/>
      <c r="Z83" s="803"/>
      <c r="AA83" s="803"/>
      <c r="AB83" s="803"/>
      <c r="AL83" s="564"/>
      <c r="AM83" s="564"/>
      <c r="AN83" s="564"/>
      <c r="AO83" s="1887"/>
      <c r="AP83" s="1887"/>
      <c r="AQ83" s="1887"/>
      <c r="AR83" s="1887"/>
      <c r="AS83" s="1887"/>
      <c r="AT83" s="1887"/>
      <c r="AU83" s="1887"/>
      <c r="AV83" s="1887"/>
      <c r="AW83" s="1887"/>
      <c r="AX83" s="1887"/>
      <c r="AY83" s="1887"/>
      <c r="AZ83" s="1887"/>
      <c r="BA83" s="1887"/>
      <c r="BB83" s="1887"/>
      <c r="BC83" s="1887"/>
      <c r="BD83" s="1887"/>
      <c r="BE83" s="1887"/>
      <c r="BF83" s="1887"/>
      <c r="BG83" s="1887"/>
      <c r="BH83" s="1887"/>
      <c r="BI83" s="1887"/>
      <c r="BJ83" s="1887"/>
      <c r="BK83" s="1887"/>
      <c r="BL83" s="1887"/>
      <c r="BM83" s="1887"/>
      <c r="BN83" s="1887"/>
      <c r="BO83" s="1887"/>
      <c r="BP83" s="1887"/>
      <c r="BQ83" s="1887"/>
      <c r="BR83" s="1887"/>
      <c r="BS83" s="1887"/>
      <c r="BT83" s="1887"/>
      <c r="BU83" s="1887"/>
      <c r="BV83" s="1888"/>
      <c r="BW83" s="453"/>
    </row>
    <row r="84" spans="1:75" ht="15" customHeight="1" x14ac:dyDescent="0.2">
      <c r="A84" s="1752"/>
      <c r="C84" s="453"/>
      <c r="D84" s="797" t="s">
        <v>666</v>
      </c>
      <c r="E84" s="797"/>
      <c r="F84" s="797"/>
      <c r="G84" s="797"/>
      <c r="I84" s="1542" t="str">
        <f>Portada!AS82</f>
        <v>Agencia Habitacional</v>
      </c>
      <c r="J84" s="1542"/>
      <c r="K84" s="1542"/>
      <c r="L84" s="1542"/>
      <c r="M84" s="1542"/>
      <c r="N84" s="1542"/>
      <c r="O84" s="1542"/>
      <c r="P84" s="1542"/>
      <c r="Q84" s="1542"/>
      <c r="R84" s="1542"/>
      <c r="S84" s="1542"/>
      <c r="T84" s="1542"/>
      <c r="U84" s="1542"/>
      <c r="V84" s="1542"/>
      <c r="W84" s="1542"/>
      <c r="X84" s="1542"/>
      <c r="Y84" s="803"/>
      <c r="Z84" s="803"/>
      <c r="AA84" s="803"/>
      <c r="AB84" s="803"/>
      <c r="AC84" s="803"/>
      <c r="AD84" s="803"/>
      <c r="AE84" s="803"/>
      <c r="AF84" s="797"/>
      <c r="AG84" s="797"/>
      <c r="AH84" s="797"/>
      <c r="AI84" s="797"/>
      <c r="AL84" s="564"/>
      <c r="AM84" s="564"/>
      <c r="AN84" s="564"/>
      <c r="AO84" s="1887"/>
      <c r="AP84" s="1887"/>
      <c r="AQ84" s="1887"/>
      <c r="AR84" s="1887"/>
      <c r="AS84" s="1887"/>
      <c r="AT84" s="1887"/>
      <c r="AU84" s="1887"/>
      <c r="AV84" s="1887"/>
      <c r="AW84" s="1887"/>
      <c r="AX84" s="1887"/>
      <c r="AY84" s="1887"/>
      <c r="AZ84" s="1887"/>
      <c r="BA84" s="1887"/>
      <c r="BB84" s="1887"/>
      <c r="BC84" s="1887"/>
      <c r="BD84" s="1887"/>
      <c r="BE84" s="1887"/>
      <c r="BF84" s="1887"/>
      <c r="BG84" s="1887"/>
      <c r="BH84" s="1887"/>
      <c r="BI84" s="1887"/>
      <c r="BJ84" s="1887"/>
      <c r="BK84" s="1887"/>
      <c r="BL84" s="1887"/>
      <c r="BM84" s="1887"/>
      <c r="BN84" s="1887"/>
      <c r="BO84" s="1887"/>
      <c r="BP84" s="1887"/>
      <c r="BQ84" s="1887"/>
      <c r="BR84" s="1887"/>
      <c r="BS84" s="1887"/>
      <c r="BT84" s="1887"/>
      <c r="BU84" s="1887"/>
      <c r="BV84" s="1888"/>
      <c r="BW84" s="453"/>
    </row>
    <row r="85" spans="1:75" ht="15" customHeight="1" thickBot="1" x14ac:dyDescent="0.25">
      <c r="A85" s="1752"/>
      <c r="C85" s="454"/>
      <c r="D85" s="450" t="s">
        <v>672</v>
      </c>
      <c r="E85" s="475"/>
      <c r="F85" s="475"/>
      <c r="G85" s="475"/>
      <c r="H85" s="475"/>
      <c r="I85" s="475"/>
      <c r="J85" s="475" t="s">
        <v>462</v>
      </c>
      <c r="K85" s="1923">
        <f>Portada!AV85</f>
        <v>0</v>
      </c>
      <c r="L85" s="1923"/>
      <c r="M85" s="1923"/>
      <c r="N85" s="1923"/>
      <c r="O85" s="1923"/>
      <c r="P85" s="1923"/>
      <c r="Q85" s="1923"/>
      <c r="R85" s="1923"/>
      <c r="S85" s="1923"/>
      <c r="T85" s="1923"/>
      <c r="U85" s="848"/>
      <c r="V85" s="848"/>
      <c r="W85" s="848"/>
      <c r="X85" s="848"/>
      <c r="Y85" s="848"/>
      <c r="Z85" s="848"/>
      <c r="AA85" s="848"/>
      <c r="AB85" s="848"/>
      <c r="AC85" s="848"/>
      <c r="AD85" s="848"/>
      <c r="AE85" s="848"/>
      <c r="AF85" s="807"/>
      <c r="AG85" s="807"/>
      <c r="AH85" s="807"/>
      <c r="AI85" s="807"/>
      <c r="AJ85" s="475"/>
      <c r="AK85" s="475"/>
      <c r="AL85" s="681"/>
      <c r="AM85" s="681"/>
      <c r="AN85" s="681"/>
      <c r="AO85" s="1889"/>
      <c r="AP85" s="1889"/>
      <c r="AQ85" s="1889"/>
      <c r="AR85" s="1889"/>
      <c r="AS85" s="1889"/>
      <c r="AT85" s="1889"/>
      <c r="AU85" s="1889"/>
      <c r="AV85" s="1889"/>
      <c r="AW85" s="1889"/>
      <c r="AX85" s="1889"/>
      <c r="AY85" s="1889"/>
      <c r="AZ85" s="1889"/>
      <c r="BA85" s="1889"/>
      <c r="BB85" s="1889"/>
      <c r="BC85" s="1889"/>
      <c r="BD85" s="1889"/>
      <c r="BE85" s="1889"/>
      <c r="BF85" s="1889"/>
      <c r="BG85" s="1889"/>
      <c r="BH85" s="1889"/>
      <c r="BI85" s="1889"/>
      <c r="BJ85" s="1889"/>
      <c r="BK85" s="1889"/>
      <c r="BL85" s="1889"/>
      <c r="BM85" s="1889"/>
      <c r="BN85" s="1889"/>
      <c r="BO85" s="1889"/>
      <c r="BP85" s="1889"/>
      <c r="BQ85" s="1889"/>
      <c r="BR85" s="1889"/>
      <c r="BS85" s="1889"/>
      <c r="BT85" s="1889"/>
      <c r="BU85" s="1889"/>
      <c r="BV85" s="1890"/>
      <c r="BW85" s="453"/>
    </row>
    <row r="86" spans="1:75" ht="15" customHeight="1" thickBot="1" x14ac:dyDescent="0.25">
      <c r="A86" s="682"/>
      <c r="C86" s="448"/>
      <c r="H86" s="683"/>
      <c r="I86" s="683"/>
      <c r="J86" s="683"/>
      <c r="K86" s="683"/>
      <c r="L86" s="683"/>
      <c r="M86" s="683"/>
      <c r="N86" s="683"/>
      <c r="O86" s="683"/>
      <c r="P86" s="683"/>
      <c r="Q86" s="683"/>
      <c r="R86" s="683"/>
      <c r="S86" s="683"/>
      <c r="T86" s="448"/>
      <c r="X86" s="564"/>
      <c r="Z86" s="680"/>
      <c r="AA86" s="680"/>
      <c r="AB86" s="680"/>
      <c r="AC86" s="680"/>
      <c r="AD86" s="680"/>
      <c r="AE86" s="680"/>
      <c r="AF86" s="680"/>
      <c r="AG86" s="680"/>
      <c r="AH86" s="680"/>
      <c r="AI86" s="680"/>
      <c r="AL86" s="564"/>
      <c r="AM86" s="564"/>
      <c r="AN86" s="564"/>
      <c r="AO86" s="564"/>
      <c r="AP86" s="448"/>
      <c r="AW86" s="684"/>
      <c r="AX86" s="684"/>
      <c r="AY86" s="684"/>
      <c r="AZ86" s="684"/>
      <c r="BA86" s="684"/>
      <c r="BB86" s="684"/>
      <c r="BC86" s="684"/>
      <c r="BD86" s="684"/>
      <c r="BE86" s="684"/>
      <c r="BF86" s="684"/>
      <c r="BG86" s="684"/>
      <c r="BH86" s="684"/>
      <c r="BI86" s="684"/>
      <c r="BJ86" s="684"/>
      <c r="BK86" s="684"/>
      <c r="BL86" s="684"/>
      <c r="BM86" s="684"/>
      <c r="BN86" s="684"/>
      <c r="BO86" s="684"/>
      <c r="BP86" s="684"/>
      <c r="BQ86" s="792" t="s">
        <v>1823</v>
      </c>
      <c r="BT86" s="684"/>
      <c r="BU86" s="684"/>
      <c r="BV86" s="750"/>
      <c r="BW86" s="443"/>
    </row>
    <row r="87" spans="1:75" ht="15" customHeight="1" x14ac:dyDescent="0.25">
      <c r="A87" s="682"/>
      <c r="C87" s="1673" t="s">
        <v>1202</v>
      </c>
      <c r="D87" s="1674"/>
      <c r="E87" s="1674"/>
      <c r="F87" s="1674"/>
      <c r="G87" s="1674"/>
      <c r="H87" s="1674"/>
      <c r="I87" s="1674"/>
      <c r="J87" s="1674"/>
      <c r="K87" s="1745" t="str">
        <f>Portada!F3</f>
        <v>Janeth Patricia Cando Arias</v>
      </c>
      <c r="L87" s="1745"/>
      <c r="M87" s="1745"/>
      <c r="N87" s="1745"/>
      <c r="O87" s="1745"/>
      <c r="P87" s="1745"/>
      <c r="Q87" s="1745"/>
      <c r="R87" s="1745"/>
      <c r="S87" s="1745"/>
      <c r="T87" s="1745"/>
      <c r="U87" s="1745"/>
      <c r="V87" s="1745"/>
      <c r="W87" s="1745"/>
      <c r="X87" s="1745"/>
      <c r="Y87" s="1745"/>
      <c r="Z87" s="1745"/>
      <c r="AA87" s="1745"/>
      <c r="AB87" s="1745"/>
      <c r="AC87" s="1745"/>
      <c r="AD87" s="1745"/>
      <c r="AE87" s="1745"/>
      <c r="AF87" s="1745"/>
      <c r="AG87" s="1745"/>
      <c r="AH87" s="1745"/>
      <c r="AI87" s="1745"/>
      <c r="AJ87" s="1745"/>
      <c r="AK87" s="1745"/>
      <c r="AL87" s="1745"/>
      <c r="AM87" s="1745"/>
      <c r="AN87" s="1745"/>
      <c r="AO87" s="1675" t="s">
        <v>466</v>
      </c>
      <c r="AP87" s="1675"/>
      <c r="AQ87" s="1675"/>
      <c r="AR87" s="1675"/>
      <c r="AS87" s="1675"/>
      <c r="AT87" s="1675"/>
      <c r="AU87" s="1675"/>
      <c r="AV87" s="1675"/>
      <c r="AW87" s="1675"/>
      <c r="AX87" s="1637" t="str">
        <f>Tapa!E43</f>
        <v>Coronel Souper N° 4060, Departamento: N°2502 B, Edificio Mirador Souper</v>
      </c>
      <c r="AY87" s="1637"/>
      <c r="AZ87" s="1637"/>
      <c r="BA87" s="1637"/>
      <c r="BB87" s="1637"/>
      <c r="BC87" s="1637"/>
      <c r="BD87" s="1637"/>
      <c r="BE87" s="1637"/>
      <c r="BF87" s="1637"/>
      <c r="BG87" s="1637"/>
      <c r="BH87" s="1637"/>
      <c r="BI87" s="1637"/>
      <c r="BJ87" s="1637"/>
      <c r="BK87" s="1637"/>
      <c r="BL87" s="1637"/>
      <c r="BM87" s="1637"/>
      <c r="BN87" s="1637"/>
      <c r="BO87" s="1637"/>
      <c r="BP87" s="1637"/>
      <c r="BQ87" s="1637"/>
      <c r="BR87" s="1637"/>
      <c r="BS87" s="1637"/>
      <c r="BT87" s="1637"/>
      <c r="BU87" s="1637"/>
      <c r="BV87" s="1638"/>
      <c r="BW87" s="443"/>
    </row>
    <row r="88" spans="1:75" ht="15" customHeight="1" thickBot="1" x14ac:dyDescent="0.3">
      <c r="A88" s="682"/>
      <c r="C88" s="1640" t="s">
        <v>1203</v>
      </c>
      <c r="D88" s="1617"/>
      <c r="E88" s="1617"/>
      <c r="F88" s="1617"/>
      <c r="G88" s="1617"/>
      <c r="H88" s="1617"/>
      <c r="I88" s="1617"/>
      <c r="J88" s="1617"/>
      <c r="K88" s="1922" t="str">
        <f>Portada!AE3</f>
        <v>22.959.221-1</v>
      </c>
      <c r="L88" s="1922"/>
      <c r="M88" s="1922"/>
      <c r="N88" s="1922"/>
      <c r="O88" s="1922"/>
      <c r="P88" s="1922"/>
      <c r="Q88" s="1922"/>
      <c r="R88" s="1922"/>
      <c r="S88" s="1922"/>
      <c r="T88" s="1922"/>
      <c r="U88" s="1922"/>
      <c r="V88" s="1922"/>
      <c r="W88" s="1922"/>
      <c r="X88" s="1922"/>
      <c r="Y88" s="1922"/>
      <c r="Z88" s="1922"/>
      <c r="AA88" s="1922"/>
      <c r="AB88" s="1922"/>
      <c r="AC88" s="1922"/>
      <c r="AD88" s="1922"/>
      <c r="AE88" s="1922"/>
      <c r="AF88" s="1922"/>
      <c r="AG88" s="1922"/>
      <c r="AH88" s="1922"/>
      <c r="AI88" s="1922"/>
      <c r="AJ88" s="1922"/>
      <c r="AK88" s="1922"/>
      <c r="AL88" s="1922"/>
      <c r="AM88" s="1922"/>
      <c r="AN88" s="1922"/>
      <c r="AO88" s="1641" t="s">
        <v>908</v>
      </c>
      <c r="AP88" s="1641"/>
      <c r="AQ88" s="1641"/>
      <c r="AR88" s="1641"/>
      <c r="AS88" s="1641"/>
      <c r="AT88" s="1641"/>
      <c r="AU88" s="1641"/>
      <c r="AV88" s="1641"/>
      <c r="AW88" s="1641"/>
      <c r="AX88" s="1617" t="str">
        <f>O5</f>
        <v>AGH -1548</v>
      </c>
      <c r="AY88" s="1617"/>
      <c r="AZ88" s="1617"/>
      <c r="BA88" s="1617"/>
      <c r="BB88" s="1617"/>
      <c r="BC88" s="1617"/>
      <c r="BD88" s="1617"/>
      <c r="BE88" s="1617"/>
      <c r="BF88" s="1617"/>
      <c r="BG88" s="1617"/>
      <c r="BH88" s="1617"/>
      <c r="BI88" s="1617"/>
      <c r="BJ88" s="1617"/>
      <c r="BK88" s="1617"/>
      <c r="BL88" s="1617"/>
      <c r="BM88" s="1617"/>
      <c r="BN88" s="1617"/>
      <c r="BO88" s="1617"/>
      <c r="BP88" s="1617"/>
      <c r="BQ88" s="1617"/>
      <c r="BR88" s="1617"/>
      <c r="BS88" s="1617"/>
      <c r="BT88" s="1617"/>
      <c r="BU88" s="1617"/>
      <c r="BV88" s="1618"/>
      <c r="BW88" s="443"/>
    </row>
    <row r="89" spans="1:75" ht="15" customHeight="1" thickBot="1" x14ac:dyDescent="0.25">
      <c r="A89" s="682"/>
      <c r="H89" s="796"/>
      <c r="I89" s="796"/>
      <c r="J89" s="796"/>
      <c r="K89" s="796"/>
      <c r="L89" s="796"/>
      <c r="M89" s="796"/>
      <c r="N89" s="796"/>
      <c r="O89" s="796"/>
      <c r="P89" s="796"/>
      <c r="Q89" s="796"/>
      <c r="R89" s="796"/>
      <c r="S89" s="796"/>
      <c r="T89" s="448"/>
      <c r="X89" s="564"/>
      <c r="Z89" s="685"/>
      <c r="AA89" s="685"/>
      <c r="AB89" s="685"/>
      <c r="AC89" s="685"/>
      <c r="AD89" s="685"/>
      <c r="AE89" s="685"/>
      <c r="AF89" s="685"/>
      <c r="AG89" s="685"/>
      <c r="AH89" s="685"/>
      <c r="AI89" s="685"/>
      <c r="AL89" s="564"/>
      <c r="AM89" s="564"/>
      <c r="AN89" s="564"/>
      <c r="AO89" s="564"/>
      <c r="AP89" s="448"/>
      <c r="AW89" s="797"/>
      <c r="AX89" s="526"/>
      <c r="AY89" s="526"/>
      <c r="AZ89" s="526"/>
      <c r="BA89" s="526"/>
      <c r="BB89" s="526"/>
      <c r="BC89" s="526"/>
      <c r="BD89" s="526"/>
      <c r="BE89" s="526"/>
      <c r="BF89" s="797"/>
      <c r="BG89" s="797"/>
      <c r="BH89" s="797"/>
      <c r="BI89" s="797"/>
      <c r="BJ89" s="797"/>
      <c r="BK89" s="797"/>
      <c r="BL89" s="797"/>
      <c r="BM89" s="797"/>
      <c r="BN89" s="797"/>
      <c r="BO89" s="797"/>
      <c r="BP89" s="684"/>
      <c r="BQ89" s="684"/>
      <c r="BR89" s="684"/>
      <c r="BS89" s="684"/>
      <c r="BT89" s="684"/>
      <c r="BU89" s="684"/>
      <c r="BV89" s="684"/>
      <c r="BW89" s="443"/>
    </row>
    <row r="90" spans="1:75" ht="15" customHeight="1" thickBot="1" x14ac:dyDescent="0.25">
      <c r="A90" s="682"/>
      <c r="C90" s="1619" t="s">
        <v>1219</v>
      </c>
      <c r="D90" s="1620"/>
      <c r="E90" s="1620"/>
      <c r="F90" s="1620"/>
      <c r="G90" s="1620"/>
      <c r="H90" s="1620"/>
      <c r="I90" s="1620"/>
      <c r="J90" s="1620"/>
      <c r="K90" s="1620"/>
      <c r="L90" s="1620"/>
      <c r="M90" s="1620"/>
      <c r="N90" s="1620"/>
      <c r="O90" s="1620"/>
      <c r="P90" s="1620"/>
      <c r="Q90" s="1620"/>
      <c r="R90" s="1620"/>
      <c r="S90" s="1620"/>
      <c r="T90" s="1620"/>
      <c r="U90" s="1620"/>
      <c r="V90" s="1620"/>
      <c r="W90" s="1620"/>
      <c r="X90" s="1620"/>
      <c r="Y90" s="1620"/>
      <c r="Z90" s="1620"/>
      <c r="AA90" s="1620"/>
      <c r="AB90" s="1620"/>
      <c r="AC90" s="1620"/>
      <c r="AD90" s="1620"/>
      <c r="AE90" s="1620"/>
      <c r="AF90" s="1620"/>
      <c r="AG90" s="1620"/>
      <c r="AH90" s="1620"/>
      <c r="AI90" s="1620"/>
      <c r="AJ90" s="1620"/>
      <c r="AK90" s="1620"/>
      <c r="AL90" s="1620"/>
      <c r="AM90" s="1620"/>
      <c r="AN90" s="1620"/>
      <c r="AO90" s="1620"/>
      <c r="AP90" s="1620"/>
      <c r="AQ90" s="1620"/>
      <c r="AR90" s="1620"/>
      <c r="AS90" s="1620"/>
      <c r="AT90" s="1620"/>
      <c r="AU90" s="1620"/>
      <c r="AV90" s="1620"/>
      <c r="AW90" s="1620"/>
      <c r="AX90" s="1620"/>
      <c r="AY90" s="1620"/>
      <c r="AZ90" s="1620"/>
      <c r="BA90" s="1620"/>
      <c r="BB90" s="1620"/>
      <c r="BC90" s="1620"/>
      <c r="BD90" s="1620"/>
      <c r="BE90" s="1620"/>
      <c r="BF90" s="1620"/>
      <c r="BG90" s="1620"/>
      <c r="BH90" s="1620"/>
      <c r="BI90" s="1620"/>
      <c r="BJ90" s="1620"/>
      <c r="BK90" s="1620"/>
      <c r="BL90" s="1620"/>
      <c r="BM90" s="1620"/>
      <c r="BN90" s="1620"/>
      <c r="BO90" s="1620"/>
      <c r="BP90" s="1620"/>
      <c r="BQ90" s="1620"/>
      <c r="BR90" s="1620"/>
      <c r="BS90" s="1620"/>
      <c r="BT90" s="1620"/>
      <c r="BU90" s="1620"/>
      <c r="BV90" s="1621"/>
      <c r="BW90" s="443"/>
    </row>
    <row r="91" spans="1:75" ht="7.5" customHeight="1" thickBot="1" x14ac:dyDescent="0.25">
      <c r="A91" s="682"/>
      <c r="C91" s="686"/>
      <c r="D91" s="686"/>
      <c r="E91" s="686"/>
      <c r="F91" s="686"/>
      <c r="G91" s="686"/>
      <c r="H91" s="686"/>
      <c r="I91" s="686"/>
      <c r="J91" s="686"/>
      <c r="K91" s="686"/>
      <c r="L91" s="686"/>
      <c r="M91" s="686"/>
      <c r="N91" s="686"/>
      <c r="O91" s="686"/>
      <c r="P91" s="686"/>
      <c r="Q91" s="686"/>
      <c r="R91" s="686"/>
      <c r="S91" s="686"/>
      <c r="T91" s="686"/>
      <c r="U91" s="686"/>
      <c r="V91" s="686"/>
      <c r="W91" s="686"/>
      <c r="X91" s="686"/>
      <c r="Y91" s="686"/>
      <c r="Z91" s="686"/>
      <c r="AA91" s="686"/>
      <c r="AB91" s="686"/>
      <c r="AC91" s="686"/>
      <c r="AD91" s="686"/>
      <c r="AE91" s="686"/>
      <c r="AF91" s="686"/>
      <c r="AG91" s="686"/>
      <c r="AH91" s="686"/>
      <c r="AI91" s="686"/>
      <c r="AJ91" s="686"/>
      <c r="AK91" s="686"/>
      <c r="AL91" s="686"/>
      <c r="AM91" s="686"/>
      <c r="AN91" s="686"/>
      <c r="AO91" s="686"/>
      <c r="AP91" s="686"/>
      <c r="AQ91" s="686"/>
      <c r="AR91" s="686"/>
      <c r="AS91" s="686"/>
      <c r="AT91" s="686"/>
      <c r="AU91" s="686"/>
      <c r="AV91" s="686"/>
      <c r="AW91" s="686"/>
      <c r="AX91" s="686"/>
      <c r="AY91" s="686"/>
      <c r="AZ91" s="686"/>
      <c r="BA91" s="686"/>
      <c r="BB91" s="686"/>
      <c r="BC91" s="686"/>
      <c r="BD91" s="686"/>
      <c r="BE91" s="686"/>
      <c r="BF91" s="686"/>
      <c r="BG91" s="686"/>
      <c r="BH91" s="686"/>
      <c r="BI91" s="686"/>
      <c r="BJ91" s="686"/>
      <c r="BK91" s="686"/>
      <c r="BL91" s="686"/>
      <c r="BM91" s="686"/>
      <c r="BN91" s="686"/>
      <c r="BO91" s="686"/>
      <c r="BP91" s="686"/>
      <c r="BQ91" s="686"/>
      <c r="BR91" s="686"/>
      <c r="BS91" s="686"/>
      <c r="BT91" s="686"/>
      <c r="BU91" s="686"/>
      <c r="BV91" s="686"/>
      <c r="BW91" s="443"/>
    </row>
    <row r="92" spans="1:75" ht="15" customHeight="1" x14ac:dyDescent="0.2">
      <c r="A92" s="1752" t="s">
        <v>1195</v>
      </c>
      <c r="C92" s="1827"/>
      <c r="D92" s="1828"/>
      <c r="E92" s="1828"/>
      <c r="F92" s="1828"/>
      <c r="G92" s="1828"/>
      <c r="H92" s="1828"/>
      <c r="I92" s="1828"/>
      <c r="J92" s="1828"/>
      <c r="K92" s="1828"/>
      <c r="L92" s="1828"/>
      <c r="M92" s="1828"/>
      <c r="N92" s="1828"/>
      <c r="O92" s="1828"/>
      <c r="P92" s="1828"/>
      <c r="Q92" s="1828"/>
      <c r="R92" s="1828"/>
      <c r="S92" s="1828"/>
      <c r="T92" s="1828"/>
      <c r="U92" s="1828"/>
      <c r="V92" s="1828"/>
      <c r="W92" s="1828"/>
      <c r="X92" s="1828"/>
      <c r="Y92" s="1828"/>
      <c r="Z92" s="1828"/>
      <c r="AA92" s="1828"/>
      <c r="AB92" s="1828"/>
      <c r="AC92" s="1828"/>
      <c r="AD92" s="1828"/>
      <c r="AE92" s="1828"/>
      <c r="AF92" s="1828"/>
      <c r="AG92" s="1828"/>
      <c r="AH92" s="1828"/>
      <c r="AI92" s="1828"/>
      <c r="AJ92" s="1828"/>
      <c r="AK92" s="1828"/>
      <c r="AL92" s="1828"/>
      <c r="AM92" s="1828"/>
      <c r="AN92" s="1828"/>
      <c r="AO92" s="1828"/>
      <c r="AP92" s="1828"/>
      <c r="AQ92" s="1828"/>
      <c r="AR92" s="1828"/>
      <c r="AS92" s="1828"/>
      <c r="AT92" s="1828"/>
      <c r="AU92" s="1828"/>
      <c r="AV92" s="1828"/>
      <c r="AW92" s="1828"/>
      <c r="AX92" s="1828"/>
      <c r="AY92" s="1828"/>
      <c r="AZ92" s="1828"/>
      <c r="BA92" s="1828"/>
      <c r="BB92" s="1828"/>
      <c r="BC92" s="1828"/>
      <c r="BD92" s="1828"/>
      <c r="BE92" s="1828"/>
      <c r="BF92" s="1828"/>
      <c r="BG92" s="1828"/>
      <c r="BH92" s="1828"/>
      <c r="BI92" s="1828"/>
      <c r="BJ92" s="1828"/>
      <c r="BK92" s="1828"/>
      <c r="BL92" s="1828"/>
      <c r="BM92" s="1828"/>
      <c r="BN92" s="1828"/>
      <c r="BO92" s="1828"/>
      <c r="BP92" s="1828"/>
      <c r="BQ92" s="1828"/>
      <c r="BR92" s="1828"/>
      <c r="BS92" s="1828"/>
      <c r="BT92" s="1828"/>
      <c r="BU92" s="1828"/>
      <c r="BV92" s="1829"/>
      <c r="BW92" s="453"/>
    </row>
    <row r="93" spans="1:75" ht="15" customHeight="1" x14ac:dyDescent="0.2">
      <c r="A93" s="1752"/>
      <c r="C93" s="1830"/>
      <c r="D93" s="1831"/>
      <c r="E93" s="1831"/>
      <c r="F93" s="1831"/>
      <c r="G93" s="1831"/>
      <c r="H93" s="1831"/>
      <c r="I93" s="1831"/>
      <c r="J93" s="1831"/>
      <c r="K93" s="1831"/>
      <c r="L93" s="1831"/>
      <c r="M93" s="1831"/>
      <c r="N93" s="1831"/>
      <c r="O93" s="1831"/>
      <c r="P93" s="1831"/>
      <c r="Q93" s="1831"/>
      <c r="R93" s="1831"/>
      <c r="S93" s="1831"/>
      <c r="T93" s="1831"/>
      <c r="U93" s="1831"/>
      <c r="V93" s="1831"/>
      <c r="W93" s="1831"/>
      <c r="X93" s="1831"/>
      <c r="Y93" s="1831"/>
      <c r="Z93" s="1831"/>
      <c r="AA93" s="1831"/>
      <c r="AB93" s="1831"/>
      <c r="AC93" s="1831"/>
      <c r="AD93" s="1831"/>
      <c r="AE93" s="1831"/>
      <c r="AF93" s="1831"/>
      <c r="AG93" s="1831"/>
      <c r="AH93" s="1831"/>
      <c r="AI93" s="1831"/>
      <c r="AJ93" s="1831"/>
      <c r="AK93" s="1831"/>
      <c r="AL93" s="1831"/>
      <c r="AM93" s="1831"/>
      <c r="AN93" s="1831"/>
      <c r="AO93" s="1831"/>
      <c r="AP93" s="1831"/>
      <c r="AQ93" s="1831"/>
      <c r="AR93" s="1831"/>
      <c r="AS93" s="1831"/>
      <c r="AT93" s="1831"/>
      <c r="AU93" s="1831"/>
      <c r="AV93" s="1831"/>
      <c r="AW93" s="1831"/>
      <c r="AX93" s="1831"/>
      <c r="AY93" s="1831"/>
      <c r="AZ93" s="1831"/>
      <c r="BA93" s="1831"/>
      <c r="BB93" s="1831"/>
      <c r="BC93" s="1831"/>
      <c r="BD93" s="1831"/>
      <c r="BE93" s="1831"/>
      <c r="BF93" s="1831"/>
      <c r="BG93" s="1831"/>
      <c r="BH93" s="1831"/>
      <c r="BI93" s="1831"/>
      <c r="BJ93" s="1831"/>
      <c r="BK93" s="1831"/>
      <c r="BL93" s="1831"/>
      <c r="BM93" s="1831"/>
      <c r="BN93" s="1831"/>
      <c r="BO93" s="1831"/>
      <c r="BP93" s="1831"/>
      <c r="BQ93" s="1831"/>
      <c r="BR93" s="1831"/>
      <c r="BS93" s="1831"/>
      <c r="BT93" s="1831"/>
      <c r="BU93" s="1831"/>
      <c r="BV93" s="1832"/>
      <c r="BW93" s="453"/>
    </row>
    <row r="94" spans="1:75" ht="15" customHeight="1" x14ac:dyDescent="0.2">
      <c r="A94" s="1752"/>
      <c r="C94" s="1830"/>
      <c r="D94" s="1831"/>
      <c r="E94" s="1831"/>
      <c r="F94" s="1831"/>
      <c r="G94" s="1831"/>
      <c r="H94" s="1831"/>
      <c r="I94" s="1831"/>
      <c r="J94" s="1831"/>
      <c r="K94" s="1831"/>
      <c r="L94" s="1831"/>
      <c r="M94" s="1831"/>
      <c r="N94" s="1831"/>
      <c r="O94" s="1831"/>
      <c r="P94" s="1831"/>
      <c r="Q94" s="1831"/>
      <c r="R94" s="1831"/>
      <c r="S94" s="1831"/>
      <c r="T94" s="1831"/>
      <c r="U94" s="1831"/>
      <c r="V94" s="1831"/>
      <c r="W94" s="1831"/>
      <c r="X94" s="1831"/>
      <c r="Y94" s="1831"/>
      <c r="Z94" s="1831"/>
      <c r="AA94" s="1831"/>
      <c r="AB94" s="1831"/>
      <c r="AC94" s="1831"/>
      <c r="AD94" s="1831"/>
      <c r="AE94" s="1831"/>
      <c r="AF94" s="1831"/>
      <c r="AG94" s="1831"/>
      <c r="AH94" s="1831"/>
      <c r="AI94" s="1831"/>
      <c r="AJ94" s="1831"/>
      <c r="AK94" s="1831"/>
      <c r="AL94" s="1831"/>
      <c r="AM94" s="1831"/>
      <c r="AN94" s="1831"/>
      <c r="AO94" s="1831"/>
      <c r="AP94" s="1831"/>
      <c r="AQ94" s="1831"/>
      <c r="AR94" s="1831"/>
      <c r="AS94" s="1831"/>
      <c r="AT94" s="1831"/>
      <c r="AU94" s="1831"/>
      <c r="AV94" s="1831"/>
      <c r="AW94" s="1831"/>
      <c r="AX94" s="1831"/>
      <c r="AY94" s="1831"/>
      <c r="AZ94" s="1831"/>
      <c r="BA94" s="1831"/>
      <c r="BB94" s="1831"/>
      <c r="BC94" s="1831"/>
      <c r="BD94" s="1831"/>
      <c r="BE94" s="1831"/>
      <c r="BF94" s="1831"/>
      <c r="BG94" s="1831"/>
      <c r="BH94" s="1831"/>
      <c r="BI94" s="1831"/>
      <c r="BJ94" s="1831"/>
      <c r="BK94" s="1831"/>
      <c r="BL94" s="1831"/>
      <c r="BM94" s="1831"/>
      <c r="BN94" s="1831"/>
      <c r="BO94" s="1831"/>
      <c r="BP94" s="1831"/>
      <c r="BQ94" s="1831"/>
      <c r="BR94" s="1831"/>
      <c r="BS94" s="1831"/>
      <c r="BT94" s="1831"/>
      <c r="BU94" s="1831"/>
      <c r="BV94" s="1832"/>
      <c r="BW94" s="453"/>
    </row>
    <row r="95" spans="1:75" ht="15" customHeight="1" x14ac:dyDescent="0.2">
      <c r="A95" s="1752"/>
      <c r="C95" s="1830"/>
      <c r="D95" s="1831"/>
      <c r="E95" s="1831"/>
      <c r="F95" s="1831"/>
      <c r="G95" s="1831"/>
      <c r="H95" s="1831"/>
      <c r="I95" s="1831"/>
      <c r="J95" s="1831"/>
      <c r="K95" s="1831"/>
      <c r="L95" s="1831"/>
      <c r="M95" s="1831"/>
      <c r="N95" s="1831"/>
      <c r="O95" s="1831"/>
      <c r="P95" s="1831"/>
      <c r="Q95" s="1831"/>
      <c r="R95" s="1831"/>
      <c r="S95" s="1831"/>
      <c r="T95" s="1831"/>
      <c r="U95" s="1831"/>
      <c r="V95" s="1831"/>
      <c r="W95" s="1831"/>
      <c r="X95" s="1831"/>
      <c r="Y95" s="1831"/>
      <c r="Z95" s="1831"/>
      <c r="AA95" s="1831"/>
      <c r="AB95" s="1831"/>
      <c r="AC95" s="1831"/>
      <c r="AD95" s="1831"/>
      <c r="AE95" s="1831"/>
      <c r="AF95" s="1831"/>
      <c r="AG95" s="1831"/>
      <c r="AH95" s="1831"/>
      <c r="AI95" s="1831"/>
      <c r="AJ95" s="1831"/>
      <c r="AK95" s="1831"/>
      <c r="AL95" s="1831"/>
      <c r="AM95" s="1831"/>
      <c r="AN95" s="1831"/>
      <c r="AO95" s="1831"/>
      <c r="AP95" s="1831"/>
      <c r="AQ95" s="1831"/>
      <c r="AR95" s="1831"/>
      <c r="AS95" s="1831"/>
      <c r="AT95" s="1831"/>
      <c r="AU95" s="1831"/>
      <c r="AV95" s="1831"/>
      <c r="AW95" s="1831"/>
      <c r="AX95" s="1831"/>
      <c r="AY95" s="1831"/>
      <c r="AZ95" s="1831"/>
      <c r="BA95" s="1831"/>
      <c r="BB95" s="1831"/>
      <c r="BC95" s="1831"/>
      <c r="BD95" s="1831"/>
      <c r="BE95" s="1831"/>
      <c r="BF95" s="1831"/>
      <c r="BG95" s="1831"/>
      <c r="BH95" s="1831"/>
      <c r="BI95" s="1831"/>
      <c r="BJ95" s="1831"/>
      <c r="BK95" s="1831"/>
      <c r="BL95" s="1831"/>
      <c r="BM95" s="1831"/>
      <c r="BN95" s="1831"/>
      <c r="BO95" s="1831"/>
      <c r="BP95" s="1831"/>
      <c r="BQ95" s="1831"/>
      <c r="BR95" s="1831"/>
      <c r="BS95" s="1831"/>
      <c r="BT95" s="1831"/>
      <c r="BU95" s="1831"/>
      <c r="BV95" s="1832"/>
      <c r="BW95" s="453"/>
    </row>
    <row r="96" spans="1:75" ht="15" customHeight="1" x14ac:dyDescent="0.2">
      <c r="A96" s="1752"/>
      <c r="C96" s="1830"/>
      <c r="D96" s="1831"/>
      <c r="E96" s="1831"/>
      <c r="F96" s="1831"/>
      <c r="G96" s="1831"/>
      <c r="H96" s="1831"/>
      <c r="I96" s="1831"/>
      <c r="J96" s="1831"/>
      <c r="K96" s="1831"/>
      <c r="L96" s="1831"/>
      <c r="M96" s="1831"/>
      <c r="N96" s="1831"/>
      <c r="O96" s="1831"/>
      <c r="P96" s="1831"/>
      <c r="Q96" s="1831"/>
      <c r="R96" s="1831"/>
      <c r="S96" s="1831"/>
      <c r="T96" s="1831"/>
      <c r="U96" s="1831"/>
      <c r="V96" s="1831"/>
      <c r="W96" s="1831"/>
      <c r="X96" s="1831"/>
      <c r="Y96" s="1831"/>
      <c r="Z96" s="1831"/>
      <c r="AA96" s="1831"/>
      <c r="AB96" s="1831"/>
      <c r="AC96" s="1831"/>
      <c r="AD96" s="1831"/>
      <c r="AE96" s="1831"/>
      <c r="AF96" s="1831"/>
      <c r="AG96" s="1831"/>
      <c r="AH96" s="1831"/>
      <c r="AI96" s="1831"/>
      <c r="AJ96" s="1831"/>
      <c r="AK96" s="1831"/>
      <c r="AL96" s="1831"/>
      <c r="AM96" s="1831"/>
      <c r="AN96" s="1831"/>
      <c r="AO96" s="1831"/>
      <c r="AP96" s="1831"/>
      <c r="AQ96" s="1831"/>
      <c r="AR96" s="1831"/>
      <c r="AS96" s="1831"/>
      <c r="AT96" s="1831"/>
      <c r="AU96" s="1831"/>
      <c r="AV96" s="1831"/>
      <c r="AW96" s="1831"/>
      <c r="AX96" s="1831"/>
      <c r="AY96" s="1831"/>
      <c r="AZ96" s="1831"/>
      <c r="BA96" s="1831"/>
      <c r="BB96" s="1831"/>
      <c r="BC96" s="1831"/>
      <c r="BD96" s="1831"/>
      <c r="BE96" s="1831"/>
      <c r="BF96" s="1831"/>
      <c r="BG96" s="1831"/>
      <c r="BH96" s="1831"/>
      <c r="BI96" s="1831"/>
      <c r="BJ96" s="1831"/>
      <c r="BK96" s="1831"/>
      <c r="BL96" s="1831"/>
      <c r="BM96" s="1831"/>
      <c r="BN96" s="1831"/>
      <c r="BO96" s="1831"/>
      <c r="BP96" s="1831"/>
      <c r="BQ96" s="1831"/>
      <c r="BR96" s="1831"/>
      <c r="BS96" s="1831"/>
      <c r="BT96" s="1831"/>
      <c r="BU96" s="1831"/>
      <c r="BV96" s="1832"/>
      <c r="BW96" s="453"/>
    </row>
    <row r="97" spans="1:75" ht="15" customHeight="1" x14ac:dyDescent="0.2">
      <c r="A97" s="1752"/>
      <c r="C97" s="1830"/>
      <c r="D97" s="1831"/>
      <c r="E97" s="1831"/>
      <c r="F97" s="1831"/>
      <c r="G97" s="1831"/>
      <c r="H97" s="1831"/>
      <c r="I97" s="1831"/>
      <c r="J97" s="1831"/>
      <c r="K97" s="1831"/>
      <c r="L97" s="1831"/>
      <c r="M97" s="1831"/>
      <c r="N97" s="1831"/>
      <c r="O97" s="1831"/>
      <c r="P97" s="1831"/>
      <c r="Q97" s="1831"/>
      <c r="R97" s="1831"/>
      <c r="S97" s="1831"/>
      <c r="T97" s="1831"/>
      <c r="U97" s="1831"/>
      <c r="V97" s="1831"/>
      <c r="W97" s="1831"/>
      <c r="X97" s="1831"/>
      <c r="Y97" s="1831"/>
      <c r="Z97" s="1831"/>
      <c r="AA97" s="1831"/>
      <c r="AB97" s="1831"/>
      <c r="AC97" s="1831"/>
      <c r="AD97" s="1831"/>
      <c r="AE97" s="1831"/>
      <c r="AF97" s="1831"/>
      <c r="AG97" s="1831"/>
      <c r="AH97" s="1831"/>
      <c r="AI97" s="1831"/>
      <c r="AJ97" s="1831"/>
      <c r="AK97" s="1831"/>
      <c r="AL97" s="1831"/>
      <c r="AM97" s="1831"/>
      <c r="AN97" s="1831"/>
      <c r="AO97" s="1831"/>
      <c r="AP97" s="1831"/>
      <c r="AQ97" s="1831"/>
      <c r="AR97" s="1831"/>
      <c r="AS97" s="1831"/>
      <c r="AT97" s="1831"/>
      <c r="AU97" s="1831"/>
      <c r="AV97" s="1831"/>
      <c r="AW97" s="1831"/>
      <c r="AX97" s="1831"/>
      <c r="AY97" s="1831"/>
      <c r="AZ97" s="1831"/>
      <c r="BA97" s="1831"/>
      <c r="BB97" s="1831"/>
      <c r="BC97" s="1831"/>
      <c r="BD97" s="1831"/>
      <c r="BE97" s="1831"/>
      <c r="BF97" s="1831"/>
      <c r="BG97" s="1831"/>
      <c r="BH97" s="1831"/>
      <c r="BI97" s="1831"/>
      <c r="BJ97" s="1831"/>
      <c r="BK97" s="1831"/>
      <c r="BL97" s="1831"/>
      <c r="BM97" s="1831"/>
      <c r="BN97" s="1831"/>
      <c r="BO97" s="1831"/>
      <c r="BP97" s="1831"/>
      <c r="BQ97" s="1831"/>
      <c r="BR97" s="1831"/>
      <c r="BS97" s="1831"/>
      <c r="BT97" s="1831"/>
      <c r="BU97" s="1831"/>
      <c r="BV97" s="1832"/>
      <c r="BW97" s="453"/>
    </row>
    <row r="98" spans="1:75" ht="15" customHeight="1" x14ac:dyDescent="0.2">
      <c r="A98" s="1752"/>
      <c r="C98" s="1830"/>
      <c r="D98" s="1831"/>
      <c r="E98" s="1831"/>
      <c r="F98" s="1831"/>
      <c r="G98" s="1831"/>
      <c r="H98" s="1831"/>
      <c r="I98" s="1831"/>
      <c r="J98" s="1831"/>
      <c r="K98" s="1831"/>
      <c r="L98" s="1831"/>
      <c r="M98" s="1831"/>
      <c r="N98" s="1831"/>
      <c r="O98" s="1831"/>
      <c r="P98" s="1831"/>
      <c r="Q98" s="1831"/>
      <c r="R98" s="1831"/>
      <c r="S98" s="1831"/>
      <c r="T98" s="1831"/>
      <c r="U98" s="1831"/>
      <c r="V98" s="1831"/>
      <c r="W98" s="1831"/>
      <c r="X98" s="1831"/>
      <c r="Y98" s="1831"/>
      <c r="Z98" s="1831"/>
      <c r="AA98" s="1831"/>
      <c r="AB98" s="1831"/>
      <c r="AC98" s="1831"/>
      <c r="AD98" s="1831"/>
      <c r="AE98" s="1831"/>
      <c r="AF98" s="1831"/>
      <c r="AG98" s="1831"/>
      <c r="AH98" s="1831"/>
      <c r="AI98" s="1831"/>
      <c r="AJ98" s="1831"/>
      <c r="AK98" s="1831"/>
      <c r="AL98" s="1831"/>
      <c r="AM98" s="1831"/>
      <c r="AN98" s="1831"/>
      <c r="AO98" s="1831"/>
      <c r="AP98" s="1831"/>
      <c r="AQ98" s="1831"/>
      <c r="AR98" s="1831"/>
      <c r="AS98" s="1831"/>
      <c r="AT98" s="1831"/>
      <c r="AU98" s="1831"/>
      <c r="AV98" s="1831"/>
      <c r="AW98" s="1831"/>
      <c r="AX98" s="1831"/>
      <c r="AY98" s="1831"/>
      <c r="AZ98" s="1831"/>
      <c r="BA98" s="1831"/>
      <c r="BB98" s="1831"/>
      <c r="BC98" s="1831"/>
      <c r="BD98" s="1831"/>
      <c r="BE98" s="1831"/>
      <c r="BF98" s="1831"/>
      <c r="BG98" s="1831"/>
      <c r="BH98" s="1831"/>
      <c r="BI98" s="1831"/>
      <c r="BJ98" s="1831"/>
      <c r="BK98" s="1831"/>
      <c r="BL98" s="1831"/>
      <c r="BM98" s="1831"/>
      <c r="BN98" s="1831"/>
      <c r="BO98" s="1831"/>
      <c r="BP98" s="1831"/>
      <c r="BQ98" s="1831"/>
      <c r="BR98" s="1831"/>
      <c r="BS98" s="1831"/>
      <c r="BT98" s="1831"/>
      <c r="BU98" s="1831"/>
      <c r="BV98" s="1832"/>
      <c r="BW98" s="453"/>
    </row>
    <row r="99" spans="1:75" ht="15" customHeight="1" x14ac:dyDescent="0.2">
      <c r="A99" s="1752"/>
      <c r="C99" s="1830"/>
      <c r="D99" s="1831"/>
      <c r="E99" s="1831"/>
      <c r="F99" s="1831"/>
      <c r="G99" s="1831"/>
      <c r="H99" s="1831"/>
      <c r="I99" s="1831"/>
      <c r="J99" s="1831"/>
      <c r="K99" s="1831"/>
      <c r="L99" s="1831"/>
      <c r="M99" s="1831"/>
      <c r="N99" s="1831"/>
      <c r="O99" s="1831"/>
      <c r="P99" s="1831"/>
      <c r="Q99" s="1831"/>
      <c r="R99" s="1831"/>
      <c r="S99" s="1831"/>
      <c r="T99" s="1831"/>
      <c r="U99" s="1831"/>
      <c r="V99" s="1831"/>
      <c r="W99" s="1831"/>
      <c r="X99" s="1831"/>
      <c r="Y99" s="1831"/>
      <c r="Z99" s="1831"/>
      <c r="AA99" s="1831"/>
      <c r="AB99" s="1831"/>
      <c r="AC99" s="1831"/>
      <c r="AD99" s="1831"/>
      <c r="AE99" s="1831"/>
      <c r="AF99" s="1831"/>
      <c r="AG99" s="1831"/>
      <c r="AH99" s="1831"/>
      <c r="AI99" s="1831"/>
      <c r="AJ99" s="1831"/>
      <c r="AK99" s="1831"/>
      <c r="AL99" s="1831"/>
      <c r="AM99" s="1831"/>
      <c r="AN99" s="1831"/>
      <c r="AO99" s="1831"/>
      <c r="AP99" s="1831"/>
      <c r="AQ99" s="1831"/>
      <c r="AR99" s="1831"/>
      <c r="AS99" s="1831"/>
      <c r="AT99" s="1831"/>
      <c r="AU99" s="1831"/>
      <c r="AV99" s="1831"/>
      <c r="AW99" s="1831"/>
      <c r="AX99" s="1831"/>
      <c r="AY99" s="1831"/>
      <c r="AZ99" s="1831"/>
      <c r="BA99" s="1831"/>
      <c r="BB99" s="1831"/>
      <c r="BC99" s="1831"/>
      <c r="BD99" s="1831"/>
      <c r="BE99" s="1831"/>
      <c r="BF99" s="1831"/>
      <c r="BG99" s="1831"/>
      <c r="BH99" s="1831"/>
      <c r="BI99" s="1831"/>
      <c r="BJ99" s="1831"/>
      <c r="BK99" s="1831"/>
      <c r="BL99" s="1831"/>
      <c r="BM99" s="1831"/>
      <c r="BN99" s="1831"/>
      <c r="BO99" s="1831"/>
      <c r="BP99" s="1831"/>
      <c r="BQ99" s="1831"/>
      <c r="BR99" s="1831"/>
      <c r="BS99" s="1831"/>
      <c r="BT99" s="1831"/>
      <c r="BU99" s="1831"/>
      <c r="BV99" s="1832"/>
      <c r="BW99" s="453"/>
    </row>
    <row r="100" spans="1:75" ht="15" customHeight="1" x14ac:dyDescent="0.2">
      <c r="A100" s="1752"/>
      <c r="C100" s="1830"/>
      <c r="D100" s="1831"/>
      <c r="E100" s="1831"/>
      <c r="F100" s="1831"/>
      <c r="G100" s="1831"/>
      <c r="H100" s="1831"/>
      <c r="I100" s="1831"/>
      <c r="J100" s="1831"/>
      <c r="K100" s="1831"/>
      <c r="L100" s="1831"/>
      <c r="M100" s="1831"/>
      <c r="N100" s="1831"/>
      <c r="O100" s="1831"/>
      <c r="P100" s="1831"/>
      <c r="Q100" s="1831"/>
      <c r="R100" s="1831"/>
      <c r="S100" s="1831"/>
      <c r="T100" s="1831"/>
      <c r="U100" s="1831"/>
      <c r="V100" s="1831"/>
      <c r="W100" s="1831"/>
      <c r="X100" s="1831"/>
      <c r="Y100" s="1831"/>
      <c r="Z100" s="1831"/>
      <c r="AA100" s="1831"/>
      <c r="AB100" s="1831"/>
      <c r="AC100" s="1831"/>
      <c r="AD100" s="1831"/>
      <c r="AE100" s="1831"/>
      <c r="AF100" s="1831"/>
      <c r="AG100" s="1831"/>
      <c r="AH100" s="1831"/>
      <c r="AI100" s="1831"/>
      <c r="AJ100" s="1831"/>
      <c r="AK100" s="1831"/>
      <c r="AL100" s="1831"/>
      <c r="AM100" s="1831"/>
      <c r="AN100" s="1831"/>
      <c r="AO100" s="1831"/>
      <c r="AP100" s="1831"/>
      <c r="AQ100" s="1831"/>
      <c r="AR100" s="1831"/>
      <c r="AS100" s="1831"/>
      <c r="AT100" s="1831"/>
      <c r="AU100" s="1831"/>
      <c r="AV100" s="1831"/>
      <c r="AW100" s="1831"/>
      <c r="AX100" s="1831"/>
      <c r="AY100" s="1831"/>
      <c r="AZ100" s="1831"/>
      <c r="BA100" s="1831"/>
      <c r="BB100" s="1831"/>
      <c r="BC100" s="1831"/>
      <c r="BD100" s="1831"/>
      <c r="BE100" s="1831"/>
      <c r="BF100" s="1831"/>
      <c r="BG100" s="1831"/>
      <c r="BH100" s="1831"/>
      <c r="BI100" s="1831"/>
      <c r="BJ100" s="1831"/>
      <c r="BK100" s="1831"/>
      <c r="BL100" s="1831"/>
      <c r="BM100" s="1831"/>
      <c r="BN100" s="1831"/>
      <c r="BO100" s="1831"/>
      <c r="BP100" s="1831"/>
      <c r="BQ100" s="1831"/>
      <c r="BR100" s="1831"/>
      <c r="BS100" s="1831"/>
      <c r="BT100" s="1831"/>
      <c r="BU100" s="1831"/>
      <c r="BV100" s="1832"/>
      <c r="BW100" s="453"/>
    </row>
    <row r="101" spans="1:75" ht="15" customHeight="1" x14ac:dyDescent="0.2">
      <c r="A101" s="1752"/>
      <c r="C101" s="1830"/>
      <c r="D101" s="1831"/>
      <c r="E101" s="1831"/>
      <c r="F101" s="1831"/>
      <c r="G101" s="1831"/>
      <c r="H101" s="1831"/>
      <c r="I101" s="1831"/>
      <c r="J101" s="1831"/>
      <c r="K101" s="1831"/>
      <c r="L101" s="1831"/>
      <c r="M101" s="1831"/>
      <c r="N101" s="1831"/>
      <c r="O101" s="1831"/>
      <c r="P101" s="1831"/>
      <c r="Q101" s="1831"/>
      <c r="R101" s="1831"/>
      <c r="S101" s="1831"/>
      <c r="T101" s="1831"/>
      <c r="U101" s="1831"/>
      <c r="V101" s="1831"/>
      <c r="W101" s="1831"/>
      <c r="X101" s="1831"/>
      <c r="Y101" s="1831"/>
      <c r="Z101" s="1831"/>
      <c r="AA101" s="1831"/>
      <c r="AB101" s="1831"/>
      <c r="AC101" s="1831"/>
      <c r="AD101" s="1831"/>
      <c r="AE101" s="1831"/>
      <c r="AF101" s="1831"/>
      <c r="AG101" s="1831"/>
      <c r="AH101" s="1831"/>
      <c r="AI101" s="1831"/>
      <c r="AJ101" s="1831"/>
      <c r="AK101" s="1831"/>
      <c r="AL101" s="1831"/>
      <c r="AM101" s="1831"/>
      <c r="AN101" s="1831"/>
      <c r="AO101" s="1831"/>
      <c r="AP101" s="1831"/>
      <c r="AQ101" s="1831"/>
      <c r="AR101" s="1831"/>
      <c r="AS101" s="1831"/>
      <c r="AT101" s="1831"/>
      <c r="AU101" s="1831"/>
      <c r="AV101" s="1831"/>
      <c r="AW101" s="1831"/>
      <c r="AX101" s="1831"/>
      <c r="AY101" s="1831"/>
      <c r="AZ101" s="1831"/>
      <c r="BA101" s="1831"/>
      <c r="BB101" s="1831"/>
      <c r="BC101" s="1831"/>
      <c r="BD101" s="1831"/>
      <c r="BE101" s="1831"/>
      <c r="BF101" s="1831"/>
      <c r="BG101" s="1831"/>
      <c r="BH101" s="1831"/>
      <c r="BI101" s="1831"/>
      <c r="BJ101" s="1831"/>
      <c r="BK101" s="1831"/>
      <c r="BL101" s="1831"/>
      <c r="BM101" s="1831"/>
      <c r="BN101" s="1831"/>
      <c r="BO101" s="1831"/>
      <c r="BP101" s="1831"/>
      <c r="BQ101" s="1831"/>
      <c r="BR101" s="1831"/>
      <c r="BS101" s="1831"/>
      <c r="BT101" s="1831"/>
      <c r="BU101" s="1831"/>
      <c r="BV101" s="1832"/>
      <c r="BW101" s="453"/>
    </row>
    <row r="102" spans="1:75" ht="15" customHeight="1" x14ac:dyDescent="0.2">
      <c r="A102" s="1752"/>
      <c r="B102" s="444" t="s">
        <v>1207</v>
      </c>
      <c r="C102" s="1830"/>
      <c r="D102" s="1831"/>
      <c r="E102" s="1831"/>
      <c r="F102" s="1831"/>
      <c r="G102" s="1831"/>
      <c r="H102" s="1831"/>
      <c r="I102" s="1831"/>
      <c r="J102" s="1831"/>
      <c r="K102" s="1831"/>
      <c r="L102" s="1831"/>
      <c r="M102" s="1831"/>
      <c r="N102" s="1831"/>
      <c r="O102" s="1831"/>
      <c r="P102" s="1831"/>
      <c r="Q102" s="1831"/>
      <c r="R102" s="1831"/>
      <c r="S102" s="1831"/>
      <c r="T102" s="1831"/>
      <c r="U102" s="1831"/>
      <c r="V102" s="1831"/>
      <c r="W102" s="1831"/>
      <c r="X102" s="1831"/>
      <c r="Y102" s="1831"/>
      <c r="Z102" s="1831"/>
      <c r="AA102" s="1831"/>
      <c r="AB102" s="1831"/>
      <c r="AC102" s="1831"/>
      <c r="AD102" s="1831"/>
      <c r="AE102" s="1831"/>
      <c r="AF102" s="1831"/>
      <c r="AG102" s="1831"/>
      <c r="AH102" s="1831"/>
      <c r="AI102" s="1831"/>
      <c r="AJ102" s="1831"/>
      <c r="AK102" s="1831"/>
      <c r="AL102" s="1831"/>
      <c r="AM102" s="1831"/>
      <c r="AN102" s="1831"/>
      <c r="AO102" s="1831"/>
      <c r="AP102" s="1831"/>
      <c r="AQ102" s="1831"/>
      <c r="AR102" s="1831"/>
      <c r="AS102" s="1831"/>
      <c r="AT102" s="1831"/>
      <c r="AU102" s="1831"/>
      <c r="AV102" s="1831"/>
      <c r="AW102" s="1831"/>
      <c r="AX102" s="1831"/>
      <c r="AY102" s="1831"/>
      <c r="AZ102" s="1831"/>
      <c r="BA102" s="1831"/>
      <c r="BB102" s="1831"/>
      <c r="BC102" s="1831"/>
      <c r="BD102" s="1831"/>
      <c r="BE102" s="1831"/>
      <c r="BF102" s="1831"/>
      <c r="BG102" s="1831"/>
      <c r="BH102" s="1831"/>
      <c r="BI102" s="1831"/>
      <c r="BJ102" s="1831"/>
      <c r="BK102" s="1831"/>
      <c r="BL102" s="1831"/>
      <c r="BM102" s="1831"/>
      <c r="BN102" s="1831"/>
      <c r="BO102" s="1831"/>
      <c r="BP102" s="1831"/>
      <c r="BQ102" s="1831"/>
      <c r="BR102" s="1831"/>
      <c r="BS102" s="1831"/>
      <c r="BT102" s="1831"/>
      <c r="BU102" s="1831"/>
      <c r="BV102" s="1832"/>
      <c r="BW102" s="453"/>
    </row>
    <row r="103" spans="1:75" ht="15" customHeight="1" x14ac:dyDescent="0.2">
      <c r="A103" s="1752"/>
      <c r="C103" s="1830"/>
      <c r="D103" s="1831"/>
      <c r="E103" s="1831"/>
      <c r="F103" s="1831"/>
      <c r="G103" s="1831"/>
      <c r="H103" s="1831"/>
      <c r="I103" s="1831"/>
      <c r="J103" s="1831"/>
      <c r="K103" s="1831"/>
      <c r="L103" s="1831"/>
      <c r="M103" s="1831"/>
      <c r="N103" s="1831"/>
      <c r="O103" s="1831"/>
      <c r="P103" s="1831"/>
      <c r="Q103" s="1831"/>
      <c r="R103" s="1831"/>
      <c r="S103" s="1831"/>
      <c r="T103" s="1831"/>
      <c r="U103" s="1831"/>
      <c r="V103" s="1831"/>
      <c r="W103" s="1831"/>
      <c r="X103" s="1831"/>
      <c r="Y103" s="1831"/>
      <c r="Z103" s="1831"/>
      <c r="AA103" s="1831"/>
      <c r="AB103" s="1831"/>
      <c r="AC103" s="1831"/>
      <c r="AD103" s="1831"/>
      <c r="AE103" s="1831"/>
      <c r="AF103" s="1831"/>
      <c r="AG103" s="1831"/>
      <c r="AH103" s="1831"/>
      <c r="AI103" s="1831"/>
      <c r="AJ103" s="1831"/>
      <c r="AK103" s="1831"/>
      <c r="AL103" s="1831"/>
      <c r="AM103" s="1831"/>
      <c r="AN103" s="1831"/>
      <c r="AO103" s="1831"/>
      <c r="AP103" s="1831"/>
      <c r="AQ103" s="1831"/>
      <c r="AR103" s="1831"/>
      <c r="AS103" s="1831"/>
      <c r="AT103" s="1831"/>
      <c r="AU103" s="1831"/>
      <c r="AV103" s="1831"/>
      <c r="AW103" s="1831"/>
      <c r="AX103" s="1831"/>
      <c r="AY103" s="1831"/>
      <c r="AZ103" s="1831"/>
      <c r="BA103" s="1831"/>
      <c r="BB103" s="1831"/>
      <c r="BC103" s="1831"/>
      <c r="BD103" s="1831"/>
      <c r="BE103" s="1831"/>
      <c r="BF103" s="1831"/>
      <c r="BG103" s="1831"/>
      <c r="BH103" s="1831"/>
      <c r="BI103" s="1831"/>
      <c r="BJ103" s="1831"/>
      <c r="BK103" s="1831"/>
      <c r="BL103" s="1831"/>
      <c r="BM103" s="1831"/>
      <c r="BN103" s="1831"/>
      <c r="BO103" s="1831"/>
      <c r="BP103" s="1831"/>
      <c r="BQ103" s="1831"/>
      <c r="BR103" s="1831"/>
      <c r="BS103" s="1831"/>
      <c r="BT103" s="1831"/>
      <c r="BU103" s="1831"/>
      <c r="BV103" s="1832"/>
      <c r="BW103" s="453"/>
    </row>
    <row r="104" spans="1:75" ht="15" customHeight="1" x14ac:dyDescent="0.2">
      <c r="A104" s="1752"/>
      <c r="C104" s="1830"/>
      <c r="D104" s="1831"/>
      <c r="E104" s="1831"/>
      <c r="F104" s="1831"/>
      <c r="G104" s="1831"/>
      <c r="H104" s="1831"/>
      <c r="I104" s="1831"/>
      <c r="J104" s="1831"/>
      <c r="K104" s="1831"/>
      <c r="L104" s="1831"/>
      <c r="M104" s="1831"/>
      <c r="N104" s="1831"/>
      <c r="O104" s="1831"/>
      <c r="P104" s="1831"/>
      <c r="Q104" s="1831"/>
      <c r="R104" s="1831"/>
      <c r="S104" s="1831"/>
      <c r="T104" s="1831"/>
      <c r="U104" s="1831"/>
      <c r="V104" s="1831"/>
      <c r="W104" s="1831"/>
      <c r="X104" s="1831"/>
      <c r="Y104" s="1831"/>
      <c r="Z104" s="1831"/>
      <c r="AA104" s="1831"/>
      <c r="AB104" s="1831"/>
      <c r="AC104" s="1831"/>
      <c r="AD104" s="1831"/>
      <c r="AE104" s="1831"/>
      <c r="AF104" s="1831"/>
      <c r="AG104" s="1831"/>
      <c r="AH104" s="1831"/>
      <c r="AI104" s="1831"/>
      <c r="AJ104" s="1831"/>
      <c r="AK104" s="1831"/>
      <c r="AL104" s="1831"/>
      <c r="AM104" s="1831"/>
      <c r="AN104" s="1831"/>
      <c r="AO104" s="1831"/>
      <c r="AP104" s="1831"/>
      <c r="AQ104" s="1831"/>
      <c r="AR104" s="1831"/>
      <c r="AS104" s="1831"/>
      <c r="AT104" s="1831"/>
      <c r="AU104" s="1831"/>
      <c r="AV104" s="1831"/>
      <c r="AW104" s="1831"/>
      <c r="AX104" s="1831"/>
      <c r="AY104" s="1831"/>
      <c r="AZ104" s="1831"/>
      <c r="BA104" s="1831"/>
      <c r="BB104" s="1831"/>
      <c r="BC104" s="1831"/>
      <c r="BD104" s="1831"/>
      <c r="BE104" s="1831"/>
      <c r="BF104" s="1831"/>
      <c r="BG104" s="1831"/>
      <c r="BH104" s="1831"/>
      <c r="BI104" s="1831"/>
      <c r="BJ104" s="1831"/>
      <c r="BK104" s="1831"/>
      <c r="BL104" s="1831"/>
      <c r="BM104" s="1831"/>
      <c r="BN104" s="1831"/>
      <c r="BO104" s="1831"/>
      <c r="BP104" s="1831"/>
      <c r="BQ104" s="1831"/>
      <c r="BR104" s="1831"/>
      <c r="BS104" s="1831"/>
      <c r="BT104" s="1831"/>
      <c r="BU104" s="1831"/>
      <c r="BV104" s="1832"/>
      <c r="BW104" s="453"/>
    </row>
    <row r="105" spans="1:75" ht="15" customHeight="1" x14ac:dyDescent="0.2">
      <c r="A105" s="1752"/>
      <c r="C105" s="1830"/>
      <c r="D105" s="1831"/>
      <c r="E105" s="1831"/>
      <c r="F105" s="1831"/>
      <c r="G105" s="1831"/>
      <c r="H105" s="1831"/>
      <c r="I105" s="1831"/>
      <c r="J105" s="1831"/>
      <c r="K105" s="1831"/>
      <c r="L105" s="1831"/>
      <c r="M105" s="1831"/>
      <c r="N105" s="1831"/>
      <c r="O105" s="1831"/>
      <c r="P105" s="1831"/>
      <c r="Q105" s="1831"/>
      <c r="R105" s="1831"/>
      <c r="S105" s="1831"/>
      <c r="T105" s="1831"/>
      <c r="U105" s="1831"/>
      <c r="V105" s="1831"/>
      <c r="W105" s="1831"/>
      <c r="X105" s="1831"/>
      <c r="Y105" s="1831"/>
      <c r="Z105" s="1831"/>
      <c r="AA105" s="1831"/>
      <c r="AB105" s="1831"/>
      <c r="AC105" s="1831"/>
      <c r="AD105" s="1831"/>
      <c r="AE105" s="1831"/>
      <c r="AF105" s="1831"/>
      <c r="AG105" s="1831"/>
      <c r="AH105" s="1831"/>
      <c r="AI105" s="1831"/>
      <c r="AJ105" s="1831"/>
      <c r="AK105" s="1831"/>
      <c r="AL105" s="1831"/>
      <c r="AM105" s="1831"/>
      <c r="AN105" s="1831"/>
      <c r="AO105" s="1831"/>
      <c r="AP105" s="1831"/>
      <c r="AQ105" s="1831"/>
      <c r="AR105" s="1831"/>
      <c r="AS105" s="1831"/>
      <c r="AT105" s="1831"/>
      <c r="AU105" s="1831"/>
      <c r="AV105" s="1831"/>
      <c r="AW105" s="1831"/>
      <c r="AX105" s="1831"/>
      <c r="AY105" s="1831"/>
      <c r="AZ105" s="1831"/>
      <c r="BA105" s="1831"/>
      <c r="BB105" s="1831"/>
      <c r="BC105" s="1831"/>
      <c r="BD105" s="1831"/>
      <c r="BE105" s="1831"/>
      <c r="BF105" s="1831"/>
      <c r="BG105" s="1831"/>
      <c r="BH105" s="1831"/>
      <c r="BI105" s="1831"/>
      <c r="BJ105" s="1831"/>
      <c r="BK105" s="1831"/>
      <c r="BL105" s="1831"/>
      <c r="BM105" s="1831"/>
      <c r="BN105" s="1831"/>
      <c r="BO105" s="1831"/>
      <c r="BP105" s="1831"/>
      <c r="BQ105" s="1831"/>
      <c r="BR105" s="1831"/>
      <c r="BS105" s="1831"/>
      <c r="BT105" s="1831"/>
      <c r="BU105" s="1831"/>
      <c r="BV105" s="1832"/>
      <c r="BW105" s="453"/>
    </row>
    <row r="106" spans="1:75" ht="15" customHeight="1" x14ac:dyDescent="0.2">
      <c r="A106" s="1752"/>
      <c r="C106" s="1830"/>
      <c r="D106" s="1831"/>
      <c r="E106" s="1831"/>
      <c r="F106" s="1831"/>
      <c r="G106" s="1831"/>
      <c r="H106" s="1831"/>
      <c r="I106" s="1831"/>
      <c r="J106" s="1831"/>
      <c r="K106" s="1831"/>
      <c r="L106" s="1831"/>
      <c r="M106" s="1831"/>
      <c r="N106" s="1831"/>
      <c r="O106" s="1831"/>
      <c r="P106" s="1831"/>
      <c r="Q106" s="1831"/>
      <c r="R106" s="1831"/>
      <c r="S106" s="1831"/>
      <c r="T106" s="1831"/>
      <c r="U106" s="1831"/>
      <c r="V106" s="1831"/>
      <c r="W106" s="1831"/>
      <c r="X106" s="1831"/>
      <c r="Y106" s="1831"/>
      <c r="Z106" s="1831"/>
      <c r="AA106" s="1831"/>
      <c r="AB106" s="1831"/>
      <c r="AC106" s="1831"/>
      <c r="AD106" s="1831"/>
      <c r="AE106" s="1831"/>
      <c r="AF106" s="1831"/>
      <c r="AG106" s="1831"/>
      <c r="AH106" s="1831"/>
      <c r="AI106" s="1831"/>
      <c r="AJ106" s="1831"/>
      <c r="AK106" s="1831"/>
      <c r="AL106" s="1831"/>
      <c r="AM106" s="1831"/>
      <c r="AN106" s="1831"/>
      <c r="AO106" s="1831"/>
      <c r="AP106" s="1831"/>
      <c r="AQ106" s="1831"/>
      <c r="AR106" s="1831"/>
      <c r="AS106" s="1831"/>
      <c r="AT106" s="1831"/>
      <c r="AU106" s="1831"/>
      <c r="AV106" s="1831"/>
      <c r="AW106" s="1831"/>
      <c r="AX106" s="1831"/>
      <c r="AY106" s="1831"/>
      <c r="AZ106" s="1831"/>
      <c r="BA106" s="1831"/>
      <c r="BB106" s="1831"/>
      <c r="BC106" s="1831"/>
      <c r="BD106" s="1831"/>
      <c r="BE106" s="1831"/>
      <c r="BF106" s="1831"/>
      <c r="BG106" s="1831"/>
      <c r="BH106" s="1831"/>
      <c r="BI106" s="1831"/>
      <c r="BJ106" s="1831"/>
      <c r="BK106" s="1831"/>
      <c r="BL106" s="1831"/>
      <c r="BM106" s="1831"/>
      <c r="BN106" s="1831"/>
      <c r="BO106" s="1831"/>
      <c r="BP106" s="1831"/>
      <c r="BQ106" s="1831"/>
      <c r="BR106" s="1831"/>
      <c r="BS106" s="1831"/>
      <c r="BT106" s="1831"/>
      <c r="BU106" s="1831"/>
      <c r="BV106" s="1832"/>
      <c r="BW106" s="453"/>
    </row>
    <row r="107" spans="1:75" ht="15" customHeight="1" x14ac:dyDescent="0.2">
      <c r="A107" s="1752"/>
      <c r="C107" s="1830"/>
      <c r="D107" s="1831"/>
      <c r="E107" s="1831"/>
      <c r="F107" s="1831"/>
      <c r="G107" s="1831"/>
      <c r="H107" s="1831"/>
      <c r="I107" s="1831"/>
      <c r="J107" s="1831"/>
      <c r="K107" s="1831"/>
      <c r="L107" s="1831"/>
      <c r="M107" s="1831"/>
      <c r="N107" s="1831"/>
      <c r="O107" s="1831"/>
      <c r="P107" s="1831"/>
      <c r="Q107" s="1831"/>
      <c r="R107" s="1831"/>
      <c r="S107" s="1831"/>
      <c r="T107" s="1831"/>
      <c r="U107" s="1831"/>
      <c r="V107" s="1831"/>
      <c r="W107" s="1831"/>
      <c r="X107" s="1831"/>
      <c r="Y107" s="1831"/>
      <c r="Z107" s="1831"/>
      <c r="AA107" s="1831"/>
      <c r="AB107" s="1831"/>
      <c r="AC107" s="1831"/>
      <c r="AD107" s="1831"/>
      <c r="AE107" s="1831"/>
      <c r="AF107" s="1831"/>
      <c r="AG107" s="1831"/>
      <c r="AH107" s="1831"/>
      <c r="AI107" s="1831"/>
      <c r="AJ107" s="1831"/>
      <c r="AK107" s="1831"/>
      <c r="AL107" s="1831"/>
      <c r="AM107" s="1831"/>
      <c r="AN107" s="1831"/>
      <c r="AO107" s="1831"/>
      <c r="AP107" s="1831"/>
      <c r="AQ107" s="1831"/>
      <c r="AR107" s="1831"/>
      <c r="AS107" s="1831"/>
      <c r="AT107" s="1831"/>
      <c r="AU107" s="1831"/>
      <c r="AV107" s="1831"/>
      <c r="AW107" s="1831"/>
      <c r="AX107" s="1831"/>
      <c r="AY107" s="1831"/>
      <c r="AZ107" s="1831"/>
      <c r="BA107" s="1831"/>
      <c r="BB107" s="1831"/>
      <c r="BC107" s="1831"/>
      <c r="BD107" s="1831"/>
      <c r="BE107" s="1831"/>
      <c r="BF107" s="1831"/>
      <c r="BG107" s="1831"/>
      <c r="BH107" s="1831"/>
      <c r="BI107" s="1831"/>
      <c r="BJ107" s="1831"/>
      <c r="BK107" s="1831"/>
      <c r="BL107" s="1831"/>
      <c r="BM107" s="1831"/>
      <c r="BN107" s="1831"/>
      <c r="BO107" s="1831"/>
      <c r="BP107" s="1831"/>
      <c r="BQ107" s="1831"/>
      <c r="BR107" s="1831"/>
      <c r="BS107" s="1831"/>
      <c r="BT107" s="1831"/>
      <c r="BU107" s="1831"/>
      <c r="BV107" s="1832"/>
      <c r="BW107" s="453"/>
    </row>
    <row r="108" spans="1:75" ht="15" customHeight="1" x14ac:dyDescent="0.2">
      <c r="A108" s="1752"/>
      <c r="C108" s="1830"/>
      <c r="D108" s="1831"/>
      <c r="E108" s="1831"/>
      <c r="F108" s="1831"/>
      <c r="G108" s="1831"/>
      <c r="H108" s="1831"/>
      <c r="I108" s="1831"/>
      <c r="J108" s="1831"/>
      <c r="K108" s="1831"/>
      <c r="L108" s="1831"/>
      <c r="M108" s="1831"/>
      <c r="N108" s="1831"/>
      <c r="O108" s="1831"/>
      <c r="P108" s="1831"/>
      <c r="Q108" s="1831"/>
      <c r="R108" s="1831"/>
      <c r="S108" s="1831"/>
      <c r="T108" s="1831"/>
      <c r="U108" s="1831"/>
      <c r="V108" s="1831"/>
      <c r="W108" s="1831"/>
      <c r="X108" s="1831"/>
      <c r="Y108" s="1831"/>
      <c r="Z108" s="1831"/>
      <c r="AA108" s="1831"/>
      <c r="AB108" s="1831"/>
      <c r="AC108" s="1831"/>
      <c r="AD108" s="1831"/>
      <c r="AE108" s="1831"/>
      <c r="AF108" s="1831"/>
      <c r="AG108" s="1831"/>
      <c r="AH108" s="1831"/>
      <c r="AI108" s="1831"/>
      <c r="AJ108" s="1831"/>
      <c r="AK108" s="1831"/>
      <c r="AL108" s="1831"/>
      <c r="AM108" s="1831"/>
      <c r="AN108" s="1831"/>
      <c r="AO108" s="1831"/>
      <c r="AP108" s="1831"/>
      <c r="AQ108" s="1831"/>
      <c r="AR108" s="1831"/>
      <c r="AS108" s="1831"/>
      <c r="AT108" s="1831"/>
      <c r="AU108" s="1831"/>
      <c r="AV108" s="1831"/>
      <c r="AW108" s="1831"/>
      <c r="AX108" s="1831"/>
      <c r="AY108" s="1831"/>
      <c r="AZ108" s="1831"/>
      <c r="BA108" s="1831"/>
      <c r="BB108" s="1831"/>
      <c r="BC108" s="1831"/>
      <c r="BD108" s="1831"/>
      <c r="BE108" s="1831"/>
      <c r="BF108" s="1831"/>
      <c r="BG108" s="1831"/>
      <c r="BH108" s="1831"/>
      <c r="BI108" s="1831"/>
      <c r="BJ108" s="1831"/>
      <c r="BK108" s="1831"/>
      <c r="BL108" s="1831"/>
      <c r="BM108" s="1831"/>
      <c r="BN108" s="1831"/>
      <c r="BO108" s="1831"/>
      <c r="BP108" s="1831"/>
      <c r="BQ108" s="1831"/>
      <c r="BR108" s="1831"/>
      <c r="BS108" s="1831"/>
      <c r="BT108" s="1831"/>
      <c r="BU108" s="1831"/>
      <c r="BV108" s="1832"/>
      <c r="BW108" s="453"/>
    </row>
    <row r="109" spans="1:75" ht="15" customHeight="1" x14ac:dyDescent="0.2">
      <c r="A109" s="1752"/>
      <c r="C109" s="1830"/>
      <c r="D109" s="1831"/>
      <c r="E109" s="1831"/>
      <c r="F109" s="1831"/>
      <c r="G109" s="1831"/>
      <c r="H109" s="1831"/>
      <c r="I109" s="1831"/>
      <c r="J109" s="1831"/>
      <c r="K109" s="1831"/>
      <c r="L109" s="1831"/>
      <c r="M109" s="1831"/>
      <c r="N109" s="1831"/>
      <c r="O109" s="1831"/>
      <c r="P109" s="1831"/>
      <c r="Q109" s="1831"/>
      <c r="R109" s="1831"/>
      <c r="S109" s="1831"/>
      <c r="T109" s="1831"/>
      <c r="U109" s="1831"/>
      <c r="V109" s="1831"/>
      <c r="W109" s="1831"/>
      <c r="X109" s="1831"/>
      <c r="Y109" s="1831"/>
      <c r="Z109" s="1831"/>
      <c r="AA109" s="1831"/>
      <c r="AB109" s="1831"/>
      <c r="AC109" s="1831"/>
      <c r="AD109" s="1831"/>
      <c r="AE109" s="1831"/>
      <c r="AF109" s="1831"/>
      <c r="AG109" s="1831"/>
      <c r="AH109" s="1831"/>
      <c r="AI109" s="1831"/>
      <c r="AJ109" s="1831"/>
      <c r="AK109" s="1831"/>
      <c r="AL109" s="1831"/>
      <c r="AM109" s="1831"/>
      <c r="AN109" s="1831"/>
      <c r="AO109" s="1831"/>
      <c r="AP109" s="1831"/>
      <c r="AQ109" s="1831"/>
      <c r="AR109" s="1831"/>
      <c r="AS109" s="1831"/>
      <c r="AT109" s="1831"/>
      <c r="AU109" s="1831"/>
      <c r="AV109" s="1831"/>
      <c r="AW109" s="1831"/>
      <c r="AX109" s="1831"/>
      <c r="AY109" s="1831"/>
      <c r="AZ109" s="1831"/>
      <c r="BA109" s="1831"/>
      <c r="BB109" s="1831"/>
      <c r="BC109" s="1831"/>
      <c r="BD109" s="1831"/>
      <c r="BE109" s="1831"/>
      <c r="BF109" s="1831"/>
      <c r="BG109" s="1831"/>
      <c r="BH109" s="1831"/>
      <c r="BI109" s="1831"/>
      <c r="BJ109" s="1831"/>
      <c r="BK109" s="1831"/>
      <c r="BL109" s="1831"/>
      <c r="BM109" s="1831"/>
      <c r="BN109" s="1831"/>
      <c r="BO109" s="1831"/>
      <c r="BP109" s="1831"/>
      <c r="BQ109" s="1831"/>
      <c r="BR109" s="1831"/>
      <c r="BS109" s="1831"/>
      <c r="BT109" s="1831"/>
      <c r="BU109" s="1831"/>
      <c r="BV109" s="1832"/>
      <c r="BW109" s="453"/>
    </row>
    <row r="110" spans="1:75" ht="15" customHeight="1" x14ac:dyDescent="0.2">
      <c r="A110" s="1752"/>
      <c r="C110" s="1830"/>
      <c r="D110" s="1831"/>
      <c r="E110" s="1831"/>
      <c r="F110" s="1831"/>
      <c r="G110" s="1831"/>
      <c r="H110" s="1831"/>
      <c r="I110" s="1831"/>
      <c r="J110" s="1831"/>
      <c r="K110" s="1831"/>
      <c r="L110" s="1831"/>
      <c r="M110" s="1831"/>
      <c r="N110" s="1831"/>
      <c r="O110" s="1831"/>
      <c r="P110" s="1831"/>
      <c r="Q110" s="1831"/>
      <c r="R110" s="1831"/>
      <c r="S110" s="1831"/>
      <c r="T110" s="1831"/>
      <c r="U110" s="1831"/>
      <c r="V110" s="1831"/>
      <c r="W110" s="1831"/>
      <c r="X110" s="1831"/>
      <c r="Y110" s="1831"/>
      <c r="Z110" s="1831"/>
      <c r="AA110" s="1831"/>
      <c r="AB110" s="1831"/>
      <c r="AC110" s="1831"/>
      <c r="AD110" s="1831"/>
      <c r="AE110" s="1831"/>
      <c r="AF110" s="1831"/>
      <c r="AG110" s="1831"/>
      <c r="AH110" s="1831"/>
      <c r="AI110" s="1831"/>
      <c r="AJ110" s="1831"/>
      <c r="AK110" s="1831"/>
      <c r="AL110" s="1831"/>
      <c r="AM110" s="1831"/>
      <c r="AN110" s="1831"/>
      <c r="AO110" s="1831"/>
      <c r="AP110" s="1831"/>
      <c r="AQ110" s="1831"/>
      <c r="AR110" s="1831"/>
      <c r="AS110" s="1831"/>
      <c r="AT110" s="1831"/>
      <c r="AU110" s="1831"/>
      <c r="AV110" s="1831"/>
      <c r="AW110" s="1831"/>
      <c r="AX110" s="1831"/>
      <c r="AY110" s="1831"/>
      <c r="AZ110" s="1831"/>
      <c r="BA110" s="1831"/>
      <c r="BB110" s="1831"/>
      <c r="BC110" s="1831"/>
      <c r="BD110" s="1831"/>
      <c r="BE110" s="1831"/>
      <c r="BF110" s="1831"/>
      <c r="BG110" s="1831"/>
      <c r="BH110" s="1831"/>
      <c r="BI110" s="1831"/>
      <c r="BJ110" s="1831"/>
      <c r="BK110" s="1831"/>
      <c r="BL110" s="1831"/>
      <c r="BM110" s="1831"/>
      <c r="BN110" s="1831"/>
      <c r="BO110" s="1831"/>
      <c r="BP110" s="1831"/>
      <c r="BQ110" s="1831"/>
      <c r="BR110" s="1831"/>
      <c r="BS110" s="1831"/>
      <c r="BT110" s="1831"/>
      <c r="BU110" s="1831"/>
      <c r="BV110" s="1832"/>
      <c r="BW110" s="453"/>
    </row>
    <row r="111" spans="1:75" ht="15" customHeight="1" x14ac:dyDescent="0.2">
      <c r="A111" s="1752"/>
      <c r="C111" s="1830"/>
      <c r="D111" s="1831"/>
      <c r="E111" s="1831"/>
      <c r="F111" s="1831"/>
      <c r="G111" s="1831"/>
      <c r="H111" s="1831"/>
      <c r="I111" s="1831"/>
      <c r="J111" s="1831"/>
      <c r="K111" s="1831"/>
      <c r="L111" s="1831"/>
      <c r="M111" s="1831"/>
      <c r="N111" s="1831"/>
      <c r="O111" s="1831"/>
      <c r="P111" s="1831"/>
      <c r="Q111" s="1831"/>
      <c r="R111" s="1831"/>
      <c r="S111" s="1831"/>
      <c r="T111" s="1831"/>
      <c r="U111" s="1831"/>
      <c r="V111" s="1831"/>
      <c r="W111" s="1831"/>
      <c r="X111" s="1831"/>
      <c r="Y111" s="1831"/>
      <c r="Z111" s="1831"/>
      <c r="AA111" s="1831"/>
      <c r="AB111" s="1831"/>
      <c r="AC111" s="1831"/>
      <c r="AD111" s="1831"/>
      <c r="AE111" s="1831"/>
      <c r="AF111" s="1831"/>
      <c r="AG111" s="1831"/>
      <c r="AH111" s="1831"/>
      <c r="AI111" s="1831"/>
      <c r="AJ111" s="1831"/>
      <c r="AK111" s="1831"/>
      <c r="AL111" s="1831"/>
      <c r="AM111" s="1831"/>
      <c r="AN111" s="1831"/>
      <c r="AO111" s="1831"/>
      <c r="AP111" s="1831"/>
      <c r="AQ111" s="1831"/>
      <c r="AR111" s="1831"/>
      <c r="AS111" s="1831"/>
      <c r="AT111" s="1831"/>
      <c r="AU111" s="1831"/>
      <c r="AV111" s="1831"/>
      <c r="AW111" s="1831"/>
      <c r="AX111" s="1831"/>
      <c r="AY111" s="1831"/>
      <c r="AZ111" s="1831"/>
      <c r="BA111" s="1831"/>
      <c r="BB111" s="1831"/>
      <c r="BC111" s="1831"/>
      <c r="BD111" s="1831"/>
      <c r="BE111" s="1831"/>
      <c r="BF111" s="1831"/>
      <c r="BG111" s="1831"/>
      <c r="BH111" s="1831"/>
      <c r="BI111" s="1831"/>
      <c r="BJ111" s="1831"/>
      <c r="BK111" s="1831"/>
      <c r="BL111" s="1831"/>
      <c r="BM111" s="1831"/>
      <c r="BN111" s="1831"/>
      <c r="BO111" s="1831"/>
      <c r="BP111" s="1831"/>
      <c r="BQ111" s="1831"/>
      <c r="BR111" s="1831"/>
      <c r="BS111" s="1831"/>
      <c r="BT111" s="1831"/>
      <c r="BU111" s="1831"/>
      <c r="BV111" s="1832"/>
      <c r="BW111" s="453"/>
    </row>
    <row r="112" spans="1:75" ht="15" customHeight="1" x14ac:dyDescent="0.2">
      <c r="A112" s="1752"/>
      <c r="C112" s="1830"/>
      <c r="D112" s="1831"/>
      <c r="E112" s="1831"/>
      <c r="F112" s="1831"/>
      <c r="G112" s="1831"/>
      <c r="H112" s="1831"/>
      <c r="I112" s="1831"/>
      <c r="J112" s="1831"/>
      <c r="K112" s="1831"/>
      <c r="L112" s="1831"/>
      <c r="M112" s="1831"/>
      <c r="N112" s="1831"/>
      <c r="O112" s="1831"/>
      <c r="P112" s="1831"/>
      <c r="Q112" s="1831"/>
      <c r="R112" s="1831"/>
      <c r="S112" s="1831"/>
      <c r="T112" s="1831"/>
      <c r="U112" s="1831"/>
      <c r="V112" s="1831"/>
      <c r="W112" s="1831"/>
      <c r="X112" s="1831"/>
      <c r="Y112" s="1831"/>
      <c r="Z112" s="1831"/>
      <c r="AA112" s="1831"/>
      <c r="AB112" s="1831"/>
      <c r="AC112" s="1831"/>
      <c r="AD112" s="1831"/>
      <c r="AE112" s="1831"/>
      <c r="AF112" s="1831"/>
      <c r="AG112" s="1831"/>
      <c r="AH112" s="1831"/>
      <c r="AI112" s="1831"/>
      <c r="AJ112" s="1831"/>
      <c r="AK112" s="1831"/>
      <c r="AL112" s="1831"/>
      <c r="AM112" s="1831"/>
      <c r="AN112" s="1831"/>
      <c r="AO112" s="1831"/>
      <c r="AP112" s="1831"/>
      <c r="AQ112" s="1831"/>
      <c r="AR112" s="1831"/>
      <c r="AS112" s="1831"/>
      <c r="AT112" s="1831"/>
      <c r="AU112" s="1831"/>
      <c r="AV112" s="1831"/>
      <c r="AW112" s="1831"/>
      <c r="AX112" s="1831"/>
      <c r="AY112" s="1831"/>
      <c r="AZ112" s="1831"/>
      <c r="BA112" s="1831"/>
      <c r="BB112" s="1831"/>
      <c r="BC112" s="1831"/>
      <c r="BD112" s="1831"/>
      <c r="BE112" s="1831"/>
      <c r="BF112" s="1831"/>
      <c r="BG112" s="1831"/>
      <c r="BH112" s="1831"/>
      <c r="BI112" s="1831"/>
      <c r="BJ112" s="1831"/>
      <c r="BK112" s="1831"/>
      <c r="BL112" s="1831"/>
      <c r="BM112" s="1831"/>
      <c r="BN112" s="1831"/>
      <c r="BO112" s="1831"/>
      <c r="BP112" s="1831"/>
      <c r="BQ112" s="1831"/>
      <c r="BR112" s="1831"/>
      <c r="BS112" s="1831"/>
      <c r="BT112" s="1831"/>
      <c r="BU112" s="1831"/>
      <c r="BV112" s="1832"/>
      <c r="BW112" s="453"/>
    </row>
    <row r="113" spans="1:108" ht="15" customHeight="1" x14ac:dyDescent="0.2">
      <c r="A113" s="1752"/>
      <c r="C113" s="1830"/>
      <c r="D113" s="1831"/>
      <c r="E113" s="1831"/>
      <c r="F113" s="1831"/>
      <c r="G113" s="1831"/>
      <c r="H113" s="1831"/>
      <c r="I113" s="1831"/>
      <c r="J113" s="1831"/>
      <c r="K113" s="1831"/>
      <c r="L113" s="1831"/>
      <c r="M113" s="1831"/>
      <c r="N113" s="1831"/>
      <c r="O113" s="1831"/>
      <c r="P113" s="1831"/>
      <c r="Q113" s="1831"/>
      <c r="R113" s="1831"/>
      <c r="S113" s="1831"/>
      <c r="T113" s="1831"/>
      <c r="U113" s="1831"/>
      <c r="V113" s="1831"/>
      <c r="W113" s="1831"/>
      <c r="X113" s="1831"/>
      <c r="Y113" s="1831"/>
      <c r="Z113" s="1831"/>
      <c r="AA113" s="1831"/>
      <c r="AB113" s="1831"/>
      <c r="AC113" s="1831"/>
      <c r="AD113" s="1831"/>
      <c r="AE113" s="1831"/>
      <c r="AF113" s="1831"/>
      <c r="AG113" s="1831"/>
      <c r="AH113" s="1831"/>
      <c r="AI113" s="1831"/>
      <c r="AJ113" s="1831"/>
      <c r="AK113" s="1831"/>
      <c r="AL113" s="1831"/>
      <c r="AM113" s="1831"/>
      <c r="AN113" s="1831"/>
      <c r="AO113" s="1831"/>
      <c r="AP113" s="1831"/>
      <c r="AQ113" s="1831"/>
      <c r="AR113" s="1831"/>
      <c r="AS113" s="1831"/>
      <c r="AT113" s="1831"/>
      <c r="AU113" s="1831"/>
      <c r="AV113" s="1831"/>
      <c r="AW113" s="1831"/>
      <c r="AX113" s="1831"/>
      <c r="AY113" s="1831"/>
      <c r="AZ113" s="1831"/>
      <c r="BA113" s="1831"/>
      <c r="BB113" s="1831"/>
      <c r="BC113" s="1831"/>
      <c r="BD113" s="1831"/>
      <c r="BE113" s="1831"/>
      <c r="BF113" s="1831"/>
      <c r="BG113" s="1831"/>
      <c r="BH113" s="1831"/>
      <c r="BI113" s="1831"/>
      <c r="BJ113" s="1831"/>
      <c r="BK113" s="1831"/>
      <c r="BL113" s="1831"/>
      <c r="BM113" s="1831"/>
      <c r="BN113" s="1831"/>
      <c r="BO113" s="1831"/>
      <c r="BP113" s="1831"/>
      <c r="BQ113" s="1831"/>
      <c r="BR113" s="1831"/>
      <c r="BS113" s="1831"/>
      <c r="BT113" s="1831"/>
      <c r="BU113" s="1831"/>
      <c r="BV113" s="1832"/>
      <c r="BW113" s="453"/>
    </row>
    <row r="114" spans="1:108" ht="15" customHeight="1" x14ac:dyDescent="0.2">
      <c r="A114" s="1752"/>
      <c r="C114" s="1830"/>
      <c r="D114" s="1831"/>
      <c r="E114" s="1831"/>
      <c r="F114" s="1831"/>
      <c r="G114" s="1831"/>
      <c r="H114" s="1831"/>
      <c r="I114" s="1831"/>
      <c r="J114" s="1831"/>
      <c r="K114" s="1831"/>
      <c r="L114" s="1831"/>
      <c r="M114" s="1831"/>
      <c r="N114" s="1831"/>
      <c r="O114" s="1831"/>
      <c r="P114" s="1831"/>
      <c r="Q114" s="1831"/>
      <c r="R114" s="1831"/>
      <c r="S114" s="1831"/>
      <c r="T114" s="1831"/>
      <c r="U114" s="1831"/>
      <c r="V114" s="1831"/>
      <c r="W114" s="1831"/>
      <c r="X114" s="1831"/>
      <c r="Y114" s="1831"/>
      <c r="Z114" s="1831"/>
      <c r="AA114" s="1831"/>
      <c r="AB114" s="1831"/>
      <c r="AC114" s="1831"/>
      <c r="AD114" s="1831"/>
      <c r="AE114" s="1831"/>
      <c r="AF114" s="1831"/>
      <c r="AG114" s="1831"/>
      <c r="AH114" s="1831"/>
      <c r="AI114" s="1831"/>
      <c r="AJ114" s="1831"/>
      <c r="AK114" s="1831"/>
      <c r="AL114" s="1831"/>
      <c r="AM114" s="1831"/>
      <c r="AN114" s="1831"/>
      <c r="AO114" s="1831"/>
      <c r="AP114" s="1831"/>
      <c r="AQ114" s="1831"/>
      <c r="AR114" s="1831"/>
      <c r="AS114" s="1831"/>
      <c r="AT114" s="1831"/>
      <c r="AU114" s="1831"/>
      <c r="AV114" s="1831"/>
      <c r="AW114" s="1831"/>
      <c r="AX114" s="1831"/>
      <c r="AY114" s="1831"/>
      <c r="AZ114" s="1831"/>
      <c r="BA114" s="1831"/>
      <c r="BB114" s="1831"/>
      <c r="BC114" s="1831"/>
      <c r="BD114" s="1831"/>
      <c r="BE114" s="1831"/>
      <c r="BF114" s="1831"/>
      <c r="BG114" s="1831"/>
      <c r="BH114" s="1831"/>
      <c r="BI114" s="1831"/>
      <c r="BJ114" s="1831"/>
      <c r="BK114" s="1831"/>
      <c r="BL114" s="1831"/>
      <c r="BM114" s="1831"/>
      <c r="BN114" s="1831"/>
      <c r="BO114" s="1831"/>
      <c r="BP114" s="1831"/>
      <c r="BQ114" s="1831"/>
      <c r="BR114" s="1831"/>
      <c r="BS114" s="1831"/>
      <c r="BT114" s="1831"/>
      <c r="BU114" s="1831"/>
      <c r="BV114" s="1832"/>
      <c r="BW114" s="453"/>
    </row>
    <row r="115" spans="1:108" ht="15" customHeight="1" thickBot="1" x14ac:dyDescent="0.25">
      <c r="A115" s="1752"/>
      <c r="C115" s="1833"/>
      <c r="D115" s="1834"/>
      <c r="E115" s="1834"/>
      <c r="F115" s="1834"/>
      <c r="G115" s="1834"/>
      <c r="H115" s="1834"/>
      <c r="I115" s="1834"/>
      <c r="J115" s="1834"/>
      <c r="K115" s="1834"/>
      <c r="L115" s="1834"/>
      <c r="M115" s="1834"/>
      <c r="N115" s="1834"/>
      <c r="O115" s="1834"/>
      <c r="P115" s="1834"/>
      <c r="Q115" s="1834"/>
      <c r="R115" s="1834"/>
      <c r="S115" s="1834"/>
      <c r="T115" s="1834"/>
      <c r="U115" s="1834"/>
      <c r="V115" s="1834"/>
      <c r="W115" s="1834"/>
      <c r="X115" s="1834"/>
      <c r="Y115" s="1834"/>
      <c r="Z115" s="1834"/>
      <c r="AA115" s="1834"/>
      <c r="AB115" s="1834"/>
      <c r="AC115" s="1834"/>
      <c r="AD115" s="1834"/>
      <c r="AE115" s="1834"/>
      <c r="AF115" s="1834"/>
      <c r="AG115" s="1834"/>
      <c r="AH115" s="1834"/>
      <c r="AI115" s="1834"/>
      <c r="AJ115" s="1834"/>
      <c r="AK115" s="1834"/>
      <c r="AL115" s="1834"/>
      <c r="AM115" s="1834"/>
      <c r="AN115" s="1834"/>
      <c r="AO115" s="1834"/>
      <c r="AP115" s="1834"/>
      <c r="AQ115" s="1834"/>
      <c r="AR115" s="1834"/>
      <c r="AS115" s="1834"/>
      <c r="AT115" s="1834"/>
      <c r="AU115" s="1834"/>
      <c r="AV115" s="1834"/>
      <c r="AW115" s="1834"/>
      <c r="AX115" s="1834"/>
      <c r="AY115" s="1834"/>
      <c r="AZ115" s="1834"/>
      <c r="BA115" s="1834"/>
      <c r="BB115" s="1834"/>
      <c r="BC115" s="1834"/>
      <c r="BD115" s="1834"/>
      <c r="BE115" s="1834"/>
      <c r="BF115" s="1834"/>
      <c r="BG115" s="1834"/>
      <c r="BH115" s="1834"/>
      <c r="BI115" s="1834"/>
      <c r="BJ115" s="1834"/>
      <c r="BK115" s="1834"/>
      <c r="BL115" s="1834"/>
      <c r="BM115" s="1834"/>
      <c r="BN115" s="1834"/>
      <c r="BO115" s="1834"/>
      <c r="BP115" s="1834"/>
      <c r="BQ115" s="1834"/>
      <c r="BR115" s="1834"/>
      <c r="BS115" s="1834"/>
      <c r="BT115" s="1834"/>
      <c r="BU115" s="1834"/>
      <c r="BV115" s="1835"/>
      <c r="BW115" s="453"/>
    </row>
    <row r="116" spans="1:108" ht="15" customHeight="1" x14ac:dyDescent="0.2">
      <c r="A116" s="1752"/>
      <c r="C116" s="456"/>
      <c r="D116" s="526"/>
      <c r="E116" s="526"/>
      <c r="F116" s="526"/>
      <c r="G116" s="526"/>
      <c r="H116" s="526"/>
      <c r="I116" s="526"/>
      <c r="J116" s="526"/>
      <c r="K116" s="526"/>
      <c r="L116" s="526"/>
      <c r="M116" s="526"/>
      <c r="N116" s="526"/>
      <c r="O116" s="526"/>
      <c r="P116" s="526"/>
      <c r="Q116" s="526"/>
      <c r="R116" s="526"/>
      <c r="S116" s="526"/>
      <c r="T116" s="526"/>
      <c r="U116" s="526"/>
      <c r="V116" s="526"/>
      <c r="W116" s="526"/>
      <c r="X116" s="526"/>
      <c r="Y116" s="526"/>
      <c r="Z116" s="526"/>
      <c r="AA116" s="526"/>
      <c r="AB116" s="526"/>
      <c r="AC116" s="526"/>
      <c r="AD116" s="526"/>
      <c r="AE116" s="526"/>
      <c r="AF116" s="526"/>
      <c r="AG116" s="526"/>
      <c r="AH116" s="526"/>
      <c r="AI116" s="526"/>
      <c r="AJ116" s="526"/>
      <c r="AK116" s="526"/>
      <c r="AL116" s="526"/>
      <c r="AM116" s="526"/>
      <c r="AN116" s="526"/>
      <c r="AO116" s="526"/>
      <c r="AP116" s="526"/>
      <c r="AQ116" s="526"/>
      <c r="AR116" s="526"/>
      <c r="AS116" s="526"/>
      <c r="AT116" s="526"/>
      <c r="AU116" s="526"/>
      <c r="AV116" s="526"/>
      <c r="AW116" s="526"/>
      <c r="AX116" s="526"/>
      <c r="AY116" s="526"/>
      <c r="AZ116" s="526"/>
      <c r="BA116" s="526"/>
      <c r="BB116" s="526"/>
      <c r="BC116" s="526"/>
      <c r="BD116" s="526"/>
      <c r="BV116" s="527"/>
      <c r="BW116" s="453"/>
    </row>
    <row r="117" spans="1:108" ht="15" customHeight="1" x14ac:dyDescent="0.25">
      <c r="A117" s="1752"/>
      <c r="C117" s="453"/>
      <c r="E117" s="818" t="s">
        <v>917</v>
      </c>
      <c r="F117" s="817"/>
      <c r="G117" s="817"/>
      <c r="H117" s="817"/>
      <c r="I117" s="817"/>
      <c r="J117" s="817"/>
      <c r="K117" s="817"/>
      <c r="L117" s="817"/>
      <c r="M117" s="817"/>
      <c r="N117" s="817"/>
      <c r="O117" s="817"/>
      <c r="P117" s="817"/>
      <c r="Q117" s="817"/>
      <c r="R117" s="817"/>
      <c r="S117" s="817"/>
      <c r="T117" s="817"/>
      <c r="U117" s="817"/>
      <c r="V117" s="817"/>
      <c r="W117" s="817"/>
      <c r="X117" s="817"/>
      <c r="Y117" s="817"/>
      <c r="Z117" s="817"/>
      <c r="AA117" s="817"/>
      <c r="AC117" s="817"/>
      <c r="AD117" s="829" t="s">
        <v>917</v>
      </c>
      <c r="AE117" s="817"/>
      <c r="AF117" s="817"/>
      <c r="AG117" s="817"/>
      <c r="AH117" s="817"/>
      <c r="AI117" s="817"/>
      <c r="AJ117" s="817"/>
      <c r="AK117" s="817"/>
      <c r="AL117" s="817"/>
      <c r="AM117" s="819"/>
      <c r="AN117" s="819"/>
      <c r="AO117" s="819"/>
      <c r="AP117" s="819"/>
      <c r="AQ117" s="819"/>
      <c r="AR117" s="817"/>
      <c r="AS117" s="817"/>
      <c r="AT117" s="817"/>
      <c r="AU117" s="817"/>
      <c r="AV117" s="817"/>
      <c r="AW117" s="817"/>
      <c r="AX117" s="817"/>
      <c r="AZ117" s="829" t="s">
        <v>917</v>
      </c>
      <c r="BA117" s="817"/>
      <c r="BB117" s="817"/>
      <c r="BD117" s="457"/>
      <c r="BV117" s="447"/>
      <c r="BW117" s="453"/>
    </row>
    <row r="118" spans="1:108" ht="15" customHeight="1" x14ac:dyDescent="0.2">
      <c r="A118" s="1752"/>
      <c r="C118" s="453"/>
      <c r="E118" s="458"/>
      <c r="F118" s="459"/>
      <c r="G118" s="459"/>
      <c r="H118" s="459"/>
      <c r="I118" s="459"/>
      <c r="J118" s="459"/>
      <c r="K118" s="459"/>
      <c r="L118" s="459"/>
      <c r="M118" s="459"/>
      <c r="N118" s="459"/>
      <c r="O118" s="459"/>
      <c r="P118" s="459"/>
      <c r="Q118" s="459"/>
      <c r="R118" s="459"/>
      <c r="S118" s="459"/>
      <c r="T118" s="459"/>
      <c r="U118" s="460"/>
      <c r="V118" s="460"/>
      <c r="W118" s="460"/>
      <c r="X118" s="460"/>
      <c r="Y118" s="461"/>
      <c r="AB118" s="463"/>
      <c r="AC118" s="463"/>
      <c r="AD118" s="458"/>
      <c r="AE118" s="459"/>
      <c r="AF118" s="459"/>
      <c r="AG118" s="459"/>
      <c r="AH118" s="459"/>
      <c r="AI118" s="459"/>
      <c r="AJ118" s="459"/>
      <c r="AK118" s="459"/>
      <c r="AL118" s="459"/>
      <c r="AM118" s="459"/>
      <c r="AN118" s="459"/>
      <c r="AO118" s="459"/>
      <c r="AP118" s="459"/>
      <c r="AQ118" s="459"/>
      <c r="AR118" s="460"/>
      <c r="AS118" s="460"/>
      <c r="AT118" s="460"/>
      <c r="AU118" s="460"/>
      <c r="AV118" s="461"/>
      <c r="AY118" s="463"/>
      <c r="AZ118" s="458"/>
      <c r="BA118" s="459"/>
      <c r="BB118" s="459"/>
      <c r="BC118" s="459"/>
      <c r="BD118" s="459"/>
      <c r="BE118" s="459"/>
      <c r="BF118" s="459"/>
      <c r="BG118" s="459"/>
      <c r="BH118" s="459"/>
      <c r="BI118" s="459"/>
      <c r="BJ118" s="459"/>
      <c r="BK118" s="459"/>
      <c r="BL118" s="459"/>
      <c r="BM118" s="459"/>
      <c r="BN118" s="459"/>
      <c r="BO118" s="460"/>
      <c r="BP118" s="460"/>
      <c r="BQ118" s="460"/>
      <c r="BR118" s="461"/>
      <c r="BV118" s="447"/>
      <c r="BW118" s="453"/>
    </row>
    <row r="119" spans="1:108" ht="15" customHeight="1" x14ac:dyDescent="0.2">
      <c r="A119" s="1752"/>
      <c r="C119" s="453"/>
      <c r="E119" s="462"/>
      <c r="F119" s="463"/>
      <c r="G119" s="463"/>
      <c r="H119" s="463"/>
      <c r="I119" s="463"/>
      <c r="J119" s="463"/>
      <c r="K119" s="463"/>
      <c r="L119" s="463"/>
      <c r="M119" s="463"/>
      <c r="N119" s="463"/>
      <c r="O119" s="463"/>
      <c r="P119" s="463"/>
      <c r="Q119" s="463"/>
      <c r="R119" s="463"/>
      <c r="S119" s="463"/>
      <c r="T119" s="463"/>
      <c r="Y119" s="464"/>
      <c r="AB119" s="463"/>
      <c r="AC119" s="463"/>
      <c r="AD119" s="462"/>
      <c r="AE119" s="463"/>
      <c r="AF119" s="463"/>
      <c r="AG119" s="463"/>
      <c r="AH119" s="463"/>
      <c r="AI119" s="463"/>
      <c r="AJ119" s="463"/>
      <c r="AK119" s="463"/>
      <c r="AL119" s="463"/>
      <c r="AM119" s="463"/>
      <c r="AN119" s="463"/>
      <c r="AO119" s="463"/>
      <c r="AP119" s="463"/>
      <c r="AQ119" s="463"/>
      <c r="AV119" s="464"/>
      <c r="AY119" s="463"/>
      <c r="AZ119" s="462"/>
      <c r="BA119" s="463"/>
      <c r="BB119" s="463"/>
      <c r="BC119" s="463"/>
      <c r="BD119" s="463"/>
      <c r="BE119" s="463"/>
      <c r="BF119" s="463"/>
      <c r="BG119" s="463"/>
      <c r="BH119" s="463"/>
      <c r="BI119" s="463"/>
      <c r="BJ119" s="463"/>
      <c r="BK119" s="463"/>
      <c r="BL119" s="463"/>
      <c r="BM119" s="463"/>
      <c r="BN119" s="463"/>
      <c r="BR119" s="464"/>
      <c r="BV119" s="447"/>
      <c r="BW119" s="453"/>
    </row>
    <row r="120" spans="1:108" ht="15" customHeight="1" x14ac:dyDescent="0.2">
      <c r="A120" s="1752"/>
      <c r="C120" s="453"/>
      <c r="E120" s="462"/>
      <c r="F120" s="463"/>
      <c r="G120" s="463"/>
      <c r="H120" s="463"/>
      <c r="I120" s="463"/>
      <c r="J120" s="463"/>
      <c r="K120" s="463"/>
      <c r="L120" s="463"/>
      <c r="M120" s="463"/>
      <c r="N120" s="463"/>
      <c r="O120" s="463"/>
      <c r="P120" s="463"/>
      <c r="Q120" s="463"/>
      <c r="R120" s="463"/>
      <c r="S120" s="463"/>
      <c r="T120" s="463"/>
      <c r="Y120" s="464"/>
      <c r="AB120" s="463"/>
      <c r="AC120" s="463"/>
      <c r="AD120" s="462"/>
      <c r="AE120" s="463"/>
      <c r="AF120" s="463"/>
      <c r="AG120" s="463"/>
      <c r="AH120" s="463"/>
      <c r="AI120" s="463"/>
      <c r="AJ120" s="463"/>
      <c r="AK120" s="463"/>
      <c r="AL120" s="463"/>
      <c r="AM120" s="463"/>
      <c r="AN120" s="463"/>
      <c r="AO120" s="463"/>
      <c r="AP120" s="463"/>
      <c r="AQ120" s="463"/>
      <c r="AV120" s="464"/>
      <c r="AY120" s="463"/>
      <c r="AZ120" s="462"/>
      <c r="BA120" s="463"/>
      <c r="BB120" s="463"/>
      <c r="BC120" s="463"/>
      <c r="BD120" s="463"/>
      <c r="BE120" s="463"/>
      <c r="BF120" s="463"/>
      <c r="BG120" s="463"/>
      <c r="BH120" s="463"/>
      <c r="BI120" s="463"/>
      <c r="BJ120" s="463"/>
      <c r="BK120" s="463"/>
      <c r="BL120" s="463"/>
      <c r="BM120" s="463"/>
      <c r="BN120" s="463"/>
      <c r="BR120" s="464"/>
      <c r="BV120" s="447"/>
      <c r="BW120" s="453"/>
    </row>
    <row r="121" spans="1:108" ht="15" customHeight="1" x14ac:dyDescent="0.2">
      <c r="A121" s="1752"/>
      <c r="C121" s="453"/>
      <c r="E121" s="462"/>
      <c r="F121" s="463"/>
      <c r="G121" s="463"/>
      <c r="H121" s="463"/>
      <c r="I121" s="463"/>
      <c r="J121" s="463"/>
      <c r="K121" s="463"/>
      <c r="L121" s="463"/>
      <c r="M121" s="463"/>
      <c r="N121" s="463"/>
      <c r="O121" s="463"/>
      <c r="P121" s="463"/>
      <c r="Q121" s="463"/>
      <c r="R121" s="463"/>
      <c r="S121" s="463"/>
      <c r="T121" s="463"/>
      <c r="Y121" s="464"/>
      <c r="AB121" s="463"/>
      <c r="AC121" s="463"/>
      <c r="AD121" s="462"/>
      <c r="AE121" s="463"/>
      <c r="AF121" s="463"/>
      <c r="AG121" s="463"/>
      <c r="AH121" s="463"/>
      <c r="AI121" s="463"/>
      <c r="AJ121" s="463"/>
      <c r="AK121" s="463"/>
      <c r="AL121" s="463"/>
      <c r="AM121" s="463"/>
      <c r="AN121" s="463"/>
      <c r="AO121" s="463"/>
      <c r="AP121" s="463"/>
      <c r="AQ121" s="463"/>
      <c r="AV121" s="464"/>
      <c r="AY121" s="463"/>
      <c r="AZ121" s="462"/>
      <c r="BA121" s="463"/>
      <c r="BB121" s="463"/>
      <c r="BC121" s="463"/>
      <c r="BD121" s="463"/>
      <c r="BE121" s="463"/>
      <c r="BF121" s="463"/>
      <c r="BG121" s="463"/>
      <c r="BH121" s="463"/>
      <c r="BI121" s="463"/>
      <c r="BJ121" s="463"/>
      <c r="BK121" s="463"/>
      <c r="BL121" s="463"/>
      <c r="BM121" s="463"/>
      <c r="BN121" s="463"/>
      <c r="BR121" s="464"/>
      <c r="BV121" s="447"/>
      <c r="BW121" s="453"/>
    </row>
    <row r="122" spans="1:108" ht="15" customHeight="1" x14ac:dyDescent="0.2">
      <c r="A122" s="1752"/>
      <c r="C122" s="453"/>
      <c r="E122" s="462"/>
      <c r="F122" s="463"/>
      <c r="G122" s="463"/>
      <c r="H122" s="463"/>
      <c r="I122" s="463"/>
      <c r="J122" s="463"/>
      <c r="K122" s="463"/>
      <c r="L122" s="463"/>
      <c r="M122" s="463"/>
      <c r="N122" s="463"/>
      <c r="O122" s="463"/>
      <c r="P122" s="463"/>
      <c r="Q122" s="463"/>
      <c r="R122" s="463"/>
      <c r="S122" s="463"/>
      <c r="T122" s="463"/>
      <c r="Y122" s="464"/>
      <c r="AB122" s="463"/>
      <c r="AC122" s="463"/>
      <c r="AD122" s="462"/>
      <c r="AE122" s="463"/>
      <c r="AF122" s="463"/>
      <c r="AG122" s="463"/>
      <c r="AH122" s="463"/>
      <c r="AI122" s="463"/>
      <c r="AJ122" s="463"/>
      <c r="AK122" s="463"/>
      <c r="AL122" s="463"/>
      <c r="AM122" s="463"/>
      <c r="AN122" s="463"/>
      <c r="AO122" s="463"/>
      <c r="AP122" s="463"/>
      <c r="AQ122" s="463"/>
      <c r="AV122" s="464"/>
      <c r="AY122" s="463"/>
      <c r="AZ122" s="462"/>
      <c r="BA122" s="463"/>
      <c r="BB122" s="463"/>
      <c r="BC122" s="463"/>
      <c r="BD122" s="463"/>
      <c r="BE122" s="463"/>
      <c r="BF122" s="463"/>
      <c r="BG122" s="463"/>
      <c r="BH122" s="463"/>
      <c r="BI122" s="463"/>
      <c r="BJ122" s="463"/>
      <c r="BK122" s="463"/>
      <c r="BL122" s="463"/>
      <c r="BM122" s="463"/>
      <c r="BN122" s="463"/>
      <c r="BR122" s="464"/>
      <c r="BV122" s="447"/>
      <c r="BW122" s="453"/>
      <c r="CJ122" s="526"/>
    </row>
    <row r="123" spans="1:108" ht="15" customHeight="1" x14ac:dyDescent="0.2">
      <c r="A123" s="1752"/>
      <c r="C123" s="453"/>
      <c r="E123" s="462"/>
      <c r="F123" s="463"/>
      <c r="G123" s="463"/>
      <c r="H123" s="463"/>
      <c r="I123" s="463"/>
      <c r="J123" s="463"/>
      <c r="K123" s="463"/>
      <c r="L123" s="463"/>
      <c r="M123" s="463"/>
      <c r="N123" s="463"/>
      <c r="O123" s="463"/>
      <c r="P123" s="463"/>
      <c r="Q123" s="463"/>
      <c r="R123" s="463"/>
      <c r="S123" s="463"/>
      <c r="T123" s="463"/>
      <c r="Y123" s="464"/>
      <c r="AB123" s="463"/>
      <c r="AC123" s="463"/>
      <c r="AD123" s="462"/>
      <c r="AE123" s="463"/>
      <c r="AF123" s="463"/>
      <c r="AG123" s="463"/>
      <c r="AH123" s="463"/>
      <c r="AI123" s="463"/>
      <c r="AJ123" s="463"/>
      <c r="AK123" s="463"/>
      <c r="AL123" s="463"/>
      <c r="AM123" s="463"/>
      <c r="AN123" s="463"/>
      <c r="AO123" s="463"/>
      <c r="AP123" s="463"/>
      <c r="AQ123" s="463"/>
      <c r="AV123" s="464"/>
      <c r="AY123" s="463"/>
      <c r="AZ123" s="462"/>
      <c r="BA123" s="463"/>
      <c r="BB123" s="463"/>
      <c r="BC123" s="463"/>
      <c r="BD123" s="463"/>
      <c r="BE123" s="463"/>
      <c r="BF123" s="463"/>
      <c r="BG123" s="463"/>
      <c r="BH123" s="463"/>
      <c r="BI123" s="463"/>
      <c r="BJ123" s="463"/>
      <c r="BK123" s="463"/>
      <c r="BL123" s="463"/>
      <c r="BM123" s="463"/>
      <c r="BN123" s="463"/>
      <c r="BR123" s="464"/>
      <c r="BV123" s="447"/>
      <c r="BW123" s="453"/>
      <c r="CJ123" s="526"/>
    </row>
    <row r="124" spans="1:108" ht="15" customHeight="1" x14ac:dyDescent="0.2">
      <c r="A124" s="1752"/>
      <c r="C124" s="453"/>
      <c r="E124" s="462"/>
      <c r="F124" s="463"/>
      <c r="G124" s="463"/>
      <c r="H124" s="463"/>
      <c r="I124" s="463"/>
      <c r="J124" s="463"/>
      <c r="K124" s="463"/>
      <c r="L124" s="463"/>
      <c r="M124" s="463"/>
      <c r="N124" s="463"/>
      <c r="O124" s="463"/>
      <c r="P124" s="463"/>
      <c r="Q124" s="463"/>
      <c r="R124" s="463"/>
      <c r="S124" s="463"/>
      <c r="T124" s="463"/>
      <c r="Y124" s="464"/>
      <c r="AB124" s="463"/>
      <c r="AC124" s="463"/>
      <c r="AD124" s="462"/>
      <c r="AE124" s="463"/>
      <c r="AF124" s="463"/>
      <c r="AG124" s="463"/>
      <c r="AH124" s="463"/>
      <c r="AI124" s="463"/>
      <c r="AJ124" s="463"/>
      <c r="AK124" s="463"/>
      <c r="AL124" s="463"/>
      <c r="AM124" s="463"/>
      <c r="AN124" s="463"/>
      <c r="AO124" s="463"/>
      <c r="AP124" s="463"/>
      <c r="AQ124" s="463"/>
      <c r="AV124" s="464"/>
      <c r="AY124" s="463"/>
      <c r="AZ124" s="462"/>
      <c r="BA124" s="463"/>
      <c r="BB124" s="463"/>
      <c r="BC124" s="463"/>
      <c r="BD124" s="463"/>
      <c r="BE124" s="463"/>
      <c r="BF124" s="463"/>
      <c r="BG124" s="463"/>
      <c r="BH124" s="463"/>
      <c r="BI124" s="463"/>
      <c r="BJ124" s="463"/>
      <c r="BK124" s="463"/>
      <c r="BL124" s="463"/>
      <c r="BM124" s="463"/>
      <c r="BN124" s="463"/>
      <c r="BR124" s="464"/>
      <c r="BV124" s="447"/>
      <c r="BW124" s="453"/>
      <c r="CN124" s="444"/>
      <c r="CO124" s="526"/>
      <c r="CP124" s="526"/>
      <c r="CQ124" s="526"/>
      <c r="CR124" s="526"/>
      <c r="CS124" s="526"/>
      <c r="CT124" s="526"/>
      <c r="CU124" s="526"/>
      <c r="CV124" s="526"/>
      <c r="CW124" s="526"/>
      <c r="CX124" s="526"/>
      <c r="CY124" s="526"/>
      <c r="CZ124" s="526"/>
      <c r="DA124" s="526"/>
      <c r="DB124" s="526"/>
      <c r="DC124" s="526"/>
      <c r="DD124" s="526"/>
    </row>
    <row r="125" spans="1:108" ht="15" customHeight="1" x14ac:dyDescent="0.2">
      <c r="A125" s="1752"/>
      <c r="C125" s="453"/>
      <c r="E125" s="462"/>
      <c r="F125" s="463"/>
      <c r="G125" s="463"/>
      <c r="H125" s="463"/>
      <c r="I125" s="463"/>
      <c r="J125" s="463"/>
      <c r="K125" s="463"/>
      <c r="L125" s="463"/>
      <c r="M125" s="463"/>
      <c r="N125" s="463"/>
      <c r="O125" s="463"/>
      <c r="P125" s="463"/>
      <c r="Q125" s="463"/>
      <c r="R125" s="463"/>
      <c r="S125" s="463"/>
      <c r="T125" s="463"/>
      <c r="Y125" s="464"/>
      <c r="AB125" s="463"/>
      <c r="AC125" s="463"/>
      <c r="AD125" s="462"/>
      <c r="AE125" s="463"/>
      <c r="AF125" s="463"/>
      <c r="AG125" s="463"/>
      <c r="AH125" s="463"/>
      <c r="AI125" s="463"/>
      <c r="AJ125" s="463"/>
      <c r="AK125" s="463"/>
      <c r="AL125" s="463"/>
      <c r="AM125" s="463"/>
      <c r="AN125" s="463"/>
      <c r="AO125" s="463"/>
      <c r="AP125" s="463"/>
      <c r="AQ125" s="463"/>
      <c r="AV125" s="464"/>
      <c r="AY125" s="463"/>
      <c r="AZ125" s="462"/>
      <c r="BA125" s="463"/>
      <c r="BB125" s="463"/>
      <c r="BC125" s="463"/>
      <c r="BD125" s="463"/>
      <c r="BE125" s="463"/>
      <c r="BF125" s="463"/>
      <c r="BG125" s="463"/>
      <c r="BH125" s="463"/>
      <c r="BI125" s="463"/>
      <c r="BJ125" s="463"/>
      <c r="BK125" s="463"/>
      <c r="BL125" s="463"/>
      <c r="BM125" s="463"/>
      <c r="BN125" s="463"/>
      <c r="BR125" s="464"/>
      <c r="BV125" s="447"/>
      <c r="BW125" s="453"/>
      <c r="CN125" s="444"/>
      <c r="CO125" s="526"/>
      <c r="CP125" s="526"/>
      <c r="CQ125" s="526"/>
      <c r="CS125" s="526"/>
      <c r="CT125" s="526"/>
      <c r="CU125" s="526"/>
      <c r="CV125" s="526"/>
      <c r="CW125" s="526"/>
      <c r="CX125" s="526"/>
      <c r="CY125" s="526"/>
      <c r="CZ125" s="526"/>
      <c r="DA125" s="526"/>
      <c r="DB125" s="526"/>
      <c r="DC125" s="526"/>
      <c r="DD125" s="526"/>
    </row>
    <row r="126" spans="1:108" ht="15" customHeight="1" x14ac:dyDescent="0.2">
      <c r="A126" s="1752"/>
      <c r="C126" s="453"/>
      <c r="E126" s="462"/>
      <c r="F126" s="463"/>
      <c r="G126" s="463"/>
      <c r="H126" s="463"/>
      <c r="I126" s="463"/>
      <c r="J126" s="463"/>
      <c r="K126" s="463"/>
      <c r="L126" s="463"/>
      <c r="M126" s="463"/>
      <c r="N126" s="463"/>
      <c r="O126" s="463"/>
      <c r="P126" s="463"/>
      <c r="Q126" s="463"/>
      <c r="R126" s="463"/>
      <c r="S126" s="463"/>
      <c r="T126" s="463"/>
      <c r="Y126" s="464"/>
      <c r="AB126" s="463"/>
      <c r="AC126" s="463"/>
      <c r="AD126" s="462"/>
      <c r="AE126" s="463"/>
      <c r="AF126" s="463"/>
      <c r="AG126" s="463"/>
      <c r="AH126" s="463"/>
      <c r="AI126" s="463"/>
      <c r="AJ126" s="463"/>
      <c r="AK126" s="463"/>
      <c r="AL126" s="463"/>
      <c r="AM126" s="463"/>
      <c r="AN126" s="463"/>
      <c r="AO126" s="463"/>
      <c r="AP126" s="463"/>
      <c r="AQ126" s="463"/>
      <c r="AV126" s="464"/>
      <c r="AY126" s="463"/>
      <c r="AZ126" s="462"/>
      <c r="BA126" s="463"/>
      <c r="BB126" s="463"/>
      <c r="BC126" s="463"/>
      <c r="BD126" s="463"/>
      <c r="BE126" s="463"/>
      <c r="BF126" s="463"/>
      <c r="BG126" s="463"/>
      <c r="BH126" s="463"/>
      <c r="BI126" s="463"/>
      <c r="BJ126" s="463"/>
      <c r="BK126" s="463"/>
      <c r="BL126" s="463"/>
      <c r="BM126" s="463"/>
      <c r="BN126" s="463"/>
      <c r="BR126" s="464"/>
      <c r="BV126" s="447"/>
      <c r="BW126" s="453"/>
      <c r="CN126" s="444"/>
      <c r="CO126" s="526"/>
      <c r="CP126" s="526"/>
      <c r="CQ126" s="526"/>
      <c r="CR126" s="526"/>
      <c r="CS126" s="526"/>
      <c r="CT126" s="526"/>
      <c r="CU126" s="526"/>
      <c r="CV126" s="526"/>
      <c r="CW126" s="526"/>
      <c r="CX126" s="526"/>
      <c r="CY126" s="526"/>
      <c r="CZ126" s="526"/>
      <c r="DA126" s="526"/>
      <c r="DB126" s="526"/>
      <c r="DC126" s="526"/>
      <c r="DD126" s="526"/>
    </row>
    <row r="127" spans="1:108" ht="15" customHeight="1" x14ac:dyDescent="0.2">
      <c r="A127" s="1752"/>
      <c r="C127" s="453"/>
      <c r="E127" s="462"/>
      <c r="F127" s="463"/>
      <c r="G127" s="463"/>
      <c r="H127" s="463"/>
      <c r="I127" s="463"/>
      <c r="J127" s="463"/>
      <c r="K127" s="463"/>
      <c r="L127" s="463"/>
      <c r="M127" s="463"/>
      <c r="N127" s="463"/>
      <c r="O127" s="463"/>
      <c r="P127" s="463"/>
      <c r="Q127" s="463"/>
      <c r="R127" s="463"/>
      <c r="S127" s="463"/>
      <c r="T127" s="463"/>
      <c r="Y127" s="464"/>
      <c r="AB127" s="463"/>
      <c r="AC127" s="463"/>
      <c r="AD127" s="462"/>
      <c r="AE127" s="463"/>
      <c r="AF127" s="463"/>
      <c r="AG127" s="463"/>
      <c r="AH127" s="463"/>
      <c r="AI127" s="463"/>
      <c r="AJ127" s="463"/>
      <c r="AK127" s="463"/>
      <c r="AL127" s="463"/>
      <c r="AM127" s="463"/>
      <c r="AN127" s="463"/>
      <c r="AO127" s="463"/>
      <c r="AP127" s="463"/>
      <c r="AQ127" s="463"/>
      <c r="AV127" s="464"/>
      <c r="AY127" s="463"/>
      <c r="AZ127" s="462"/>
      <c r="BA127" s="463"/>
      <c r="BB127" s="463"/>
      <c r="BC127" s="463"/>
      <c r="BD127" s="463"/>
      <c r="BE127" s="463"/>
      <c r="BF127" s="463"/>
      <c r="BG127" s="463"/>
      <c r="BH127" s="463"/>
      <c r="BI127" s="463"/>
      <c r="BJ127" s="463"/>
      <c r="BK127" s="463"/>
      <c r="BL127" s="463"/>
      <c r="BM127" s="463"/>
      <c r="BN127" s="463"/>
      <c r="BR127" s="464"/>
      <c r="BV127" s="447"/>
      <c r="BW127" s="453"/>
      <c r="CN127" s="444"/>
      <c r="CO127" s="526"/>
      <c r="CP127" s="526"/>
      <c r="CQ127" s="526"/>
      <c r="CR127" s="526"/>
      <c r="CS127" s="526"/>
      <c r="CT127" s="526"/>
      <c r="CU127" s="526"/>
      <c r="CV127" s="526"/>
      <c r="CW127" s="526"/>
      <c r="CY127" s="526"/>
      <c r="CZ127" s="526"/>
      <c r="DA127" s="526"/>
      <c r="DB127" s="526"/>
      <c r="DC127" s="526"/>
      <c r="DD127" s="526"/>
    </row>
    <row r="128" spans="1:108" ht="15" customHeight="1" x14ac:dyDescent="0.2">
      <c r="A128" s="1752"/>
      <c r="C128" s="453"/>
      <c r="E128" s="462"/>
      <c r="F128" s="463"/>
      <c r="G128" s="463"/>
      <c r="H128" s="463"/>
      <c r="I128" s="463"/>
      <c r="J128" s="463"/>
      <c r="K128" s="463"/>
      <c r="L128" s="463"/>
      <c r="M128" s="463"/>
      <c r="N128" s="463"/>
      <c r="O128" s="463"/>
      <c r="P128" s="463"/>
      <c r="Q128" s="463"/>
      <c r="R128" s="463"/>
      <c r="S128" s="463"/>
      <c r="T128" s="463"/>
      <c r="Y128" s="464"/>
      <c r="AB128" s="463"/>
      <c r="AC128" s="463"/>
      <c r="AD128" s="462"/>
      <c r="AE128" s="463"/>
      <c r="AF128" s="463"/>
      <c r="AG128" s="463"/>
      <c r="AH128" s="463"/>
      <c r="AI128" s="463"/>
      <c r="AJ128" s="463"/>
      <c r="AK128" s="463"/>
      <c r="AL128" s="463"/>
      <c r="AM128" s="463"/>
      <c r="AN128" s="463"/>
      <c r="AO128" s="463"/>
      <c r="AP128" s="463"/>
      <c r="AQ128" s="463"/>
      <c r="AV128" s="464"/>
      <c r="AY128" s="463"/>
      <c r="AZ128" s="462"/>
      <c r="BA128" s="463"/>
      <c r="BB128" s="463"/>
      <c r="BC128" s="463"/>
      <c r="BD128" s="463"/>
      <c r="BE128" s="463"/>
      <c r="BF128" s="463"/>
      <c r="BG128" s="463"/>
      <c r="BH128" s="463"/>
      <c r="BI128" s="463"/>
      <c r="BJ128" s="463"/>
      <c r="BK128" s="463"/>
      <c r="BL128" s="463"/>
      <c r="BM128" s="463"/>
      <c r="BN128" s="463"/>
      <c r="BR128" s="464"/>
      <c r="BV128" s="447"/>
      <c r="BW128" s="453"/>
      <c r="CN128" s="444"/>
      <c r="CO128" s="526"/>
      <c r="CP128" s="526"/>
      <c r="CQ128" s="526"/>
      <c r="CR128" s="526"/>
      <c r="CS128" s="526"/>
      <c r="CT128" s="526"/>
      <c r="CU128" s="526"/>
      <c r="CV128" s="526"/>
      <c r="CW128" s="526"/>
      <c r="CX128" s="526"/>
      <c r="CY128" s="526"/>
      <c r="CZ128" s="526"/>
      <c r="DA128" s="526"/>
      <c r="DB128" s="526"/>
      <c r="DC128" s="526"/>
      <c r="DD128" s="526"/>
    </row>
    <row r="129" spans="1:75" ht="15" customHeight="1" x14ac:dyDescent="0.2">
      <c r="A129" s="1752"/>
      <c r="C129" s="453"/>
      <c r="E129" s="465"/>
      <c r="Y129" s="464"/>
      <c r="AD129" s="465"/>
      <c r="AV129" s="464"/>
      <c r="AZ129" s="465"/>
      <c r="BR129" s="464"/>
      <c r="BV129" s="447"/>
      <c r="BW129" s="453"/>
    </row>
    <row r="130" spans="1:75" ht="15" customHeight="1" x14ac:dyDescent="0.2">
      <c r="A130" s="1752"/>
      <c r="C130" s="453"/>
      <c r="E130" s="465"/>
      <c r="Y130" s="464"/>
      <c r="AD130" s="465"/>
      <c r="AV130" s="464"/>
      <c r="AZ130" s="465"/>
      <c r="BR130" s="464"/>
      <c r="BV130" s="447"/>
      <c r="BW130" s="453"/>
    </row>
    <row r="131" spans="1:75" ht="15" customHeight="1" x14ac:dyDescent="0.2">
      <c r="A131" s="1752"/>
      <c r="C131" s="453"/>
      <c r="E131" s="466"/>
      <c r="F131" s="467"/>
      <c r="G131" s="467"/>
      <c r="H131" s="467"/>
      <c r="I131" s="467"/>
      <c r="J131" s="467"/>
      <c r="K131" s="467"/>
      <c r="L131" s="467"/>
      <c r="M131" s="467"/>
      <c r="N131" s="467"/>
      <c r="O131" s="467"/>
      <c r="P131" s="467"/>
      <c r="Q131" s="467"/>
      <c r="R131" s="467"/>
      <c r="S131" s="467"/>
      <c r="T131" s="467"/>
      <c r="U131" s="467"/>
      <c r="V131" s="467"/>
      <c r="W131" s="467"/>
      <c r="X131" s="467"/>
      <c r="Y131" s="468"/>
      <c r="AD131" s="466"/>
      <c r="AE131" s="467"/>
      <c r="AF131" s="467"/>
      <c r="AG131" s="467"/>
      <c r="AH131" s="467"/>
      <c r="AI131" s="467"/>
      <c r="AJ131" s="467"/>
      <c r="AK131" s="467"/>
      <c r="AL131" s="467"/>
      <c r="AM131" s="467"/>
      <c r="AN131" s="467"/>
      <c r="AO131" s="467"/>
      <c r="AP131" s="467"/>
      <c r="AQ131" s="467"/>
      <c r="AR131" s="467"/>
      <c r="AS131" s="467"/>
      <c r="AT131" s="467"/>
      <c r="AU131" s="467"/>
      <c r="AV131" s="468"/>
      <c r="AZ131" s="466"/>
      <c r="BA131" s="467"/>
      <c r="BB131" s="467"/>
      <c r="BC131" s="467"/>
      <c r="BD131" s="467"/>
      <c r="BE131" s="467"/>
      <c r="BF131" s="467"/>
      <c r="BG131" s="467"/>
      <c r="BH131" s="467"/>
      <c r="BI131" s="467"/>
      <c r="BJ131" s="467"/>
      <c r="BK131" s="467"/>
      <c r="BL131" s="467"/>
      <c r="BM131" s="467"/>
      <c r="BN131" s="467"/>
      <c r="BO131" s="467"/>
      <c r="BP131" s="467"/>
      <c r="BQ131" s="467"/>
      <c r="BR131" s="468"/>
      <c r="BV131" s="447"/>
      <c r="BW131" s="453"/>
    </row>
    <row r="132" spans="1:75" ht="15" customHeight="1" x14ac:dyDescent="0.2">
      <c r="A132" s="1752"/>
      <c r="C132" s="453"/>
      <c r="BL132" s="469"/>
      <c r="BM132" s="469"/>
      <c r="BN132" s="469"/>
      <c r="BO132" s="470"/>
      <c r="BV132" s="447"/>
      <c r="BW132" s="453"/>
    </row>
    <row r="133" spans="1:75" ht="15" customHeight="1" x14ac:dyDescent="0.2">
      <c r="A133" s="1752"/>
      <c r="C133" s="453"/>
      <c r="BL133" s="469"/>
      <c r="BM133" s="469"/>
      <c r="BN133" s="469"/>
      <c r="BO133" s="470"/>
      <c r="BV133" s="447"/>
      <c r="BW133" s="453"/>
    </row>
    <row r="134" spans="1:75" ht="15" customHeight="1" x14ac:dyDescent="0.25">
      <c r="A134" s="1752"/>
      <c r="C134" s="453"/>
      <c r="E134" s="1813" t="s">
        <v>1238</v>
      </c>
      <c r="F134" s="1813"/>
      <c r="G134" s="1813"/>
      <c r="H134" s="1813"/>
      <c r="I134" s="1813"/>
      <c r="J134" s="1813"/>
      <c r="K134" s="1813"/>
      <c r="L134" s="1813"/>
      <c r="M134" s="1813"/>
      <c r="N134" s="1813"/>
      <c r="O134" s="1813"/>
      <c r="P134" s="1813"/>
      <c r="Q134" s="1813"/>
      <c r="R134" s="1813"/>
      <c r="S134" s="1813"/>
      <c r="T134" s="1813"/>
      <c r="U134" s="1813"/>
      <c r="V134" s="1813"/>
      <c r="W134" s="1813"/>
      <c r="X134" s="1813"/>
      <c r="Y134" s="817"/>
      <c r="Z134" s="817"/>
      <c r="AA134" s="817"/>
      <c r="AB134" s="1826" t="s">
        <v>1239</v>
      </c>
      <c r="AC134" s="1826"/>
      <c r="AD134" s="1826"/>
      <c r="AE134" s="1826"/>
      <c r="AF134" s="1826"/>
      <c r="AG134" s="1826"/>
      <c r="AH134" s="1826"/>
      <c r="AI134" s="1826"/>
      <c r="AJ134" s="1826"/>
      <c r="AK134" s="1826"/>
      <c r="AL134" s="1826"/>
      <c r="AM134" s="1826"/>
      <c r="AN134" s="1826"/>
      <c r="AO134" s="1826"/>
      <c r="AP134" s="1826"/>
      <c r="AQ134" s="1826"/>
      <c r="AR134" s="1826"/>
      <c r="AS134" s="1826"/>
      <c r="AT134" s="1826"/>
      <c r="AU134" s="1826"/>
      <c r="AV134" s="817"/>
      <c r="AW134" s="817"/>
      <c r="AX134" s="817"/>
      <c r="AY134" s="1616" t="s">
        <v>1240</v>
      </c>
      <c r="AZ134" s="1616"/>
      <c r="BA134" s="1616"/>
      <c r="BB134" s="1616"/>
      <c r="BC134" s="1616"/>
      <c r="BD134" s="1616"/>
      <c r="BE134" s="1616"/>
      <c r="BF134" s="1616"/>
      <c r="BG134" s="1616"/>
      <c r="BH134" s="1616"/>
      <c r="BI134" s="1616"/>
      <c r="BJ134" s="1616"/>
      <c r="BK134" s="1616"/>
      <c r="BL134" s="1616"/>
      <c r="BM134" s="1616"/>
      <c r="BN134" s="1616"/>
      <c r="BO134" s="1616"/>
      <c r="BP134" s="1616"/>
      <c r="BQ134" s="1616"/>
      <c r="BR134" s="1616"/>
      <c r="BS134" s="818"/>
      <c r="BV134" s="447"/>
      <c r="BW134" s="453"/>
    </row>
    <row r="135" spans="1:75" ht="15" customHeight="1" x14ac:dyDescent="0.2">
      <c r="A135" s="1752"/>
      <c r="C135" s="453"/>
      <c r="E135" s="752"/>
      <c r="F135" s="752"/>
      <c r="G135" s="752"/>
      <c r="H135" s="752"/>
      <c r="I135" s="752"/>
      <c r="J135" s="752"/>
      <c r="K135" s="752"/>
      <c r="L135" s="753"/>
      <c r="M135" s="753"/>
      <c r="N135" s="753"/>
      <c r="AE135" s="788"/>
      <c r="AF135" s="788"/>
      <c r="AG135" s="788"/>
      <c r="AH135" s="788"/>
      <c r="AI135" s="788"/>
      <c r="AJ135" s="788"/>
      <c r="AL135" s="788"/>
      <c r="AM135" s="788"/>
      <c r="AN135" s="788"/>
      <c r="AO135" s="788"/>
      <c r="AP135" s="526"/>
      <c r="AQ135" s="526"/>
      <c r="AR135" s="526"/>
      <c r="AS135" s="526"/>
      <c r="AT135" s="526"/>
      <c r="BF135" s="788"/>
      <c r="BG135" s="788"/>
      <c r="BH135" s="788"/>
      <c r="BI135" s="788"/>
      <c r="BJ135" s="788"/>
      <c r="BK135" s="788"/>
      <c r="BL135" s="754"/>
      <c r="BM135" s="754"/>
      <c r="BN135" s="754"/>
      <c r="BO135" s="755"/>
      <c r="BV135" s="447"/>
      <c r="BW135" s="453"/>
    </row>
    <row r="136" spans="1:75" ht="15" customHeight="1" x14ac:dyDescent="0.2">
      <c r="A136" s="1752"/>
      <c r="C136" s="453"/>
      <c r="D136" s="756" t="s">
        <v>919</v>
      </c>
      <c r="H136" s="1595" t="str">
        <f>Referencias!O49</f>
        <v>Ofert.</v>
      </c>
      <c r="I136" s="1595"/>
      <c r="J136" s="1595"/>
      <c r="K136" s="1595"/>
      <c r="L136" s="1595"/>
      <c r="M136" s="1595"/>
      <c r="N136" s="1595"/>
      <c r="O136" s="1595"/>
      <c r="P136" s="1595"/>
      <c r="Q136" s="1595"/>
      <c r="R136" s="1595"/>
      <c r="S136" s="1595"/>
      <c r="T136" s="1595"/>
      <c r="U136" s="1595"/>
      <c r="V136" s="1595"/>
      <c r="W136" s="1595"/>
      <c r="X136" s="1595"/>
      <c r="Y136" s="1595"/>
      <c r="Z136" s="670"/>
      <c r="AA136" s="756" t="s">
        <v>919</v>
      </c>
      <c r="AD136" s="670"/>
      <c r="AE136" s="1595" t="str">
        <f>Referencias!AL49</f>
        <v>Ofert.</v>
      </c>
      <c r="AF136" s="1595"/>
      <c r="AG136" s="1595"/>
      <c r="AH136" s="1595"/>
      <c r="AI136" s="1595"/>
      <c r="AJ136" s="1595"/>
      <c r="AK136" s="1595"/>
      <c r="AL136" s="1595"/>
      <c r="AM136" s="1595"/>
      <c r="AN136" s="1595"/>
      <c r="AO136" s="1595"/>
      <c r="AP136" s="1595"/>
      <c r="AQ136" s="1595"/>
      <c r="AR136" s="1595"/>
      <c r="AS136" s="1595"/>
      <c r="AT136" s="1595"/>
      <c r="AU136" s="1595"/>
      <c r="AV136" s="1595"/>
      <c r="AW136" s="670"/>
      <c r="AX136" s="756" t="s">
        <v>919</v>
      </c>
      <c r="BA136" s="670"/>
      <c r="BB136" s="1595" t="str">
        <f>Referencias!BI49</f>
        <v>Ofert.</v>
      </c>
      <c r="BC136" s="1595"/>
      <c r="BD136" s="1595"/>
      <c r="BE136" s="1595"/>
      <c r="BF136" s="1595"/>
      <c r="BG136" s="1595"/>
      <c r="BH136" s="1595"/>
      <c r="BI136" s="1595"/>
      <c r="BJ136" s="1595"/>
      <c r="BK136" s="1595"/>
      <c r="BL136" s="1595"/>
      <c r="BM136" s="1595"/>
      <c r="BN136" s="1595"/>
      <c r="BO136" s="1595"/>
      <c r="BP136" s="1595"/>
      <c r="BQ136" s="1595"/>
      <c r="BR136" s="1595"/>
      <c r="BS136" s="1595"/>
      <c r="BV136" s="447"/>
      <c r="BW136" s="443"/>
    </row>
    <row r="137" spans="1:75" ht="15" customHeight="1" x14ac:dyDescent="0.2">
      <c r="A137" s="1752"/>
      <c r="C137" s="453"/>
      <c r="D137" s="756" t="s">
        <v>676</v>
      </c>
      <c r="H137" s="1595" t="str">
        <f>Referencias!O50</f>
        <v>Coronel Souper 4060, Estacion Central</v>
      </c>
      <c r="I137" s="1595"/>
      <c r="J137" s="1595"/>
      <c r="K137" s="1595"/>
      <c r="L137" s="1595"/>
      <c r="M137" s="1595"/>
      <c r="N137" s="1595"/>
      <c r="O137" s="1595"/>
      <c r="P137" s="1595"/>
      <c r="Q137" s="1595"/>
      <c r="R137" s="1595"/>
      <c r="S137" s="1595"/>
      <c r="T137" s="1595"/>
      <c r="U137" s="1595"/>
      <c r="V137" s="1595"/>
      <c r="W137" s="1595"/>
      <c r="X137" s="1595"/>
      <c r="Y137" s="1595"/>
      <c r="Z137" s="670"/>
      <c r="AA137" s="756" t="s">
        <v>676</v>
      </c>
      <c r="AD137" s="670"/>
      <c r="AE137" s="1595" t="str">
        <f>Referencias!AL50</f>
        <v>Cnel. Souper 3900 - 4200, Estación Central</v>
      </c>
      <c r="AF137" s="1595"/>
      <c r="AG137" s="1595"/>
      <c r="AH137" s="1595"/>
      <c r="AI137" s="1595"/>
      <c r="AJ137" s="1595"/>
      <c r="AK137" s="1595"/>
      <c r="AL137" s="1595"/>
      <c r="AM137" s="1595"/>
      <c r="AN137" s="1595"/>
      <c r="AO137" s="1595"/>
      <c r="AP137" s="1595"/>
      <c r="AQ137" s="1595"/>
      <c r="AR137" s="1595"/>
      <c r="AS137" s="1595"/>
      <c r="AT137" s="1595"/>
      <c r="AU137" s="1595"/>
      <c r="AV137" s="1595"/>
      <c r="AW137" s="670"/>
      <c r="AX137" s="756" t="s">
        <v>676</v>
      </c>
      <c r="BA137" s="670"/>
      <c r="BB137" s="1595" t="str">
        <f>Referencias!BI50</f>
        <v>Coronel Souper 4060, Estacion Central</v>
      </c>
      <c r="BC137" s="1595"/>
      <c r="BD137" s="1595"/>
      <c r="BE137" s="1595"/>
      <c r="BF137" s="1595"/>
      <c r="BG137" s="1595"/>
      <c r="BH137" s="1595"/>
      <c r="BI137" s="1595"/>
      <c r="BJ137" s="1595"/>
      <c r="BK137" s="1595"/>
      <c r="BL137" s="1595"/>
      <c r="BM137" s="1595"/>
      <c r="BN137" s="1595"/>
      <c r="BO137" s="1595"/>
      <c r="BP137" s="1595"/>
      <c r="BQ137" s="1595"/>
      <c r="BR137" s="1595"/>
      <c r="BS137" s="1595"/>
      <c r="BT137" s="687"/>
      <c r="BU137" s="687"/>
      <c r="BV137" s="447"/>
      <c r="BW137" s="443"/>
    </row>
    <row r="138" spans="1:75" ht="15" customHeight="1" x14ac:dyDescent="0.2">
      <c r="A138" s="1752"/>
      <c r="C138" s="456"/>
      <c r="D138" s="756" t="s">
        <v>920</v>
      </c>
      <c r="H138" s="1701">
        <f>Referencias!O51</f>
        <v>1490</v>
      </c>
      <c r="I138" s="1701"/>
      <c r="J138" s="1701"/>
      <c r="K138" s="1701"/>
      <c r="L138" s="1701"/>
      <c r="M138" s="1701"/>
      <c r="N138" s="1701"/>
      <c r="O138" s="1701"/>
      <c r="P138" s="1701"/>
      <c r="Q138" s="1701"/>
      <c r="R138" s="1701"/>
      <c r="S138" s="1701"/>
      <c r="T138" s="1701"/>
      <c r="U138" s="1701"/>
      <c r="V138" s="1701"/>
      <c r="W138" s="1701"/>
      <c r="X138" s="1701"/>
      <c r="Y138" s="1701"/>
      <c r="Z138" s="670"/>
      <c r="AA138" s="756" t="s">
        <v>920</v>
      </c>
      <c r="AD138" s="670"/>
      <c r="AE138" s="1701">
        <f>Referencias!AL51</f>
        <v>1300</v>
      </c>
      <c r="AF138" s="1701"/>
      <c r="AG138" s="1701"/>
      <c r="AH138" s="1701"/>
      <c r="AI138" s="1701"/>
      <c r="AJ138" s="1701"/>
      <c r="AK138" s="1701"/>
      <c r="AL138" s="1701"/>
      <c r="AM138" s="1701"/>
      <c r="AN138" s="1701"/>
      <c r="AO138" s="1701"/>
      <c r="AP138" s="1701"/>
      <c r="AQ138" s="1701"/>
      <c r="AR138" s="1701"/>
      <c r="AS138" s="1701"/>
      <c r="AT138" s="1701"/>
      <c r="AU138" s="1701"/>
      <c r="AV138" s="1701"/>
      <c r="AW138" s="670"/>
      <c r="AX138" s="756" t="s">
        <v>920</v>
      </c>
      <c r="BA138" s="670"/>
      <c r="BB138" s="1701">
        <f>Referencias!BI51</f>
        <v>1675</v>
      </c>
      <c r="BC138" s="1701"/>
      <c r="BD138" s="1701"/>
      <c r="BE138" s="1701"/>
      <c r="BF138" s="1701"/>
      <c r="BG138" s="1701"/>
      <c r="BH138" s="1701"/>
      <c r="BI138" s="1701"/>
      <c r="BJ138" s="1701"/>
      <c r="BK138" s="1701"/>
      <c r="BL138" s="1701"/>
      <c r="BM138" s="1701"/>
      <c r="BN138" s="1701"/>
      <c r="BO138" s="1701"/>
      <c r="BP138" s="1701"/>
      <c r="BQ138" s="1701"/>
      <c r="BR138" s="1701"/>
      <c r="BS138" s="1701"/>
      <c r="BV138" s="527"/>
      <c r="BW138" s="443"/>
    </row>
    <row r="139" spans="1:75" ht="15" customHeight="1" x14ac:dyDescent="0.2">
      <c r="A139" s="1752"/>
      <c r="C139" s="456"/>
      <c r="D139" s="756" t="s">
        <v>921</v>
      </c>
      <c r="H139" s="1701">
        <f>Referencias!O52</f>
        <v>2017</v>
      </c>
      <c r="I139" s="1701"/>
      <c r="J139" s="1701"/>
      <c r="K139" s="1701"/>
      <c r="L139" s="1701"/>
      <c r="M139" s="1701"/>
      <c r="N139" s="1701"/>
      <c r="O139" s="1701"/>
      <c r="P139" s="1701"/>
      <c r="Q139" s="1701"/>
      <c r="R139" s="1701"/>
      <c r="S139" s="1701"/>
      <c r="T139" s="1701"/>
      <c r="U139" s="1701"/>
      <c r="V139" s="1701"/>
      <c r="W139" s="1701"/>
      <c r="X139" s="1701"/>
      <c r="Y139" s="1701"/>
      <c r="Z139" s="670"/>
      <c r="AA139" s="756" t="s">
        <v>921</v>
      </c>
      <c r="AD139" s="670"/>
      <c r="AE139" s="1701">
        <f>Referencias!AL52</f>
        <v>2017</v>
      </c>
      <c r="AF139" s="1701"/>
      <c r="AG139" s="1701"/>
      <c r="AH139" s="1701"/>
      <c r="AI139" s="1701"/>
      <c r="AJ139" s="1701"/>
      <c r="AK139" s="1701"/>
      <c r="AL139" s="1701"/>
      <c r="AM139" s="1701"/>
      <c r="AN139" s="1701"/>
      <c r="AO139" s="1701"/>
      <c r="AP139" s="1701"/>
      <c r="AQ139" s="1701"/>
      <c r="AR139" s="1701"/>
      <c r="AS139" s="1701"/>
      <c r="AT139" s="1701"/>
      <c r="AU139" s="1701"/>
      <c r="AV139" s="1701"/>
      <c r="AW139" s="670"/>
      <c r="AX139" s="756" t="s">
        <v>921</v>
      </c>
      <c r="BA139" s="670"/>
      <c r="BB139" s="1701">
        <f>Referencias!BI52</f>
        <v>2017</v>
      </c>
      <c r="BC139" s="1701"/>
      <c r="BD139" s="1701"/>
      <c r="BE139" s="1701"/>
      <c r="BF139" s="1701"/>
      <c r="BG139" s="1701"/>
      <c r="BH139" s="1701"/>
      <c r="BI139" s="1701"/>
      <c r="BJ139" s="1701"/>
      <c r="BK139" s="1701"/>
      <c r="BL139" s="1701"/>
      <c r="BM139" s="1701"/>
      <c r="BN139" s="1701"/>
      <c r="BO139" s="1701"/>
      <c r="BP139" s="1701"/>
      <c r="BQ139" s="1701"/>
      <c r="BR139" s="1701"/>
      <c r="BS139" s="1701"/>
      <c r="BV139" s="527"/>
      <c r="BW139" s="443"/>
    </row>
    <row r="140" spans="1:75" ht="15" customHeight="1" x14ac:dyDescent="0.2">
      <c r="A140" s="1752"/>
      <c r="C140" s="456"/>
      <c r="D140" s="756" t="s">
        <v>922</v>
      </c>
      <c r="H140" s="1802">
        <f>Referencias!O53</f>
        <v>45</v>
      </c>
      <c r="I140" s="1802"/>
      <c r="J140" s="1802"/>
      <c r="K140" s="1802"/>
      <c r="L140" s="1802"/>
      <c r="M140" s="1802"/>
      <c r="N140" s="1802"/>
      <c r="O140" s="1802"/>
      <c r="P140" s="1802"/>
      <c r="Q140" s="1802"/>
      <c r="R140" s="1802"/>
      <c r="S140" s="1802"/>
      <c r="T140" s="1802"/>
      <c r="U140" s="1802"/>
      <c r="V140" s="1802"/>
      <c r="W140" s="1802"/>
      <c r="X140" s="1802"/>
      <c r="Y140" s="1802"/>
      <c r="Z140" s="670"/>
      <c r="AA140" s="756" t="s">
        <v>922</v>
      </c>
      <c r="AD140" s="670"/>
      <c r="AE140" s="1802">
        <f>Referencias!AL53</f>
        <v>41</v>
      </c>
      <c r="AF140" s="1802"/>
      <c r="AG140" s="1802"/>
      <c r="AH140" s="1802"/>
      <c r="AI140" s="1802"/>
      <c r="AJ140" s="1802"/>
      <c r="AK140" s="1802"/>
      <c r="AL140" s="1802"/>
      <c r="AM140" s="1802"/>
      <c r="AN140" s="1802"/>
      <c r="AO140" s="1802"/>
      <c r="AP140" s="1802"/>
      <c r="AQ140" s="1802"/>
      <c r="AR140" s="1802"/>
      <c r="AS140" s="1802"/>
      <c r="AT140" s="1802"/>
      <c r="AU140" s="1802"/>
      <c r="AV140" s="1802"/>
      <c r="AW140" s="670"/>
      <c r="AX140" s="756" t="s">
        <v>922</v>
      </c>
      <c r="BA140" s="670"/>
      <c r="BB140" s="1802">
        <f>Referencias!BI53</f>
        <v>42</v>
      </c>
      <c r="BC140" s="1802"/>
      <c r="BD140" s="1802"/>
      <c r="BE140" s="1802"/>
      <c r="BF140" s="1802"/>
      <c r="BG140" s="1802"/>
      <c r="BH140" s="1802"/>
      <c r="BI140" s="1802"/>
      <c r="BJ140" s="1802"/>
      <c r="BK140" s="1802"/>
      <c r="BL140" s="1802"/>
      <c r="BM140" s="1802"/>
      <c r="BN140" s="1802"/>
      <c r="BO140" s="1802"/>
      <c r="BP140" s="1802"/>
      <c r="BQ140" s="1802"/>
      <c r="BR140" s="1802"/>
      <c r="BS140" s="1802"/>
      <c r="BV140" s="527"/>
      <c r="BW140" s="443"/>
    </row>
    <row r="141" spans="1:75" ht="15" customHeight="1" x14ac:dyDescent="0.2">
      <c r="A141" s="1752"/>
      <c r="C141" s="456"/>
      <c r="D141" s="756" t="s">
        <v>923</v>
      </c>
      <c r="H141" s="1802">
        <f>Referencias!O54</f>
        <v>0</v>
      </c>
      <c r="I141" s="1802"/>
      <c r="J141" s="1802"/>
      <c r="K141" s="1802"/>
      <c r="L141" s="1802"/>
      <c r="M141" s="1802"/>
      <c r="N141" s="1802"/>
      <c r="O141" s="1802"/>
      <c r="P141" s="1802"/>
      <c r="Q141" s="1802"/>
      <c r="R141" s="1802"/>
      <c r="S141" s="1802"/>
      <c r="T141" s="1802"/>
      <c r="U141" s="1802"/>
      <c r="V141" s="1802"/>
      <c r="W141" s="1802"/>
      <c r="X141" s="1802"/>
      <c r="Y141" s="1802"/>
      <c r="Z141" s="670"/>
      <c r="AA141" s="756" t="s">
        <v>923</v>
      </c>
      <c r="AD141" s="670"/>
      <c r="AE141" s="1802">
        <f>Referencias!AL54</f>
        <v>0</v>
      </c>
      <c r="AF141" s="1802"/>
      <c r="AG141" s="1802"/>
      <c r="AH141" s="1802"/>
      <c r="AI141" s="1802"/>
      <c r="AJ141" s="1802"/>
      <c r="AK141" s="1802"/>
      <c r="AL141" s="1802"/>
      <c r="AM141" s="1802"/>
      <c r="AN141" s="1802"/>
      <c r="AO141" s="1802"/>
      <c r="AP141" s="1802"/>
      <c r="AQ141" s="1802"/>
      <c r="AR141" s="1802"/>
      <c r="AS141" s="1802"/>
      <c r="AT141" s="1802"/>
      <c r="AU141" s="1802"/>
      <c r="AV141" s="1802"/>
      <c r="AW141" s="670"/>
      <c r="AX141" s="756" t="s">
        <v>923</v>
      </c>
      <c r="BA141" s="670"/>
      <c r="BB141" s="1802">
        <f>Referencias!BI54</f>
        <v>0</v>
      </c>
      <c r="BC141" s="1802"/>
      <c r="BD141" s="1802"/>
      <c r="BE141" s="1802"/>
      <c r="BF141" s="1802"/>
      <c r="BG141" s="1802"/>
      <c r="BH141" s="1802"/>
      <c r="BI141" s="1802"/>
      <c r="BJ141" s="1802"/>
      <c r="BK141" s="1802"/>
      <c r="BL141" s="1802"/>
      <c r="BM141" s="1802"/>
      <c r="BN141" s="1802"/>
      <c r="BO141" s="1802"/>
      <c r="BP141" s="1802"/>
      <c r="BQ141" s="1802"/>
      <c r="BR141" s="1802"/>
      <c r="BS141" s="1802"/>
      <c r="BV141" s="527"/>
      <c r="BW141" s="443"/>
    </row>
    <row r="142" spans="1:75" ht="15" customHeight="1" x14ac:dyDescent="0.2">
      <c r="A142" s="1752"/>
      <c r="C142" s="456"/>
      <c r="D142" s="756" t="s">
        <v>1510</v>
      </c>
      <c r="H142" s="1595" t="str">
        <f>Referencias!O55</f>
        <v>56 9 3248 7153</v>
      </c>
      <c r="I142" s="1595"/>
      <c r="J142" s="1595"/>
      <c r="K142" s="1595"/>
      <c r="L142" s="1595"/>
      <c r="M142" s="1595"/>
      <c r="N142" s="1595"/>
      <c r="O142" s="1595"/>
      <c r="P142" s="1595"/>
      <c r="Q142" s="1595"/>
      <c r="R142" s="1595"/>
      <c r="S142" s="1595"/>
      <c r="T142" s="1595"/>
      <c r="U142" s="1595"/>
      <c r="V142" s="1595"/>
      <c r="W142" s="1595"/>
      <c r="X142" s="1595"/>
      <c r="Y142" s="1595"/>
      <c r="Z142" s="670"/>
      <c r="AA142" s="756" t="s">
        <v>1510</v>
      </c>
      <c r="AD142" s="670"/>
      <c r="AE142" s="1595" t="str">
        <f>Referencias!AL55</f>
        <v>56 9 3399 5948</v>
      </c>
      <c r="AF142" s="1595"/>
      <c r="AG142" s="1595"/>
      <c r="AH142" s="1595"/>
      <c r="AI142" s="1595"/>
      <c r="AJ142" s="1595"/>
      <c r="AK142" s="1595"/>
      <c r="AL142" s="1595"/>
      <c r="AM142" s="1595"/>
      <c r="AN142" s="1595"/>
      <c r="AO142" s="1595"/>
      <c r="AP142" s="1595"/>
      <c r="AQ142" s="1595"/>
      <c r="AR142" s="1595"/>
      <c r="AS142" s="1595"/>
      <c r="AT142" s="1595"/>
      <c r="AU142" s="1595"/>
      <c r="AV142" s="1595"/>
      <c r="AW142" s="670"/>
      <c r="AX142" s="756" t="s">
        <v>1510</v>
      </c>
      <c r="BA142" s="670"/>
      <c r="BB142" s="1595" t="str">
        <f>Referencias!BI55</f>
        <v>56 9 9205 0952</v>
      </c>
      <c r="BC142" s="1595"/>
      <c r="BD142" s="1595"/>
      <c r="BE142" s="1595"/>
      <c r="BF142" s="1595"/>
      <c r="BG142" s="1595"/>
      <c r="BH142" s="1595"/>
      <c r="BI142" s="1595"/>
      <c r="BJ142" s="1595"/>
      <c r="BK142" s="1595"/>
      <c r="BL142" s="1595"/>
      <c r="BM142" s="1595"/>
      <c r="BN142" s="1595"/>
      <c r="BO142" s="1595"/>
      <c r="BP142" s="1595"/>
      <c r="BQ142" s="1595"/>
      <c r="BR142" s="1595"/>
      <c r="BS142" s="1595"/>
      <c r="BV142" s="527"/>
      <c r="BW142" s="443"/>
    </row>
    <row r="143" spans="1:75" ht="15" customHeight="1" thickBot="1" x14ac:dyDescent="0.25">
      <c r="A143" s="1752"/>
      <c r="C143" s="471"/>
      <c r="D143" s="472"/>
      <c r="E143" s="472"/>
      <c r="F143" s="472"/>
      <c r="G143" s="472"/>
      <c r="H143" s="472"/>
      <c r="I143" s="472"/>
      <c r="J143" s="472"/>
      <c r="K143" s="472"/>
      <c r="L143" s="472"/>
      <c r="M143" s="472"/>
      <c r="N143" s="472"/>
      <c r="O143" s="472"/>
      <c r="P143" s="472"/>
      <c r="Q143" s="472"/>
      <c r="R143" s="472"/>
      <c r="S143" s="472"/>
      <c r="T143" s="472"/>
      <c r="U143" s="472"/>
      <c r="V143" s="472"/>
      <c r="W143" s="472"/>
      <c r="X143" s="472"/>
      <c r="Y143" s="472"/>
      <c r="Z143" s="472"/>
      <c r="AA143" s="472"/>
      <c r="AB143" s="472"/>
      <c r="AC143" s="472"/>
      <c r="AD143" s="472"/>
      <c r="AE143" s="472"/>
      <c r="AF143" s="472"/>
      <c r="AG143" s="472"/>
      <c r="AH143" s="472"/>
      <c r="AI143" s="472"/>
      <c r="AJ143" s="472"/>
      <c r="AK143" s="472"/>
      <c r="AL143" s="472"/>
      <c r="AM143" s="472"/>
      <c r="AN143" s="472"/>
      <c r="AO143" s="472"/>
      <c r="AP143" s="472"/>
      <c r="AQ143" s="472"/>
      <c r="AR143" s="472"/>
      <c r="AS143" s="472"/>
      <c r="AT143" s="472"/>
      <c r="AU143" s="472"/>
      <c r="AV143" s="472"/>
      <c r="AW143" s="472"/>
      <c r="AX143" s="472"/>
      <c r="AY143" s="472"/>
      <c r="AZ143" s="472"/>
      <c r="BA143" s="472"/>
      <c r="BB143" s="472"/>
      <c r="BC143" s="472"/>
      <c r="BD143" s="472"/>
      <c r="BE143" s="475"/>
      <c r="BF143" s="475"/>
      <c r="BG143" s="475"/>
      <c r="BH143" s="475"/>
      <c r="BI143" s="475"/>
      <c r="BJ143" s="475"/>
      <c r="BK143" s="475"/>
      <c r="BL143" s="475"/>
      <c r="BM143" s="475"/>
      <c r="BN143" s="475"/>
      <c r="BO143" s="475"/>
      <c r="BP143" s="475"/>
      <c r="BQ143" s="475"/>
      <c r="BR143" s="475"/>
      <c r="BS143" s="475"/>
      <c r="BT143" s="475"/>
      <c r="BU143" s="475"/>
      <c r="BV143" s="774"/>
      <c r="BW143" s="443"/>
    </row>
    <row r="144" spans="1:75" ht="15" customHeight="1" thickBot="1" x14ac:dyDescent="0.25">
      <c r="A144" s="682"/>
      <c r="C144" s="473"/>
      <c r="D144" s="473"/>
      <c r="E144" s="473"/>
      <c r="F144" s="473"/>
      <c r="G144" s="473"/>
      <c r="H144" s="473"/>
      <c r="I144" s="473"/>
      <c r="J144" s="473"/>
      <c r="K144" s="473"/>
      <c r="L144" s="473"/>
      <c r="M144" s="473"/>
      <c r="N144" s="473"/>
      <c r="O144" s="473"/>
      <c r="P144" s="473"/>
      <c r="Q144" s="473"/>
      <c r="R144" s="473"/>
      <c r="S144" s="473"/>
      <c r="T144" s="473"/>
      <c r="U144" s="473"/>
      <c r="V144" s="473"/>
      <c r="W144" s="473"/>
      <c r="X144" s="473"/>
      <c r="Y144" s="473"/>
      <c r="Z144" s="473"/>
      <c r="AA144" s="473"/>
      <c r="AB144" s="473"/>
      <c r="AC144" s="473"/>
      <c r="AD144" s="473"/>
      <c r="AE144" s="473"/>
      <c r="AF144" s="473"/>
      <c r="AG144" s="473"/>
      <c r="AH144" s="473"/>
      <c r="AI144" s="473"/>
      <c r="AJ144" s="473"/>
      <c r="AK144" s="473"/>
      <c r="AL144" s="473"/>
      <c r="AM144" s="473"/>
      <c r="AN144" s="473"/>
      <c r="AO144" s="473"/>
      <c r="AP144" s="473"/>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c r="BK144" s="473"/>
      <c r="BL144" s="473"/>
      <c r="BM144" s="473"/>
      <c r="BN144" s="473"/>
      <c r="BO144" s="473"/>
      <c r="BP144" s="473"/>
      <c r="BQ144" s="473"/>
      <c r="BR144" s="751" t="s">
        <v>1824</v>
      </c>
      <c r="BS144" s="473"/>
      <c r="BT144" s="473"/>
      <c r="BU144" s="473"/>
      <c r="BV144" s="473"/>
      <c r="BW144" s="443"/>
    </row>
    <row r="145" spans="1:158" ht="15" customHeight="1" x14ac:dyDescent="0.25">
      <c r="A145" s="682"/>
      <c r="C145" s="1673" t="s">
        <v>1202</v>
      </c>
      <c r="D145" s="1674"/>
      <c r="E145" s="1674"/>
      <c r="F145" s="1674"/>
      <c r="G145" s="1674"/>
      <c r="H145" s="1674"/>
      <c r="I145" s="1674"/>
      <c r="J145" s="1674"/>
      <c r="K145" s="1745" t="str">
        <f>K87</f>
        <v>Janeth Patricia Cando Arias</v>
      </c>
      <c r="L145" s="1745"/>
      <c r="M145" s="1745"/>
      <c r="N145" s="1745"/>
      <c r="O145" s="1745"/>
      <c r="P145" s="1745"/>
      <c r="Q145" s="1745"/>
      <c r="R145" s="1745"/>
      <c r="S145" s="1745"/>
      <c r="T145" s="1745"/>
      <c r="U145" s="1745"/>
      <c r="V145" s="1745"/>
      <c r="W145" s="1745"/>
      <c r="X145" s="1745"/>
      <c r="Y145" s="1745"/>
      <c r="Z145" s="1745"/>
      <c r="AA145" s="1745"/>
      <c r="AB145" s="1745"/>
      <c r="AC145" s="1745"/>
      <c r="AD145" s="1745"/>
      <c r="AE145" s="1745"/>
      <c r="AF145" s="1745"/>
      <c r="AG145" s="1745"/>
      <c r="AH145" s="1745"/>
      <c r="AI145" s="1745"/>
      <c r="AJ145" s="1745"/>
      <c r="AK145" s="1745"/>
      <c r="AL145" s="1745"/>
      <c r="AM145" s="1745"/>
      <c r="AN145" s="1745"/>
      <c r="AO145" s="1675" t="s">
        <v>466</v>
      </c>
      <c r="AP145" s="1675"/>
      <c r="AQ145" s="1675"/>
      <c r="AR145" s="1675"/>
      <c r="AS145" s="1675"/>
      <c r="AT145" s="1675"/>
      <c r="AU145" s="1675"/>
      <c r="AV145" s="1675"/>
      <c r="AW145" s="1675"/>
      <c r="AX145" s="1637" t="str">
        <f>AX87</f>
        <v>Coronel Souper N° 4060, Departamento: N°2502 B, Edificio Mirador Souper</v>
      </c>
      <c r="AY145" s="1637"/>
      <c r="AZ145" s="1637"/>
      <c r="BA145" s="1637"/>
      <c r="BB145" s="1637"/>
      <c r="BC145" s="1637"/>
      <c r="BD145" s="1637"/>
      <c r="BE145" s="1637"/>
      <c r="BF145" s="1637"/>
      <c r="BG145" s="1637"/>
      <c r="BH145" s="1637"/>
      <c r="BI145" s="1637"/>
      <c r="BJ145" s="1637"/>
      <c r="BK145" s="1637"/>
      <c r="BL145" s="1637"/>
      <c r="BM145" s="1637"/>
      <c r="BN145" s="1637"/>
      <c r="BO145" s="1637"/>
      <c r="BP145" s="1637"/>
      <c r="BQ145" s="1637"/>
      <c r="BR145" s="1637"/>
      <c r="BS145" s="1637"/>
      <c r="BT145" s="1637"/>
      <c r="BU145" s="1637"/>
      <c r="BV145" s="1638"/>
      <c r="BW145" s="443"/>
      <c r="CJ145" s="1646"/>
      <c r="CK145" s="1646"/>
      <c r="CL145" s="1646"/>
      <c r="CM145" s="1646"/>
      <c r="CN145" s="1646"/>
      <c r="CO145" s="1646"/>
      <c r="CP145" s="1646"/>
      <c r="CQ145" s="1646"/>
      <c r="CR145" s="1790"/>
      <c r="CS145" s="1790"/>
      <c r="CT145" s="1790"/>
      <c r="CU145" s="1790"/>
      <c r="CV145" s="1790"/>
      <c r="CW145" s="1790"/>
      <c r="CX145" s="1790"/>
      <c r="CY145" s="1790"/>
      <c r="CZ145" s="1790"/>
      <c r="DA145" s="1790"/>
      <c r="DB145" s="1790"/>
      <c r="DC145" s="1790"/>
      <c r="DD145" s="1790"/>
      <c r="DE145" s="1790"/>
      <c r="DF145" s="1790"/>
      <c r="DG145" s="1790"/>
      <c r="DH145" s="1790"/>
      <c r="DI145" s="1790"/>
      <c r="DJ145" s="1790"/>
      <c r="DK145" s="1790"/>
      <c r="DL145" s="1790"/>
      <c r="DM145" s="1790"/>
      <c r="DN145" s="1790"/>
      <c r="DO145" s="1790"/>
      <c r="DP145" s="1790"/>
      <c r="DQ145" s="1790"/>
      <c r="DR145" s="1790"/>
      <c r="DS145" s="1790"/>
      <c r="DT145" s="1790"/>
      <c r="DU145" s="1790"/>
      <c r="DV145" s="1791"/>
      <c r="DW145" s="1791"/>
      <c r="DX145" s="1791"/>
      <c r="DY145" s="1791"/>
      <c r="DZ145" s="1791"/>
      <c r="EA145" s="1791"/>
      <c r="EB145" s="1791"/>
      <c r="EC145" s="1791"/>
      <c r="ED145" s="1791"/>
      <c r="EE145" s="1792"/>
      <c r="EF145" s="1792"/>
      <c r="EG145" s="1792"/>
      <c r="EH145" s="1792"/>
      <c r="EI145" s="1792"/>
      <c r="EJ145" s="1792"/>
      <c r="EK145" s="1792"/>
      <c r="EL145" s="1792"/>
      <c r="EM145" s="1792"/>
      <c r="EN145" s="1792"/>
      <c r="EO145" s="1792"/>
      <c r="EP145" s="1792"/>
      <c r="EQ145" s="1792"/>
      <c r="ER145" s="1792"/>
      <c r="ES145" s="1792"/>
      <c r="ET145" s="1792"/>
      <c r="EU145" s="1792"/>
      <c r="EV145" s="1792"/>
      <c r="EW145" s="1792"/>
      <c r="EX145" s="1792"/>
      <c r="EY145" s="1792"/>
      <c r="EZ145" s="1792"/>
      <c r="FA145" s="1792"/>
      <c r="FB145" s="1792"/>
    </row>
    <row r="146" spans="1:158" ht="15" customHeight="1" thickBot="1" x14ac:dyDescent="0.25">
      <c r="A146" s="682"/>
      <c r="C146" s="1640" t="s">
        <v>1203</v>
      </c>
      <c r="D146" s="1617"/>
      <c r="E146" s="1617"/>
      <c r="F146" s="1617"/>
      <c r="G146" s="1617"/>
      <c r="H146" s="1617"/>
      <c r="I146" s="1617"/>
      <c r="J146" s="1617"/>
      <c r="K146" s="1784" t="str">
        <f>K88</f>
        <v>22.959.221-1</v>
      </c>
      <c r="L146" s="1784"/>
      <c r="M146" s="1784"/>
      <c r="N146" s="1784"/>
      <c r="O146" s="1784"/>
      <c r="P146" s="1784"/>
      <c r="Q146" s="1784"/>
      <c r="R146" s="1784"/>
      <c r="S146" s="1784"/>
      <c r="T146" s="1784"/>
      <c r="U146" s="1784"/>
      <c r="V146" s="1784"/>
      <c r="W146" s="1784"/>
      <c r="X146" s="1784"/>
      <c r="Y146" s="1784"/>
      <c r="Z146" s="1784"/>
      <c r="AA146" s="1784"/>
      <c r="AB146" s="1784"/>
      <c r="AC146" s="1784"/>
      <c r="AD146" s="1784"/>
      <c r="AE146" s="1784"/>
      <c r="AF146" s="1784"/>
      <c r="AG146" s="1784"/>
      <c r="AH146" s="1784"/>
      <c r="AI146" s="1784"/>
      <c r="AJ146" s="1784"/>
      <c r="AK146" s="1784"/>
      <c r="AL146" s="1784"/>
      <c r="AM146" s="1784"/>
      <c r="AN146" s="1784"/>
      <c r="AO146" s="1641" t="s">
        <v>908</v>
      </c>
      <c r="AP146" s="1641"/>
      <c r="AQ146" s="1641"/>
      <c r="AR146" s="1641"/>
      <c r="AS146" s="1641"/>
      <c r="AT146" s="1641"/>
      <c r="AU146" s="1641"/>
      <c r="AV146" s="1641"/>
      <c r="AW146" s="1641"/>
      <c r="AX146" s="1617" t="str">
        <f>AX88</f>
        <v>AGH -1548</v>
      </c>
      <c r="AY146" s="1617"/>
      <c r="AZ146" s="1617"/>
      <c r="BA146" s="1617"/>
      <c r="BB146" s="1617"/>
      <c r="BC146" s="1617"/>
      <c r="BD146" s="1617"/>
      <c r="BE146" s="1617"/>
      <c r="BF146" s="1617"/>
      <c r="BG146" s="1617"/>
      <c r="BH146" s="1617"/>
      <c r="BI146" s="1617"/>
      <c r="BJ146" s="1617"/>
      <c r="BK146" s="1617"/>
      <c r="BL146" s="1617"/>
      <c r="BM146" s="1617"/>
      <c r="BN146" s="1617"/>
      <c r="BO146" s="1617"/>
      <c r="BP146" s="1617"/>
      <c r="BQ146" s="1617"/>
      <c r="BR146" s="1617"/>
      <c r="BS146" s="1617"/>
      <c r="BT146" s="1617"/>
      <c r="BU146" s="1617"/>
      <c r="BV146" s="1618"/>
      <c r="BW146" s="443"/>
      <c r="CJ146" s="1646"/>
      <c r="CK146" s="1646"/>
      <c r="CL146" s="1646"/>
      <c r="CM146" s="1646"/>
      <c r="CN146" s="1646"/>
      <c r="CO146" s="1646"/>
      <c r="CP146" s="1646"/>
      <c r="CQ146" s="1646"/>
      <c r="CR146" s="1790"/>
      <c r="CS146" s="1790"/>
      <c r="CT146" s="1790"/>
      <c r="CU146" s="1790"/>
      <c r="CV146" s="1790"/>
      <c r="CW146" s="1790"/>
      <c r="CX146" s="1790"/>
      <c r="CY146" s="1790"/>
      <c r="CZ146" s="1790"/>
      <c r="DA146" s="1790"/>
      <c r="DB146" s="1790"/>
      <c r="DC146" s="1790"/>
      <c r="DD146" s="1790"/>
      <c r="DE146" s="1790"/>
      <c r="DF146" s="1790"/>
      <c r="DG146" s="1790"/>
      <c r="DH146" s="1790"/>
      <c r="DI146" s="1790"/>
      <c r="DJ146" s="1790"/>
      <c r="DK146" s="1790"/>
      <c r="DL146" s="1790"/>
      <c r="DM146" s="1790"/>
      <c r="DN146" s="1790"/>
      <c r="DO146" s="1790"/>
      <c r="DP146" s="1790"/>
      <c r="DQ146" s="1790"/>
      <c r="DR146" s="1790"/>
      <c r="DS146" s="1790"/>
      <c r="DT146" s="1790"/>
      <c r="DU146" s="1790"/>
      <c r="DV146" s="1791"/>
      <c r="DW146" s="1791"/>
      <c r="DX146" s="1791"/>
      <c r="DY146" s="1791"/>
      <c r="DZ146" s="1791"/>
      <c r="EA146" s="1791"/>
      <c r="EB146" s="1791"/>
      <c r="EC146" s="1791"/>
      <c r="ED146" s="1791"/>
      <c r="EE146" s="1646"/>
      <c r="EF146" s="1646"/>
      <c r="EG146" s="1646"/>
      <c r="EH146" s="1646"/>
      <c r="EI146" s="1646"/>
      <c r="EJ146" s="1646"/>
      <c r="EK146" s="1646"/>
      <c r="EL146" s="1646"/>
      <c r="EM146" s="1646"/>
      <c r="EN146" s="1646"/>
      <c r="EO146" s="1646"/>
      <c r="EP146" s="1646"/>
      <c r="EQ146" s="1646"/>
      <c r="ER146" s="1646"/>
      <c r="ES146" s="1646"/>
      <c r="ET146" s="1646"/>
      <c r="EU146" s="1646"/>
      <c r="EV146" s="1646"/>
      <c r="EW146" s="1646"/>
      <c r="EX146" s="1646"/>
      <c r="EY146" s="1646"/>
      <c r="EZ146" s="1646"/>
      <c r="FA146" s="1646"/>
      <c r="FB146" s="1646"/>
    </row>
    <row r="147" spans="1:158" ht="15" customHeight="1" thickBot="1" x14ac:dyDescent="0.25">
      <c r="AJ147" s="452"/>
      <c r="BW147" s="443"/>
    </row>
    <row r="148" spans="1:158" ht="15" customHeight="1" thickBot="1" x14ac:dyDescent="0.25">
      <c r="A148" s="1752" t="s">
        <v>1204</v>
      </c>
      <c r="C148" s="1632" t="s">
        <v>684</v>
      </c>
      <c r="D148" s="1633"/>
      <c r="E148" s="1633"/>
      <c r="F148" s="1633"/>
      <c r="G148" s="1633"/>
      <c r="H148" s="1633"/>
      <c r="I148" s="1633"/>
      <c r="J148" s="765" t="s">
        <v>462</v>
      </c>
      <c r="K148" s="1822" t="str">
        <f>Antecedentes!Z7</f>
        <v>OGUC</v>
      </c>
      <c r="L148" s="1822"/>
      <c r="M148" s="1822"/>
      <c r="N148" s="1822"/>
      <c r="O148" s="1823" t="s">
        <v>685</v>
      </c>
      <c r="P148" s="1823"/>
      <c r="Q148" s="1823"/>
      <c r="R148" s="1823"/>
      <c r="S148" s="452"/>
      <c r="T148" s="1633" t="s">
        <v>700</v>
      </c>
      <c r="U148" s="1633"/>
      <c r="V148" s="1633"/>
      <c r="W148" s="1633"/>
      <c r="X148" s="1633"/>
      <c r="Y148" s="1633"/>
      <c r="Z148" s="1633"/>
      <c r="AA148" s="765" t="s">
        <v>462</v>
      </c>
      <c r="AB148" s="1822" t="str">
        <f>Antecedentes!Z10</f>
        <v>OGUC</v>
      </c>
      <c r="AC148" s="1822"/>
      <c r="AD148" s="1822"/>
      <c r="AE148" s="1822"/>
      <c r="AF148" s="1823"/>
      <c r="AG148" s="1823"/>
      <c r="AH148" s="1823"/>
      <c r="AI148" s="1824"/>
      <c r="AJ148" s="688"/>
      <c r="AK148" s="1819" t="str">
        <f>Antecedentes!AH6</f>
        <v>PROPIEDAD ACOGIDA A:</v>
      </c>
      <c r="AL148" s="1820"/>
      <c r="AM148" s="1820"/>
      <c r="AN148" s="1820"/>
      <c r="AO148" s="1820"/>
      <c r="AP148" s="1820"/>
      <c r="AQ148" s="1820"/>
      <c r="AR148" s="1820"/>
      <c r="AS148" s="1820"/>
      <c r="AT148" s="1820"/>
      <c r="AU148" s="1820"/>
      <c r="AV148" s="1820"/>
      <c r="AW148" s="1820"/>
      <c r="AX148" s="1821"/>
      <c r="AY148" s="486"/>
      <c r="AZ148" s="1898" t="str">
        <f>Antecedentes!AW6</f>
        <v>CUMPLE PLAN REGULADOR VIGENTE</v>
      </c>
      <c r="BA148" s="1899"/>
      <c r="BB148" s="1899"/>
      <c r="BC148" s="1899"/>
      <c r="BD148" s="1899"/>
      <c r="BE148" s="1899"/>
      <c r="BF148" s="1899"/>
      <c r="BG148" s="1899"/>
      <c r="BH148" s="1899"/>
      <c r="BI148" s="1899"/>
      <c r="BJ148" s="1899"/>
      <c r="BK148" s="1899"/>
      <c r="BL148" s="1899"/>
      <c r="BM148" s="1899"/>
      <c r="BN148" s="1899"/>
      <c r="BO148" s="1899"/>
      <c r="BP148" s="1899"/>
      <c r="BQ148" s="1899"/>
      <c r="BR148" s="1899"/>
      <c r="BS148" s="1899"/>
      <c r="BT148" s="1899"/>
      <c r="BU148" s="1899"/>
      <c r="BV148" s="1900"/>
      <c r="BW148" s="443"/>
    </row>
    <row r="149" spans="1:158" ht="15" customHeight="1" x14ac:dyDescent="0.2">
      <c r="A149" s="1752"/>
      <c r="C149" s="1635" t="s">
        <v>689</v>
      </c>
      <c r="D149" s="1636"/>
      <c r="E149" s="1636"/>
      <c r="F149" s="1636"/>
      <c r="G149" s="1636"/>
      <c r="H149" s="1636"/>
      <c r="I149" s="1636"/>
      <c r="J149" s="777" t="s">
        <v>462</v>
      </c>
      <c r="K149" s="1814" t="str">
        <f>Antecedentes!Z8</f>
        <v>OGUC</v>
      </c>
      <c r="L149" s="1814"/>
      <c r="M149" s="1814"/>
      <c r="N149" s="1814"/>
      <c r="O149" s="1657" t="s">
        <v>690</v>
      </c>
      <c r="P149" s="1657"/>
      <c r="Q149" s="1657"/>
      <c r="R149" s="1657"/>
      <c r="T149" s="1636" t="s">
        <v>705</v>
      </c>
      <c r="U149" s="1636"/>
      <c r="V149" s="1636"/>
      <c r="W149" s="1636"/>
      <c r="X149" s="1636"/>
      <c r="Y149" s="1636"/>
      <c r="Z149" s="1636"/>
      <c r="AA149" s="777" t="s">
        <v>462</v>
      </c>
      <c r="AB149" s="1814" t="str">
        <f>Antecedentes!Z11</f>
        <v>OGUC</v>
      </c>
      <c r="AC149" s="1814"/>
      <c r="AD149" s="1814"/>
      <c r="AE149" s="1814"/>
      <c r="AF149" s="1657" t="s">
        <v>690</v>
      </c>
      <c r="AG149" s="1657"/>
      <c r="AH149" s="1657"/>
      <c r="AI149" s="1901"/>
      <c r="AJ149" s="688"/>
      <c r="AK149" s="689" t="str">
        <f>Antecedentes!AH7</f>
        <v>D.F.L. 2</v>
      </c>
      <c r="AL149" s="688"/>
      <c r="AM149" s="688"/>
      <c r="AV149" s="443" t="str">
        <f>Antecedentes!AS7</f>
        <v>:</v>
      </c>
      <c r="AW149" s="443" t="str">
        <f>Antecedentes!AT7</f>
        <v>SI</v>
      </c>
      <c r="AX149" s="447"/>
      <c r="AZ149" s="453" t="str">
        <f>Antecedentes!AW7</f>
        <v>Según el uso actual del bien</v>
      </c>
      <c r="BK149" s="443" t="str">
        <f>Antecedentes!BH7</f>
        <v>:</v>
      </c>
      <c r="BL149" s="443" t="str">
        <f>Antecedentes!BI7</f>
        <v>SI</v>
      </c>
      <c r="BV149" s="447"/>
      <c r="BW149" s="443"/>
    </row>
    <row r="150" spans="1:158" ht="15" customHeight="1" x14ac:dyDescent="0.2">
      <c r="A150" s="1752"/>
      <c r="C150" s="1635" t="s">
        <v>694</v>
      </c>
      <c r="D150" s="1636"/>
      <c r="E150" s="1636"/>
      <c r="F150" s="1636"/>
      <c r="G150" s="1636"/>
      <c r="H150" s="1636"/>
      <c r="I150" s="1636"/>
      <c r="J150" s="777" t="s">
        <v>462</v>
      </c>
      <c r="K150" s="1814" t="str">
        <f>Antecedentes!Z9</f>
        <v>OGUC</v>
      </c>
      <c r="L150" s="1814"/>
      <c r="M150" s="1814"/>
      <c r="N150" s="1814"/>
      <c r="O150" s="1657" t="s">
        <v>533</v>
      </c>
      <c r="P150" s="1657"/>
      <c r="Q150" s="1657"/>
      <c r="R150" s="1657"/>
      <c r="T150" s="1636" t="s">
        <v>709</v>
      </c>
      <c r="U150" s="1636"/>
      <c r="V150" s="1636"/>
      <c r="W150" s="1636"/>
      <c r="X150" s="1636"/>
      <c r="Y150" s="1636"/>
      <c r="Z150" s="1636"/>
      <c r="AA150" s="777" t="s">
        <v>462</v>
      </c>
      <c r="AB150" s="1814" t="str">
        <f>Antecedentes!Z12</f>
        <v>OGUC</v>
      </c>
      <c r="AC150" s="1814"/>
      <c r="AD150" s="1814"/>
      <c r="AE150" s="1814"/>
      <c r="AF150" s="1657" t="s">
        <v>690</v>
      </c>
      <c r="AG150" s="1657"/>
      <c r="AH150" s="1657"/>
      <c r="AI150" s="1901"/>
      <c r="AJ150" s="688"/>
      <c r="AK150" s="689" t="str">
        <f>Antecedentes!AH8</f>
        <v>LEY 6071 (Venta por Pisos)</v>
      </c>
      <c r="AL150" s="688"/>
      <c r="AM150" s="688"/>
      <c r="AV150" s="443" t="str">
        <f>Antecedentes!AS8</f>
        <v>:</v>
      </c>
      <c r="AW150" s="443" t="str">
        <f>Antecedentes!AT8</f>
        <v>NO</v>
      </c>
      <c r="AX150" s="447"/>
      <c r="AZ150" s="453" t="str">
        <f>Antecedentes!AW8</f>
        <v>Según tipo construcción</v>
      </c>
      <c r="BK150" s="443" t="str">
        <f>Antecedentes!BH8</f>
        <v>:</v>
      </c>
      <c r="BL150" s="443" t="str">
        <f>Antecedentes!BI8</f>
        <v>SI</v>
      </c>
      <c r="BV150" s="447"/>
      <c r="BW150" s="443"/>
    </row>
    <row r="151" spans="1:158" ht="15" customHeight="1" x14ac:dyDescent="0.2">
      <c r="A151" s="1752"/>
      <c r="C151" s="1635" t="s">
        <v>712</v>
      </c>
      <c r="D151" s="1636"/>
      <c r="E151" s="1636"/>
      <c r="F151" s="1636"/>
      <c r="G151" s="1636"/>
      <c r="H151" s="1636"/>
      <c r="I151" s="1636"/>
      <c r="J151" s="777" t="s">
        <v>462</v>
      </c>
      <c r="K151" s="690" t="str">
        <f>Antecedentes!Z13</f>
        <v>Aislado Pareado</v>
      </c>
      <c r="L151" s="690"/>
      <c r="M151" s="690"/>
      <c r="N151" s="690"/>
      <c r="O151" s="691"/>
      <c r="P151" s="777"/>
      <c r="Q151" s="777"/>
      <c r="R151" s="777"/>
      <c r="T151" s="762"/>
      <c r="U151" s="762"/>
      <c r="V151" s="762"/>
      <c r="W151" s="762"/>
      <c r="X151" s="762"/>
      <c r="Y151" s="762"/>
      <c r="Z151" s="762"/>
      <c r="AA151" s="777"/>
      <c r="AB151" s="789"/>
      <c r="AC151" s="789"/>
      <c r="AD151" s="789"/>
      <c r="AE151" s="789"/>
      <c r="AF151" s="777"/>
      <c r="AG151" s="777"/>
      <c r="AH151" s="777"/>
      <c r="AI151" s="791"/>
      <c r="AJ151" s="688"/>
      <c r="AK151" s="689" t="str">
        <f>Antecedentes!AH9</f>
        <v>LEY 9135 (Ley Pereira)</v>
      </c>
      <c r="AL151" s="688"/>
      <c r="AM151" s="688"/>
      <c r="AV151" s="443" t="str">
        <f>Antecedentes!AS9</f>
        <v>:</v>
      </c>
      <c r="AW151" s="443" t="str">
        <f>Antecedentes!AT9</f>
        <v>NO</v>
      </c>
      <c r="AX151" s="447"/>
      <c r="AZ151" s="1644" t="str">
        <f>Antecedentes!AW9</f>
        <v>Uso más probable del bien</v>
      </c>
      <c r="BA151" s="1593"/>
      <c r="BB151" s="1593"/>
      <c r="BC151" s="1593"/>
      <c r="BD151" s="1593"/>
      <c r="BE151" s="1593"/>
      <c r="BF151" s="1593"/>
      <c r="BG151" s="1593"/>
      <c r="BH151" s="1593"/>
      <c r="BI151" s="1593"/>
      <c r="BJ151" s="1593"/>
      <c r="BK151" s="692" t="str">
        <f>Antecedentes!BH9</f>
        <v>:</v>
      </c>
      <c r="BL151" s="1593" t="str">
        <f>Antecedentes!BI9</f>
        <v>HABITACIONAL</v>
      </c>
      <c r="BM151" s="1593"/>
      <c r="BN151" s="1593"/>
      <c r="BO151" s="1593"/>
      <c r="BP151" s="1593"/>
      <c r="BQ151" s="1593"/>
      <c r="BR151" s="1593"/>
      <c r="BS151" s="1593"/>
      <c r="BT151" s="1593"/>
      <c r="BU151" s="1593"/>
      <c r="BV151" s="1594"/>
      <c r="BW151" s="443"/>
    </row>
    <row r="152" spans="1:158" ht="15" customHeight="1" thickBot="1" x14ac:dyDescent="0.25">
      <c r="A152" s="1752"/>
      <c r="C152" s="454"/>
      <c r="D152" s="475"/>
      <c r="E152" s="475"/>
      <c r="F152" s="475"/>
      <c r="G152" s="475"/>
      <c r="H152" s="475"/>
      <c r="I152" s="475"/>
      <c r="J152" s="475"/>
      <c r="K152" s="475"/>
      <c r="L152" s="475"/>
      <c r="M152" s="475"/>
      <c r="N152" s="475"/>
      <c r="O152" s="475"/>
      <c r="P152" s="693"/>
      <c r="Q152" s="693"/>
      <c r="R152" s="475"/>
      <c r="S152" s="475"/>
      <c r="T152" s="475"/>
      <c r="U152" s="475"/>
      <c r="V152" s="475"/>
      <c r="W152" s="475"/>
      <c r="X152" s="475"/>
      <c r="Y152" s="475"/>
      <c r="Z152" s="475"/>
      <c r="AA152" s="475"/>
      <c r="AB152" s="475"/>
      <c r="AC152" s="475"/>
      <c r="AD152" s="475"/>
      <c r="AE152" s="475"/>
      <c r="AF152" s="475"/>
      <c r="AG152" s="475"/>
      <c r="AH152" s="475"/>
      <c r="AI152" s="694"/>
      <c r="AJ152" s="695"/>
      <c r="AK152" s="696" t="str">
        <f>Antecedentes!AH10</f>
        <v>LEY 19537 (Coprop. Inmob.)</v>
      </c>
      <c r="AL152" s="697"/>
      <c r="AM152" s="697"/>
      <c r="AN152" s="475"/>
      <c r="AO152" s="475"/>
      <c r="AP152" s="475"/>
      <c r="AQ152" s="475"/>
      <c r="AR152" s="475"/>
      <c r="AS152" s="475"/>
      <c r="AT152" s="475"/>
      <c r="AU152" s="475"/>
      <c r="AV152" s="475" t="str">
        <f>Antecedentes!AS10</f>
        <v>:</v>
      </c>
      <c r="AW152" s="475" t="str">
        <f>Antecedentes!AT10</f>
        <v>SI</v>
      </c>
      <c r="AX152" s="476"/>
      <c r="AY152" s="486"/>
      <c r="AZ152" s="454" t="str">
        <f>Antecedentes!AW10</f>
        <v>Cambios en Plan Regulador</v>
      </c>
      <c r="BA152" s="475"/>
      <c r="BB152" s="475"/>
      <c r="BC152" s="475"/>
      <c r="BD152" s="693"/>
      <c r="BE152" s="475"/>
      <c r="BF152" s="475"/>
      <c r="BG152" s="475"/>
      <c r="BH152" s="475"/>
      <c r="BI152" s="475"/>
      <c r="BJ152" s="475"/>
      <c r="BK152" s="475" t="str">
        <f>Antecedentes!BH10</f>
        <v>:</v>
      </c>
      <c r="BL152" s="475" t="str">
        <f>Antecedentes!BI10</f>
        <v>NO CONTEMPLA</v>
      </c>
      <c r="BM152" s="475"/>
      <c r="BN152" s="475"/>
      <c r="BO152" s="475"/>
      <c r="BP152" s="475"/>
      <c r="BQ152" s="475"/>
      <c r="BR152" s="475"/>
      <c r="BS152" s="475"/>
      <c r="BT152" s="475"/>
      <c r="BU152" s="475"/>
      <c r="BV152" s="476"/>
      <c r="BW152" s="443"/>
    </row>
    <row r="153" spans="1:158" ht="15" customHeight="1" thickBot="1" x14ac:dyDescent="0.25">
      <c r="A153" s="698"/>
      <c r="AI153" s="688"/>
      <c r="AJ153" s="688"/>
      <c r="AK153" s="688"/>
      <c r="AL153" s="688"/>
      <c r="AM153" s="688"/>
      <c r="AP153" s="615"/>
      <c r="AQ153" s="615"/>
      <c r="BW153" s="443"/>
    </row>
    <row r="154" spans="1:158" ht="15" customHeight="1" thickBot="1" x14ac:dyDescent="0.25">
      <c r="A154" s="1753" t="s">
        <v>511</v>
      </c>
      <c r="B154" s="612"/>
      <c r="C154" s="477" t="s">
        <v>1505</v>
      </c>
      <c r="D154" s="478"/>
      <c r="E154" s="478"/>
      <c r="F154" s="479"/>
      <c r="G154" s="479"/>
      <c r="H154" s="479"/>
      <c r="I154" s="479"/>
      <c r="J154" s="478" t="str">
        <f>Portada!F22</f>
        <v>Medio</v>
      </c>
      <c r="K154" s="478"/>
      <c r="L154" s="478"/>
      <c r="M154" s="478"/>
      <c r="N154" s="479"/>
      <c r="O154" s="480"/>
      <c r="P154" s="477" t="s">
        <v>1076</v>
      </c>
      <c r="Q154" s="478"/>
      <c r="R154" s="478"/>
      <c r="S154" s="478"/>
      <c r="T154" s="479"/>
      <c r="U154" s="479"/>
      <c r="V154" s="479"/>
      <c r="W154" s="478" t="str">
        <f>Portada!F23</f>
        <v>Estable</v>
      </c>
      <c r="X154" s="478"/>
      <c r="Y154" s="478"/>
      <c r="Z154" s="479"/>
      <c r="AA154" s="479"/>
      <c r="AB154" s="479"/>
      <c r="AC154" s="480"/>
      <c r="AD154" s="477" t="s">
        <v>1077</v>
      </c>
      <c r="AE154" s="478"/>
      <c r="AF154" s="478"/>
      <c r="AG154" s="479"/>
      <c r="AH154" s="479"/>
      <c r="AI154" s="479"/>
      <c r="AJ154" s="478" t="str">
        <f>Portada!F24</f>
        <v>Media</v>
      </c>
      <c r="AK154" s="478"/>
      <c r="AL154" s="478"/>
      <c r="AM154" s="478"/>
      <c r="AN154" s="478"/>
      <c r="AO154" s="481"/>
      <c r="AP154" s="477" t="s">
        <v>1078</v>
      </c>
      <c r="AQ154" s="478"/>
      <c r="AR154" s="478"/>
      <c r="AS154" s="479"/>
      <c r="AT154" s="479"/>
      <c r="AU154" s="478" t="str">
        <f>Portada!F25</f>
        <v>Estrato Medio</v>
      </c>
      <c r="AV154" s="478"/>
      <c r="AW154" s="478"/>
      <c r="AX154" s="481"/>
      <c r="AY154" s="479"/>
      <c r="AZ154" s="479"/>
      <c r="BA154" s="479"/>
      <c r="BB154" s="479"/>
      <c r="BC154" s="479"/>
      <c r="BD154" s="479"/>
      <c r="BE154" s="481"/>
      <c r="BF154" s="477" t="s">
        <v>1506</v>
      </c>
      <c r="BG154" s="478"/>
      <c r="BH154" s="479"/>
      <c r="BI154" s="479"/>
      <c r="BJ154" s="479"/>
      <c r="BK154" s="479"/>
      <c r="BL154" s="479"/>
      <c r="BM154" s="478" t="str">
        <f>CONCATENATE(Portada!F26,"/",Portada!H26)</f>
        <v>NO/No Homogéneo</v>
      </c>
      <c r="BN154" s="478"/>
      <c r="BO154" s="478"/>
      <c r="BP154" s="478"/>
      <c r="BQ154" s="481"/>
      <c r="BR154" s="479"/>
      <c r="BS154" s="479"/>
      <c r="BT154" s="479"/>
      <c r="BU154" s="479"/>
      <c r="BV154" s="480"/>
      <c r="BW154" s="443"/>
    </row>
    <row r="155" spans="1:158" ht="15" customHeight="1" thickBot="1" x14ac:dyDescent="0.25">
      <c r="A155" s="1753"/>
      <c r="B155" s="612"/>
      <c r="C155" s="510"/>
      <c r="D155" s="510"/>
      <c r="E155" s="510"/>
      <c r="F155" s="452"/>
      <c r="G155" s="452"/>
      <c r="H155" s="452"/>
      <c r="J155" s="666"/>
      <c r="K155" s="666"/>
      <c r="L155" s="666"/>
      <c r="M155" s="666"/>
      <c r="P155" s="666"/>
      <c r="Q155" s="666"/>
      <c r="R155" s="666"/>
      <c r="S155" s="666"/>
      <c r="V155" s="452"/>
      <c r="W155" s="510"/>
      <c r="X155" s="510"/>
      <c r="Y155" s="510"/>
      <c r="Z155" s="452"/>
      <c r="AA155" s="452"/>
      <c r="AB155" s="452"/>
      <c r="AD155" s="666"/>
      <c r="AE155" s="666"/>
      <c r="AF155" s="666"/>
      <c r="AJ155" s="666"/>
      <c r="AK155" s="666"/>
      <c r="AL155" s="666"/>
      <c r="AM155" s="666"/>
      <c r="AN155" s="666"/>
      <c r="AO155" s="666"/>
      <c r="AP155" s="666"/>
      <c r="AQ155" s="666"/>
      <c r="AR155" s="666"/>
      <c r="AU155" s="666"/>
      <c r="AV155" s="666"/>
      <c r="AW155" s="666"/>
      <c r="AX155" s="666"/>
      <c r="BE155" s="666"/>
      <c r="BF155" s="666"/>
      <c r="BG155" s="666"/>
      <c r="BM155" s="666"/>
      <c r="BN155" s="666"/>
      <c r="BO155" s="666"/>
      <c r="BP155" s="666"/>
      <c r="BQ155" s="666"/>
      <c r="BW155" s="443"/>
    </row>
    <row r="156" spans="1:158" ht="15" customHeight="1" x14ac:dyDescent="0.2">
      <c r="A156" s="1753"/>
      <c r="C156" s="1642" t="str">
        <f>Portada!M22</f>
        <v>Destino barrio</v>
      </c>
      <c r="D156" s="1643"/>
      <c r="E156" s="1643"/>
      <c r="F156" s="1643"/>
      <c r="G156" s="1643"/>
      <c r="H156" s="1643"/>
      <c r="I156" s="790" t="str">
        <f>Portada!R22</f>
        <v>:</v>
      </c>
      <c r="J156" s="1815" t="str">
        <f>Portada!S22</f>
        <v>Habitacional</v>
      </c>
      <c r="K156" s="1815"/>
      <c r="L156" s="1815"/>
      <c r="M156" s="1815"/>
      <c r="N156" s="1815"/>
      <c r="O156" s="1815"/>
      <c r="P156" s="1815"/>
      <c r="Q156" s="452"/>
      <c r="R156" s="452"/>
      <c r="S156" s="452"/>
      <c r="T156" s="452"/>
      <c r="U156" s="452"/>
      <c r="V156" s="1643" t="str">
        <f>Portada!Z22</f>
        <v xml:space="preserve">Antejardin </v>
      </c>
      <c r="W156" s="1643"/>
      <c r="X156" s="1643"/>
      <c r="Y156" s="1643"/>
      <c r="Z156" s="1643"/>
      <c r="AA156" s="1643"/>
      <c r="AB156" s="1643"/>
      <c r="AC156" s="790" t="str">
        <f>Portada!AD22</f>
        <v>:</v>
      </c>
      <c r="AD156" s="1815" t="str">
        <f>Portada!AE22</f>
        <v>NO</v>
      </c>
      <c r="AE156" s="1815"/>
      <c r="AF156" s="1815"/>
      <c r="AG156" s="1815"/>
      <c r="AH156" s="1815"/>
      <c r="AI156" s="1815"/>
      <c r="AJ156" s="452"/>
      <c r="AK156" s="452"/>
      <c r="AL156" s="452"/>
      <c r="AM156" s="452"/>
      <c r="AN156" s="452"/>
      <c r="AO156" s="452"/>
      <c r="AP156" s="452"/>
      <c r="AQ156" s="699" t="str">
        <f>Portada!AK22</f>
        <v>Uso de terrenos</v>
      </c>
      <c r="AR156" s="790"/>
      <c r="AS156" s="790"/>
      <c r="AT156" s="790"/>
      <c r="AU156" s="773"/>
      <c r="AV156" s="773"/>
      <c r="AW156" s="790"/>
      <c r="AX156" s="700"/>
      <c r="AY156" s="452"/>
      <c r="AZ156" s="452"/>
      <c r="BA156" s="452"/>
      <c r="BB156" s="452"/>
      <c r="BC156" s="452"/>
      <c r="BD156" s="452"/>
      <c r="BE156" s="700"/>
      <c r="BF156" s="700"/>
      <c r="BG156" s="700"/>
      <c r="BH156" s="769"/>
      <c r="BI156" s="769"/>
      <c r="BJ156" s="769"/>
      <c r="BK156" s="769"/>
      <c r="BL156" s="769"/>
      <c r="BM156" s="452"/>
      <c r="BN156" s="452"/>
      <c r="BO156" s="452"/>
      <c r="BP156" s="452"/>
      <c r="BQ156" s="452"/>
      <c r="BR156" s="452"/>
      <c r="BS156" s="452"/>
      <c r="BT156" s="452"/>
      <c r="BU156" s="452"/>
      <c r="BV156" s="474"/>
      <c r="BW156" s="443"/>
    </row>
    <row r="157" spans="1:158" ht="15" customHeight="1" x14ac:dyDescent="0.2">
      <c r="A157" s="1753"/>
      <c r="C157" s="1902" t="str">
        <f>Portada!M23</f>
        <v>Tipo zona</v>
      </c>
      <c r="D157" s="1639"/>
      <c r="E157" s="1639"/>
      <c r="F157" s="1639"/>
      <c r="G157" s="1639"/>
      <c r="I157" s="536" t="str">
        <f>Portada!R23</f>
        <v>:</v>
      </c>
      <c r="J157" s="1648" t="str">
        <f>Portada!S23</f>
        <v>Urbana</v>
      </c>
      <c r="K157" s="1648"/>
      <c r="L157" s="1648"/>
      <c r="M157" s="1648"/>
      <c r="N157" s="1648"/>
      <c r="O157" s="1648"/>
      <c r="P157" s="1648"/>
      <c r="V157" s="1639" t="str">
        <f>Portada!Z23</f>
        <v>Red Eléctrica</v>
      </c>
      <c r="W157" s="1639"/>
      <c r="X157" s="1639"/>
      <c r="Y157" s="1639"/>
      <c r="Z157" s="1639"/>
      <c r="AA157" s="1639"/>
      <c r="AB157" s="1639"/>
      <c r="AC157" s="536" t="str">
        <f>Portada!AD23</f>
        <v>:</v>
      </c>
      <c r="AD157" s="1648" t="str">
        <f>Portada!AE23</f>
        <v>Red Aérea</v>
      </c>
      <c r="AE157" s="1648"/>
      <c r="AF157" s="1648"/>
      <c r="AG157" s="1648"/>
      <c r="AH157" s="1648"/>
      <c r="AI157" s="1648"/>
      <c r="AQ157" s="1639" t="str">
        <f>Portada!AK23</f>
        <v>Casas</v>
      </c>
      <c r="AR157" s="1639"/>
      <c r="AS157" s="1639"/>
      <c r="AT157" s="1639"/>
      <c r="AU157" s="1639"/>
      <c r="AV157" s="1592">
        <f>Portada!AP23</f>
        <v>45</v>
      </c>
      <c r="AW157" s="1592"/>
      <c r="AX157" s="701" t="str">
        <f>Portada!AR23</f>
        <v>%</v>
      </c>
      <c r="BE157" s="1646" t="str">
        <f>Portada!AS23</f>
        <v>Industrial</v>
      </c>
      <c r="BF157" s="1646"/>
      <c r="BG157" s="1646"/>
      <c r="BH157" s="1646"/>
      <c r="BI157" s="1646"/>
      <c r="BJ157" s="1592">
        <f>Portada!AX23</f>
        <v>5</v>
      </c>
      <c r="BK157" s="1592"/>
      <c r="BL157" s="701" t="str">
        <f>Portada!AZ23</f>
        <v>%</v>
      </c>
      <c r="BV157" s="447"/>
      <c r="BW157" s="443"/>
    </row>
    <row r="158" spans="1:158" ht="15" customHeight="1" x14ac:dyDescent="0.2">
      <c r="A158" s="1753"/>
      <c r="C158" s="1902" t="str">
        <f>Portada!M24</f>
        <v>Calzada</v>
      </c>
      <c r="D158" s="1639"/>
      <c r="E158" s="1639"/>
      <c r="F158" s="1639"/>
      <c r="G158" s="1639"/>
      <c r="I158" s="536" t="str">
        <f>Portada!R24</f>
        <v>:</v>
      </c>
      <c r="J158" s="1648" t="str">
        <f>Portada!S24</f>
        <v>Hormigón</v>
      </c>
      <c r="K158" s="1648"/>
      <c r="L158" s="1648"/>
      <c r="M158" s="1648"/>
      <c r="N158" s="1648"/>
      <c r="O158" s="1648"/>
      <c r="P158" s="1648"/>
      <c r="V158" s="1639" t="str">
        <f>Portada!Z24</f>
        <v>Agua Potable</v>
      </c>
      <c r="W158" s="1639"/>
      <c r="X158" s="1639"/>
      <c r="Y158" s="1639"/>
      <c r="Z158" s="1639"/>
      <c r="AA158" s="1639"/>
      <c r="AB158" s="1639"/>
      <c r="AC158" s="536" t="str">
        <f>Portada!AD24</f>
        <v>:</v>
      </c>
      <c r="AD158" s="1648" t="str">
        <f>Portada!AE24</f>
        <v>Matriz Pública</v>
      </c>
      <c r="AE158" s="1648"/>
      <c r="AF158" s="1648"/>
      <c r="AG158" s="1648"/>
      <c r="AH158" s="1648"/>
      <c r="AI158" s="1648"/>
      <c r="AQ158" s="1639" t="str">
        <f>Portada!AK24</f>
        <v>Deptos.</v>
      </c>
      <c r="AR158" s="1639"/>
      <c r="AS158" s="1639"/>
      <c r="AT158" s="1639"/>
      <c r="AU158" s="1639"/>
      <c r="AV158" s="1592">
        <f>Portada!AP24</f>
        <v>10</v>
      </c>
      <c r="AW158" s="1592"/>
      <c r="AX158" s="701" t="str">
        <f>Portada!AR24</f>
        <v>%</v>
      </c>
      <c r="BE158" s="1646" t="str">
        <f>Portada!AS24</f>
        <v>Comercial</v>
      </c>
      <c r="BF158" s="1646"/>
      <c r="BG158" s="1646"/>
      <c r="BH158" s="1646"/>
      <c r="BI158" s="1646"/>
      <c r="BJ158" s="1592">
        <f>Portada!AX24</f>
        <v>15</v>
      </c>
      <c r="BK158" s="1592"/>
      <c r="BL158" s="701" t="str">
        <f>Portada!AZ24</f>
        <v>%</v>
      </c>
      <c r="BV158" s="447"/>
      <c r="BW158" s="443"/>
      <c r="CL158" s="702"/>
      <c r="CM158" s="703"/>
      <c r="CN158" s="703"/>
      <c r="CO158" s="703"/>
      <c r="CR158" s="669"/>
      <c r="CS158" s="704"/>
      <c r="CT158" s="704"/>
      <c r="CU158" s="704"/>
      <c r="CV158" s="704"/>
      <c r="CW158" s="705"/>
      <c r="CX158" s="706"/>
      <c r="CY158" s="706"/>
      <c r="CZ158" s="706"/>
      <c r="DA158" s="706"/>
    </row>
    <row r="159" spans="1:158" ht="15" customHeight="1" x14ac:dyDescent="0.2">
      <c r="A159" s="1753"/>
      <c r="C159" s="1902" t="str">
        <f>Portada!M25</f>
        <v>Acera</v>
      </c>
      <c r="D159" s="1639"/>
      <c r="E159" s="1639"/>
      <c r="F159" s="1639"/>
      <c r="G159" s="1639"/>
      <c r="I159" s="536" t="str">
        <f>Portada!R25</f>
        <v>:</v>
      </c>
      <c r="J159" s="1648" t="str">
        <f>Portada!S25</f>
        <v>Pastelón</v>
      </c>
      <c r="K159" s="1648"/>
      <c r="L159" s="1648"/>
      <c r="M159" s="1648"/>
      <c r="N159" s="1648"/>
      <c r="O159" s="1648"/>
      <c r="P159" s="1648"/>
      <c r="V159" s="1639" t="str">
        <f>Portada!Z25</f>
        <v>Gas</v>
      </c>
      <c r="W159" s="1639"/>
      <c r="X159" s="1639"/>
      <c r="Y159" s="1639"/>
      <c r="Z159" s="1639"/>
      <c r="AA159" s="1639"/>
      <c r="AB159" s="1639"/>
      <c r="AC159" s="536" t="str">
        <f>Portada!AD25</f>
        <v>:</v>
      </c>
      <c r="AD159" s="1648" t="str">
        <f>Portada!AE25</f>
        <v>Full Eléctrica</v>
      </c>
      <c r="AE159" s="1648"/>
      <c r="AF159" s="1648"/>
      <c r="AG159" s="1648"/>
      <c r="AH159" s="1648"/>
      <c r="AI159" s="1648"/>
      <c r="AQ159" s="1639" t="str">
        <f>Portada!AK25</f>
        <v>Condominios</v>
      </c>
      <c r="AR159" s="1639"/>
      <c r="AS159" s="1639"/>
      <c r="AT159" s="1639"/>
      <c r="AU159" s="1639"/>
      <c r="AV159" s="1592">
        <f>Portada!AP25</f>
        <v>0</v>
      </c>
      <c r="AW159" s="1592"/>
      <c r="AX159" s="701" t="str">
        <f>Portada!AR25</f>
        <v>%</v>
      </c>
      <c r="BE159" s="1646" t="str">
        <f>Portada!AS25</f>
        <v>Sitios Eriazos</v>
      </c>
      <c r="BF159" s="1646"/>
      <c r="BG159" s="1646"/>
      <c r="BH159" s="1646"/>
      <c r="BI159" s="1646"/>
      <c r="BJ159" s="1592">
        <f>Portada!AX25</f>
        <v>0</v>
      </c>
      <c r="BK159" s="1592"/>
      <c r="BL159" s="701" t="str">
        <f>Portada!AZ25</f>
        <v>%</v>
      </c>
      <c r="BV159" s="447"/>
      <c r="BW159" s="443"/>
      <c r="CL159" s="667"/>
      <c r="CM159" s="703"/>
      <c r="CY159" s="1789"/>
      <c r="CZ159" s="1789"/>
      <c r="DA159" s="704"/>
    </row>
    <row r="160" spans="1:158" ht="15" customHeight="1" thickBot="1" x14ac:dyDescent="0.25">
      <c r="A160" s="1753"/>
      <c r="C160" s="1640" t="str">
        <f>Portada!M26</f>
        <v>Solera</v>
      </c>
      <c r="D160" s="1617"/>
      <c r="E160" s="1617"/>
      <c r="F160" s="1617"/>
      <c r="G160" s="1617"/>
      <c r="H160" s="475"/>
      <c r="I160" s="766" t="str">
        <f>Portada!R26</f>
        <v>:</v>
      </c>
      <c r="J160" s="1645" t="str">
        <f>Portada!S26</f>
        <v>Solera</v>
      </c>
      <c r="K160" s="1645"/>
      <c r="L160" s="1645"/>
      <c r="M160" s="1645"/>
      <c r="N160" s="1645"/>
      <c r="O160" s="1645"/>
      <c r="P160" s="1645"/>
      <c r="Q160" s="475"/>
      <c r="R160" s="475"/>
      <c r="S160" s="475"/>
      <c r="T160" s="475"/>
      <c r="U160" s="475"/>
      <c r="V160" s="1651" t="str">
        <f>Portada!Z26</f>
        <v>Proy. Uso Terrenos</v>
      </c>
      <c r="W160" s="1651"/>
      <c r="X160" s="1651"/>
      <c r="Y160" s="1651"/>
      <c r="Z160" s="1651"/>
      <c r="AA160" s="1651"/>
      <c r="AB160" s="1651"/>
      <c r="AC160" s="772" t="str">
        <f>Portada!AD26</f>
        <v>:</v>
      </c>
      <c r="AD160" s="1645" t="str">
        <f>Portada!AE26</f>
        <v>Renovación</v>
      </c>
      <c r="AE160" s="1645"/>
      <c r="AF160" s="1645"/>
      <c r="AG160" s="1645"/>
      <c r="AH160" s="1645"/>
      <c r="AI160" s="1645"/>
      <c r="AJ160" s="475"/>
      <c r="AK160" s="475"/>
      <c r="AL160" s="475"/>
      <c r="AM160" s="475"/>
      <c r="AN160" s="475"/>
      <c r="AO160" s="475"/>
      <c r="AP160" s="475"/>
      <c r="AQ160" s="1651" t="str">
        <f>Portada!AK26</f>
        <v>Equip. Comer</v>
      </c>
      <c r="AR160" s="1651"/>
      <c r="AS160" s="1651"/>
      <c r="AT160" s="1651"/>
      <c r="AU160" s="1651"/>
      <c r="AV160" s="1652">
        <f>Portada!AP26</f>
        <v>15</v>
      </c>
      <c r="AW160" s="1652"/>
      <c r="AX160" s="707" t="str">
        <f>Portada!AR26</f>
        <v>%</v>
      </c>
      <c r="AY160" s="475"/>
      <c r="AZ160" s="475"/>
      <c r="BA160" s="475"/>
      <c r="BB160" s="475"/>
      <c r="BC160" s="475"/>
      <c r="BD160" s="475"/>
      <c r="BE160" s="1617" t="str">
        <f>Portada!AS26</f>
        <v>Otros</v>
      </c>
      <c r="BF160" s="1617"/>
      <c r="BG160" s="1617"/>
      <c r="BH160" s="1617"/>
      <c r="BI160" s="1617"/>
      <c r="BJ160" s="1647">
        <f>Portada!AX26</f>
        <v>10</v>
      </c>
      <c r="BK160" s="1647"/>
      <c r="BL160" s="707" t="str">
        <f>Portada!AZ26</f>
        <v>%</v>
      </c>
      <c r="BM160" s="475"/>
      <c r="BN160" s="475"/>
      <c r="BO160" s="475"/>
      <c r="BP160" s="475"/>
      <c r="BQ160" s="475"/>
      <c r="BR160" s="475"/>
      <c r="BS160" s="475"/>
      <c r="BT160" s="475"/>
      <c r="BU160" s="475"/>
      <c r="BV160" s="476"/>
      <c r="BW160" s="443"/>
      <c r="CL160" s="667"/>
      <c r="CM160" s="703"/>
      <c r="CY160" s="793"/>
      <c r="CZ160" s="793"/>
      <c r="DA160" s="704"/>
    </row>
    <row r="161" spans="1:105" ht="15" customHeight="1" thickBot="1" x14ac:dyDescent="0.25">
      <c r="A161" s="708"/>
      <c r="C161" s="790"/>
      <c r="D161" s="536"/>
      <c r="E161" s="536"/>
      <c r="F161" s="536"/>
      <c r="G161" s="536"/>
      <c r="I161" s="536"/>
      <c r="J161" s="767"/>
      <c r="K161" s="767"/>
      <c r="L161" s="767"/>
      <c r="M161" s="767"/>
      <c r="N161" s="767"/>
      <c r="O161" s="767"/>
      <c r="P161" s="767"/>
      <c r="V161" s="536"/>
      <c r="W161" s="536"/>
      <c r="X161" s="536"/>
      <c r="Y161" s="536"/>
      <c r="Z161" s="536"/>
      <c r="AA161" s="536"/>
      <c r="AB161" s="536"/>
      <c r="AC161" s="536"/>
      <c r="AD161" s="767"/>
      <c r="AE161" s="767"/>
      <c r="AF161" s="767"/>
      <c r="AG161" s="767"/>
      <c r="AH161" s="767"/>
      <c r="AI161" s="767"/>
      <c r="AQ161" s="536"/>
      <c r="AR161" s="536"/>
      <c r="AS161" s="536"/>
      <c r="AT161" s="536"/>
      <c r="AU161" s="536"/>
      <c r="AV161" s="768"/>
      <c r="AW161" s="768"/>
      <c r="AX161" s="701"/>
      <c r="BE161" s="776"/>
      <c r="BF161" s="776"/>
      <c r="BG161" s="776"/>
      <c r="BH161" s="776"/>
      <c r="BI161" s="776"/>
      <c r="BJ161" s="768"/>
      <c r="BK161" s="768"/>
      <c r="BL161" s="701"/>
      <c r="BV161" s="452"/>
      <c r="BW161" s="443"/>
      <c r="CL161" s="667"/>
      <c r="CM161" s="703"/>
      <c r="CY161" s="793"/>
      <c r="CZ161" s="793"/>
      <c r="DA161" s="704"/>
    </row>
    <row r="162" spans="1:105" ht="15" customHeight="1" x14ac:dyDescent="0.2">
      <c r="A162" s="1753" t="s">
        <v>1835</v>
      </c>
      <c r="C162" s="1911"/>
      <c r="D162" s="1655"/>
      <c r="E162" s="1655"/>
      <c r="F162" s="1655"/>
      <c r="G162" s="1655"/>
      <c r="H162" s="1655"/>
      <c r="I162" s="1655"/>
      <c r="J162" s="1655"/>
      <c r="K162" s="1655"/>
      <c r="L162" s="1655"/>
      <c r="M162" s="1655"/>
      <c r="N162" s="1655"/>
      <c r="O162" s="1655"/>
      <c r="P162" s="1655"/>
      <c r="Q162" s="524"/>
      <c r="R162" s="1653"/>
      <c r="S162" s="1653"/>
      <c r="T162" s="1653"/>
      <c r="U162" s="1653"/>
      <c r="V162" s="1653"/>
      <c r="W162" s="1653"/>
      <c r="X162" s="452"/>
      <c r="Y162" s="452"/>
      <c r="Z162" s="452"/>
      <c r="AA162" s="452"/>
      <c r="AB162" s="452"/>
      <c r="AC162" s="452"/>
      <c r="AD162" s="452"/>
      <c r="AE162" s="452"/>
      <c r="AF162" s="452"/>
      <c r="AG162" s="452"/>
      <c r="AH162" s="452"/>
      <c r="AI162" s="452"/>
      <c r="AJ162" s="452"/>
      <c r="AK162" s="452"/>
      <c r="AL162" s="452"/>
      <c r="AM162" s="452"/>
      <c r="AN162" s="452"/>
      <c r="AO162" s="452"/>
      <c r="AP162" s="452"/>
      <c r="AQ162" s="1655"/>
      <c r="AR162" s="1655"/>
      <c r="AS162" s="1655"/>
      <c r="AT162" s="1655"/>
      <c r="AU162" s="1655"/>
      <c r="AV162" s="1655"/>
      <c r="AW162" s="1655"/>
      <c r="AX162" s="1655"/>
      <c r="AY162" s="1655"/>
      <c r="AZ162" s="1655"/>
      <c r="BA162" s="1655"/>
      <c r="BB162" s="1655"/>
      <c r="BC162" s="1655"/>
      <c r="BD162" s="1655"/>
      <c r="BE162" s="524"/>
      <c r="BF162" s="1653"/>
      <c r="BG162" s="1653"/>
      <c r="BH162" s="1653"/>
      <c r="BI162" s="1653"/>
      <c r="BJ162" s="1653"/>
      <c r="BK162" s="1653"/>
      <c r="BL162" s="452"/>
      <c r="BM162" s="452"/>
      <c r="BN162" s="452"/>
      <c r="BO162" s="452"/>
      <c r="BP162" s="452"/>
      <c r="BQ162" s="452"/>
      <c r="BR162" s="452"/>
      <c r="BS162" s="452"/>
      <c r="BT162" s="452"/>
      <c r="BU162" s="452"/>
      <c r="BV162" s="474"/>
      <c r="BW162" s="443"/>
      <c r="CL162" s="667"/>
      <c r="CM162" s="703"/>
      <c r="CY162" s="1789"/>
      <c r="CZ162" s="1789"/>
      <c r="DA162" s="704"/>
    </row>
    <row r="163" spans="1:105" ht="15" customHeight="1" x14ac:dyDescent="0.2">
      <c r="A163" s="1753"/>
      <c r="C163" s="1629"/>
      <c r="D163" s="1630"/>
      <c r="E163" s="1630"/>
      <c r="F163" s="1630"/>
      <c r="G163" s="1630"/>
      <c r="H163" s="1630"/>
      <c r="I163" s="1630"/>
      <c r="J163" s="1630"/>
      <c r="K163" s="1630"/>
      <c r="L163" s="1630"/>
      <c r="M163" s="1630"/>
      <c r="N163" s="1630"/>
      <c r="O163" s="1630"/>
      <c r="P163" s="1630"/>
      <c r="Q163" s="709"/>
      <c r="R163" s="1654"/>
      <c r="S163" s="1654"/>
      <c r="T163" s="1654"/>
      <c r="U163" s="1654"/>
      <c r="V163" s="1654"/>
      <c r="W163" s="1654"/>
      <c r="X163" s="536"/>
      <c r="Y163" s="536"/>
      <c r="Z163" s="536"/>
      <c r="AA163" s="536"/>
      <c r="AB163" s="536"/>
      <c r="AC163" s="536"/>
      <c r="AD163" s="767"/>
      <c r="AE163" s="767"/>
      <c r="AF163" s="767"/>
      <c r="AG163" s="767"/>
      <c r="AH163" s="767"/>
      <c r="AI163" s="767"/>
      <c r="AQ163" s="1630"/>
      <c r="AR163" s="1630"/>
      <c r="AS163" s="1630"/>
      <c r="AT163" s="1630"/>
      <c r="AU163" s="1630"/>
      <c r="AV163" s="1630"/>
      <c r="AW163" s="1630"/>
      <c r="AX163" s="1630"/>
      <c r="AY163" s="1630"/>
      <c r="AZ163" s="1630"/>
      <c r="BA163" s="1630"/>
      <c r="BB163" s="1630"/>
      <c r="BC163" s="1630"/>
      <c r="BD163" s="1630"/>
      <c r="BE163" s="709"/>
      <c r="BF163" s="1654"/>
      <c r="BG163" s="1654"/>
      <c r="BH163" s="1654"/>
      <c r="BI163" s="1654"/>
      <c r="BJ163" s="1654"/>
      <c r="BK163" s="1654"/>
      <c r="BL163" s="701"/>
      <c r="BV163" s="447"/>
      <c r="BW163" s="443"/>
      <c r="CL163" s="667"/>
      <c r="CM163" s="703"/>
      <c r="CY163" s="793"/>
      <c r="CZ163" s="793"/>
      <c r="DA163" s="704"/>
    </row>
    <row r="164" spans="1:105" ht="10.5" customHeight="1" thickBot="1" x14ac:dyDescent="0.25">
      <c r="A164" s="1753"/>
      <c r="C164" s="795"/>
      <c r="D164" s="794"/>
      <c r="E164" s="794"/>
      <c r="F164" s="794"/>
      <c r="G164" s="794"/>
      <c r="H164" s="794"/>
      <c r="I164" s="794"/>
      <c r="J164" s="794"/>
      <c r="K164" s="794"/>
      <c r="L164" s="794"/>
      <c r="M164" s="794"/>
      <c r="N164" s="794"/>
      <c r="O164" s="794"/>
      <c r="P164" s="794"/>
      <c r="Q164" s="709"/>
      <c r="R164" s="775"/>
      <c r="S164" s="775"/>
      <c r="T164" s="775"/>
      <c r="U164" s="775"/>
      <c r="V164" s="775"/>
      <c r="W164" s="775"/>
      <c r="X164" s="536"/>
      <c r="Y164" s="536"/>
      <c r="Z164" s="536"/>
      <c r="AA164" s="536"/>
      <c r="AB164" s="536"/>
      <c r="AC164" s="536"/>
      <c r="AD164" s="767"/>
      <c r="AE164" s="767"/>
      <c r="AF164" s="767"/>
      <c r="AG164" s="767"/>
      <c r="AH164" s="767"/>
      <c r="AI164" s="767"/>
      <c r="AQ164" s="794"/>
      <c r="AR164" s="794"/>
      <c r="AS164" s="794"/>
      <c r="AT164" s="794"/>
      <c r="AU164" s="794"/>
      <c r="AV164" s="794"/>
      <c r="AW164" s="794"/>
      <c r="AX164" s="794"/>
      <c r="AY164" s="794"/>
      <c r="AZ164" s="794"/>
      <c r="BA164" s="794"/>
      <c r="BB164" s="794"/>
      <c r="BC164" s="794"/>
      <c r="BD164" s="794"/>
      <c r="BE164" s="709"/>
      <c r="BF164" s="775"/>
      <c r="BG164" s="775"/>
      <c r="BH164" s="775"/>
      <c r="BI164" s="775"/>
      <c r="BJ164" s="775"/>
      <c r="BK164" s="775"/>
      <c r="BL164" s="701"/>
      <c r="BV164" s="447"/>
      <c r="BW164" s="443"/>
      <c r="CL164" s="667"/>
      <c r="CM164" s="703"/>
      <c r="CY164" s="793"/>
      <c r="CZ164" s="793"/>
      <c r="DA164" s="704"/>
    </row>
    <row r="165" spans="1:105" ht="15" customHeight="1" thickBot="1" x14ac:dyDescent="0.25">
      <c r="A165" s="1753"/>
      <c r="B165" s="443"/>
      <c r="C165" s="521"/>
      <c r="D165" s="522"/>
      <c r="E165" s="522"/>
      <c r="F165" s="522"/>
      <c r="G165" s="522"/>
      <c r="H165" s="522"/>
      <c r="I165" s="522"/>
      <c r="J165" s="522"/>
      <c r="K165" s="522"/>
      <c r="L165" s="522"/>
      <c r="M165" s="522"/>
      <c r="N165" s="522"/>
      <c r="O165" s="522"/>
      <c r="P165" s="522"/>
      <c r="Q165" s="522"/>
      <c r="R165" s="522"/>
      <c r="S165" s="522"/>
      <c r="T165" s="522"/>
      <c r="U165" s="522"/>
      <c r="V165" s="522"/>
      <c r="W165" s="522"/>
      <c r="X165" s="522">
        <f>Portada!AH27</f>
        <v>0</v>
      </c>
      <c r="Y165" s="522">
        <f>Portada!AI27</f>
        <v>0</v>
      </c>
      <c r="Z165" s="522"/>
      <c r="AA165" s="1649" t="str">
        <f>Antecedentes!AW19</f>
        <v>Arteria Principal</v>
      </c>
      <c r="AB165" s="1649"/>
      <c r="AC165" s="1649"/>
      <c r="AD165" s="1649"/>
      <c r="AE165" s="1649"/>
      <c r="AF165" s="1649"/>
      <c r="AG165" s="525" t="str">
        <f>Antecedentes!BC19</f>
        <v>:</v>
      </c>
      <c r="AH165" s="1650" t="str">
        <f>Antecedentes!BD19</f>
        <v>Libertador Bernardo Ohiggins.</v>
      </c>
      <c r="AI165" s="1650"/>
      <c r="AJ165" s="1650"/>
      <c r="AK165" s="1650"/>
      <c r="AL165" s="1650"/>
      <c r="AM165" s="1650"/>
      <c r="AN165" s="1650"/>
      <c r="AO165" s="1650"/>
      <c r="AP165" s="1650"/>
      <c r="AQ165" s="1650"/>
      <c r="AR165" s="1650"/>
      <c r="AS165" s="1650"/>
      <c r="AT165" s="1650"/>
      <c r="AU165" s="522"/>
      <c r="AV165" s="522"/>
      <c r="AW165" s="522"/>
      <c r="AX165" s="522"/>
      <c r="AY165" s="522"/>
      <c r="AZ165" s="522"/>
      <c r="BA165" s="522"/>
      <c r="BB165" s="522"/>
      <c r="BC165" s="522"/>
      <c r="BD165" s="522"/>
      <c r="BE165" s="522"/>
      <c r="BF165" s="522"/>
      <c r="BG165" s="522"/>
      <c r="BH165" s="522"/>
      <c r="BI165" s="522"/>
      <c r="BJ165" s="522"/>
      <c r="BK165" s="522"/>
      <c r="BL165" s="522"/>
      <c r="BM165" s="522"/>
      <c r="BN165" s="522"/>
      <c r="BO165" s="522"/>
      <c r="BP165" s="522"/>
      <c r="BQ165" s="522"/>
      <c r="BR165" s="522"/>
      <c r="BS165" s="522"/>
      <c r="BT165" s="522"/>
      <c r="BU165" s="522"/>
      <c r="BV165" s="523"/>
      <c r="BW165" s="443"/>
      <c r="CL165" s="667"/>
      <c r="CM165" s="703"/>
      <c r="CY165" s="1789"/>
      <c r="CZ165" s="1789"/>
      <c r="DA165" s="704"/>
    </row>
    <row r="166" spans="1:105" ht="15" customHeight="1" thickBot="1" x14ac:dyDescent="0.3">
      <c r="A166" s="710"/>
      <c r="B166" s="443"/>
      <c r="BW166" s="443"/>
      <c r="CL166" s="703"/>
      <c r="CM166" s="703"/>
      <c r="CY166" s="1788"/>
      <c r="CZ166" s="1788"/>
      <c r="DA166" s="704"/>
    </row>
    <row r="167" spans="1:105" ht="15" customHeight="1" x14ac:dyDescent="0.2">
      <c r="A167" s="1752" t="s">
        <v>55</v>
      </c>
      <c r="C167" s="1632" t="s">
        <v>744</v>
      </c>
      <c r="D167" s="1633"/>
      <c r="E167" s="1633"/>
      <c r="F167" s="1633"/>
      <c r="G167" s="1633"/>
      <c r="H167" s="482" t="s">
        <v>462</v>
      </c>
      <c r="I167" s="1904">
        <f>Antecedentes!AT21</f>
        <v>0</v>
      </c>
      <c r="J167" s="1904"/>
      <c r="K167" s="1904"/>
      <c r="L167" s="1904"/>
      <c r="M167" s="1904"/>
      <c r="N167" s="1904"/>
      <c r="O167" s="1904"/>
      <c r="P167" s="452"/>
      <c r="Q167" s="452"/>
      <c r="R167" s="452"/>
      <c r="S167" s="452"/>
      <c r="T167" s="452"/>
      <c r="U167" s="452"/>
      <c r="V167" s="452"/>
      <c r="W167" s="452"/>
      <c r="X167" s="452"/>
      <c r="Y167" s="452"/>
      <c r="Z167" s="452"/>
      <c r="AA167" s="452"/>
      <c r="AB167" s="452"/>
      <c r="AC167" s="452"/>
      <c r="AD167" s="452"/>
      <c r="AE167" s="452"/>
      <c r="AF167" s="452"/>
      <c r="AG167" s="452"/>
      <c r="AH167" s="452"/>
      <c r="AI167" s="452"/>
      <c r="AJ167" s="711"/>
      <c r="AK167" s="711"/>
      <c r="AL167" s="711"/>
      <c r="AM167" s="711"/>
      <c r="AN167" s="711"/>
      <c r="AO167" s="452"/>
      <c r="AP167" s="1633" t="s">
        <v>745</v>
      </c>
      <c r="AQ167" s="1633"/>
      <c r="AR167" s="1633"/>
      <c r="AS167" s="1633"/>
      <c r="AT167" s="1633"/>
      <c r="AU167" s="482" t="s">
        <v>462</v>
      </c>
      <c r="AV167" s="1905">
        <f>Antecedentes!BG21</f>
        <v>0</v>
      </c>
      <c r="AW167" s="1905"/>
      <c r="AX167" s="1905"/>
      <c r="AY167" s="1905"/>
      <c r="AZ167" s="1823"/>
      <c r="BA167" s="1823"/>
      <c r="BB167" s="1823"/>
      <c r="BC167" s="1823"/>
      <c r="BD167" s="1823"/>
      <c r="BE167" s="1823"/>
      <c r="BF167" s="452"/>
      <c r="BG167" s="452"/>
      <c r="BH167" s="452"/>
      <c r="BI167" s="452"/>
      <c r="BJ167" s="452"/>
      <c r="BK167" s="452"/>
      <c r="BL167" s="452"/>
      <c r="BM167" s="452"/>
      <c r="BN167" s="452"/>
      <c r="BO167" s="452"/>
      <c r="BP167" s="452"/>
      <c r="BQ167" s="452"/>
      <c r="BR167" s="452"/>
      <c r="BS167" s="452"/>
      <c r="BT167" s="452"/>
      <c r="BU167" s="452"/>
      <c r="BV167" s="474"/>
      <c r="BW167" s="443"/>
    </row>
    <row r="168" spans="1:105" ht="15" customHeight="1" x14ac:dyDescent="0.2">
      <c r="A168" s="1752"/>
      <c r="C168" s="1635" t="s">
        <v>750</v>
      </c>
      <c r="D168" s="1636"/>
      <c r="E168" s="1636"/>
      <c r="F168" s="1636"/>
      <c r="G168" s="1636"/>
      <c r="H168" s="712" t="s">
        <v>462</v>
      </c>
      <c r="I168" s="1631">
        <f>Antecedentes!AT22</f>
        <v>0</v>
      </c>
      <c r="J168" s="1631"/>
      <c r="K168" s="1631"/>
      <c r="L168" s="1631"/>
      <c r="M168" s="1631"/>
      <c r="N168" s="1631"/>
      <c r="O168" s="1631"/>
      <c r="AJ168" s="688"/>
      <c r="AK168" s="688"/>
      <c r="AL168" s="713"/>
      <c r="AM168" s="713"/>
      <c r="AN168" s="713"/>
      <c r="AP168" s="1636" t="s">
        <v>751</v>
      </c>
      <c r="AQ168" s="1636"/>
      <c r="AR168" s="1636"/>
      <c r="AS168" s="1636"/>
      <c r="AT168" s="1636"/>
      <c r="AU168" s="712" t="s">
        <v>462</v>
      </c>
      <c r="AV168" s="1634">
        <f>Antecedentes!BG22</f>
        <v>0</v>
      </c>
      <c r="AW168" s="1634"/>
      <c r="AX168" s="1634"/>
      <c r="AY168" s="1634"/>
      <c r="AZ168" s="1657"/>
      <c r="BA168" s="1657"/>
      <c r="BB168" s="1657"/>
      <c r="BC168" s="1657"/>
      <c r="BD168" s="1657"/>
      <c r="BE168" s="1657"/>
      <c r="BV168" s="447"/>
      <c r="BW168" s="443"/>
    </row>
    <row r="169" spans="1:105" ht="15" customHeight="1" x14ac:dyDescent="0.2">
      <c r="A169" s="1752"/>
      <c r="C169" s="1635" t="s">
        <v>756</v>
      </c>
      <c r="D169" s="1636"/>
      <c r="E169" s="1636"/>
      <c r="F169" s="1636"/>
      <c r="G169" s="1636"/>
      <c r="H169" s="712" t="s">
        <v>462</v>
      </c>
      <c r="I169" s="1631">
        <f>Antecedentes!AT23</f>
        <v>0</v>
      </c>
      <c r="J169" s="1631"/>
      <c r="K169" s="1631"/>
      <c r="L169" s="1631"/>
      <c r="M169" s="1631"/>
      <c r="N169" s="1631"/>
      <c r="O169" s="1631"/>
      <c r="AP169" s="1636" t="s">
        <v>757</v>
      </c>
      <c r="AQ169" s="1636"/>
      <c r="AR169" s="1636"/>
      <c r="AS169" s="1636"/>
      <c r="AT169" s="1636"/>
      <c r="AU169" s="712" t="s">
        <v>462</v>
      </c>
      <c r="AV169" s="1634">
        <f>Antecedentes!BG23</f>
        <v>0</v>
      </c>
      <c r="AW169" s="1634"/>
      <c r="AX169" s="1634"/>
      <c r="AY169" s="1634"/>
      <c r="AZ169" s="1657">
        <f>Antecedentes!BK23</f>
        <v>0</v>
      </c>
      <c r="BA169" s="1657"/>
      <c r="BB169" s="1657"/>
      <c r="BC169" s="1657"/>
      <c r="BD169" s="1657"/>
      <c r="BE169" s="1657"/>
      <c r="BV169" s="447"/>
      <c r="BW169" s="443"/>
    </row>
    <row r="170" spans="1:105" ht="15" customHeight="1" thickBot="1" x14ac:dyDescent="0.25">
      <c r="A170" s="1752"/>
      <c r="C170" s="1906" t="s">
        <v>762</v>
      </c>
      <c r="D170" s="1579"/>
      <c r="E170" s="1579"/>
      <c r="F170" s="1579"/>
      <c r="G170" s="1579"/>
      <c r="H170" s="483" t="s">
        <v>462</v>
      </c>
      <c r="I170" s="1903">
        <f>Antecedentes!AT24</f>
        <v>0</v>
      </c>
      <c r="J170" s="1903"/>
      <c r="K170" s="1903"/>
      <c r="L170" s="1903"/>
      <c r="M170" s="1903"/>
      <c r="N170" s="1903"/>
      <c r="O170" s="1903"/>
      <c r="P170" s="475"/>
      <c r="Q170" s="475"/>
      <c r="R170" s="475"/>
      <c r="S170" s="475"/>
      <c r="T170" s="475"/>
      <c r="U170" s="475"/>
      <c r="V170" s="475"/>
      <c r="W170" s="475"/>
      <c r="X170" s="475"/>
      <c r="Y170" s="475"/>
      <c r="Z170" s="475"/>
      <c r="AA170" s="475"/>
      <c r="AB170" s="475"/>
      <c r="AC170" s="475"/>
      <c r="AD170" s="475"/>
      <c r="AE170" s="475"/>
      <c r="AF170" s="475"/>
      <c r="AG170" s="475"/>
      <c r="AH170" s="475"/>
      <c r="AI170" s="475"/>
      <c r="AJ170" s="475"/>
      <c r="AK170" s="475"/>
      <c r="AL170" s="475"/>
      <c r="AM170" s="475"/>
      <c r="AN170" s="475"/>
      <c r="AO170" s="475"/>
      <c r="AP170" s="1579" t="s">
        <v>763</v>
      </c>
      <c r="AQ170" s="1579"/>
      <c r="AR170" s="1579"/>
      <c r="AS170" s="1579"/>
      <c r="AT170" s="1579"/>
      <c r="AU170" s="483" t="s">
        <v>462</v>
      </c>
      <c r="AV170" s="1581">
        <f>Antecedentes!BG24</f>
        <v>0</v>
      </c>
      <c r="AW170" s="1581"/>
      <c r="AX170" s="1581"/>
      <c r="AY170" s="1581"/>
      <c r="AZ170" s="1588">
        <f>Antecedentes!BK24</f>
        <v>0</v>
      </c>
      <c r="BA170" s="1588"/>
      <c r="BB170" s="1588"/>
      <c r="BC170" s="1588"/>
      <c r="BD170" s="1588"/>
      <c r="BE170" s="1588"/>
      <c r="BF170" s="475"/>
      <c r="BG170" s="475"/>
      <c r="BH170" s="475"/>
      <c r="BI170" s="475"/>
      <c r="BJ170" s="475"/>
      <c r="BK170" s="475"/>
      <c r="BL170" s="475"/>
      <c r="BM170" s="475"/>
      <c r="BN170" s="475"/>
      <c r="BO170" s="475"/>
      <c r="BP170" s="475"/>
      <c r="BQ170" s="475"/>
      <c r="BR170" s="475"/>
      <c r="BS170" s="475"/>
      <c r="BT170" s="475"/>
      <c r="BU170" s="475"/>
      <c r="BV170" s="476"/>
      <c r="BW170" s="453"/>
    </row>
    <row r="171" spans="1:105" ht="15" customHeight="1" thickBot="1" x14ac:dyDescent="0.25">
      <c r="A171" s="698"/>
      <c r="C171" s="713"/>
      <c r="D171" s="713"/>
      <c r="E171" s="713"/>
      <c r="F171" s="713"/>
      <c r="G171" s="713"/>
      <c r="J171" s="714"/>
      <c r="K171" s="615"/>
      <c r="BW171" s="443"/>
    </row>
    <row r="172" spans="1:105" ht="15" customHeight="1" x14ac:dyDescent="0.2">
      <c r="A172" s="1752" t="s">
        <v>1205</v>
      </c>
      <c r="C172" s="715" t="s">
        <v>718</v>
      </c>
      <c r="D172" s="716"/>
      <c r="E172" s="716"/>
      <c r="F172" s="716"/>
      <c r="G172" s="716"/>
      <c r="H172" s="452"/>
      <c r="I172" s="452"/>
      <c r="J172" s="452"/>
      <c r="K172" s="765" t="s">
        <v>462</v>
      </c>
      <c r="L172" s="1905" t="str">
        <f>Antecedentes!H15</f>
        <v>EDIFICIO</v>
      </c>
      <c r="M172" s="1905"/>
      <c r="N172" s="1905"/>
      <c r="O172" s="1905"/>
      <c r="P172" s="1905"/>
      <c r="Q172" s="1905"/>
      <c r="R172" s="1905"/>
      <c r="S172" s="1905"/>
      <c r="T172" s="1905"/>
      <c r="U172" s="1905"/>
      <c r="V172" s="452"/>
      <c r="W172" s="452"/>
      <c r="X172" s="452"/>
      <c r="Y172" s="452"/>
      <c r="Z172" s="452"/>
      <c r="AA172" s="452"/>
      <c r="AB172" s="452"/>
      <c r="AC172" s="452"/>
      <c r="AD172" s="452"/>
      <c r="AE172" s="452"/>
      <c r="AF172" s="452"/>
      <c r="AG172" s="452"/>
      <c r="AH172" s="452"/>
      <c r="AI172" s="452"/>
      <c r="AJ172" s="452"/>
      <c r="AK172" s="452"/>
      <c r="AL172" s="452"/>
      <c r="AM172" s="452"/>
      <c r="AN172" s="452"/>
      <c r="AO172" s="717" t="s">
        <v>719</v>
      </c>
      <c r="AP172" s="717"/>
      <c r="AQ172" s="717"/>
      <c r="AR172" s="717"/>
      <c r="AS172" s="717"/>
      <c r="AT172" s="717"/>
      <c r="AU172" s="717"/>
      <c r="AV172" s="452"/>
      <c r="AW172" s="452"/>
      <c r="AX172" s="765" t="s">
        <v>462</v>
      </c>
      <c r="AY172" s="1656" t="str">
        <f>Antecedentes!Z15</f>
        <v>BUENO</v>
      </c>
      <c r="AZ172" s="1656"/>
      <c r="BA172" s="1656"/>
      <c r="BB172" s="1656"/>
      <c r="BC172" s="1656"/>
      <c r="BD172" s="1656"/>
      <c r="BE172" s="1656"/>
      <c r="BF172" s="1656"/>
      <c r="BG172" s="452"/>
      <c r="BH172" s="452"/>
      <c r="BI172" s="452"/>
      <c r="BJ172" s="452"/>
      <c r="BK172" s="452"/>
      <c r="BL172" s="452"/>
      <c r="BM172" s="452"/>
      <c r="BN172" s="452"/>
      <c r="BO172" s="452"/>
      <c r="BP172" s="452"/>
      <c r="BQ172" s="452"/>
      <c r="BR172" s="452"/>
      <c r="BS172" s="452"/>
      <c r="BT172" s="452"/>
      <c r="BU172" s="452"/>
      <c r="BV172" s="474"/>
      <c r="BW172" s="443"/>
    </row>
    <row r="173" spans="1:105" ht="15" customHeight="1" x14ac:dyDescent="0.2">
      <c r="A173" s="1752"/>
      <c r="C173" s="718" t="s">
        <v>722</v>
      </c>
      <c r="D173" s="713"/>
      <c r="E173" s="713"/>
      <c r="F173" s="713"/>
      <c r="G173" s="713"/>
      <c r="K173" s="777" t="s">
        <v>462</v>
      </c>
      <c r="L173" s="1634" t="str">
        <f>Antecedentes!H16</f>
        <v>TIPICO</v>
      </c>
      <c r="M173" s="1634"/>
      <c r="N173" s="1634"/>
      <c r="O173" s="1634"/>
      <c r="P173" s="1634"/>
      <c r="Q173" s="1634"/>
      <c r="R173" s="1634"/>
      <c r="S173" s="1634"/>
      <c r="T173" s="1634"/>
      <c r="U173" s="1634"/>
      <c r="AO173" s="713" t="s">
        <v>723</v>
      </c>
      <c r="AP173" s="713"/>
      <c r="AQ173" s="713"/>
      <c r="AR173" s="713"/>
      <c r="AS173" s="713"/>
      <c r="AT173" s="713"/>
      <c r="AU173" s="713"/>
      <c r="AX173" s="777" t="s">
        <v>462</v>
      </c>
      <c r="AY173" s="1580" t="str">
        <f>Antecedentes!Z16</f>
        <v>BUENO</v>
      </c>
      <c r="AZ173" s="1580"/>
      <c r="BA173" s="1580"/>
      <c r="BB173" s="1580"/>
      <c r="BC173" s="1580"/>
      <c r="BD173" s="1580"/>
      <c r="BE173" s="1580"/>
      <c r="BF173" s="1580"/>
      <c r="BV173" s="447"/>
      <c r="BW173" s="443"/>
    </row>
    <row r="174" spans="1:105" ht="15" customHeight="1" x14ac:dyDescent="0.2">
      <c r="A174" s="1752"/>
      <c r="B174" s="719"/>
      <c r="C174" s="718" t="s">
        <v>725</v>
      </c>
      <c r="D174" s="713"/>
      <c r="E174" s="713"/>
      <c r="F174" s="713"/>
      <c r="G174" s="713"/>
      <c r="K174" s="777" t="s">
        <v>462</v>
      </c>
      <c r="L174" s="1634" t="str">
        <f>Antecedentes!H17</f>
        <v>ADECUADA</v>
      </c>
      <c r="M174" s="1634"/>
      <c r="N174" s="1634"/>
      <c r="O174" s="1634"/>
      <c r="P174" s="1634"/>
      <c r="Q174" s="1634"/>
      <c r="R174" s="1634"/>
      <c r="S174" s="1634"/>
      <c r="T174" s="1634"/>
      <c r="U174" s="1634"/>
      <c r="AO174" s="713" t="s">
        <v>726</v>
      </c>
      <c r="AP174" s="713"/>
      <c r="AQ174" s="713"/>
      <c r="AR174" s="713"/>
      <c r="AS174" s="713"/>
      <c r="AT174" s="713"/>
      <c r="AU174" s="713"/>
      <c r="AX174" s="777" t="s">
        <v>462</v>
      </c>
      <c r="AY174" s="1580" t="str">
        <f>Antecedentes!Z17</f>
        <v>OESTE</v>
      </c>
      <c r="AZ174" s="1580"/>
      <c r="BA174" s="1580"/>
      <c r="BB174" s="1580"/>
      <c r="BC174" s="1580"/>
      <c r="BD174" s="1580"/>
      <c r="BE174" s="1580"/>
      <c r="BF174" s="1580"/>
      <c r="BV174" s="447"/>
      <c r="BW174" s="443"/>
    </row>
    <row r="175" spans="1:105" ht="15" customHeight="1" x14ac:dyDescent="0.2">
      <c r="A175" s="1752"/>
      <c r="C175" s="718" t="s">
        <v>728</v>
      </c>
      <c r="D175" s="713"/>
      <c r="E175" s="713"/>
      <c r="F175" s="713"/>
      <c r="G175" s="713"/>
      <c r="K175" s="777" t="s">
        <v>462</v>
      </c>
      <c r="L175" s="1634" t="str">
        <f>Antecedentes!H18</f>
        <v>EDIF DPTO</v>
      </c>
      <c r="M175" s="1634"/>
      <c r="N175" s="1634"/>
      <c r="O175" s="1634"/>
      <c r="P175" s="1634"/>
      <c r="Q175" s="1634"/>
      <c r="R175" s="1634"/>
      <c r="S175" s="1634"/>
      <c r="T175" s="1634"/>
      <c r="U175" s="1634"/>
      <c r="AO175" s="713" t="s">
        <v>729</v>
      </c>
      <c r="AP175" s="713"/>
      <c r="AQ175" s="713"/>
      <c r="AR175" s="713"/>
      <c r="AS175" s="713"/>
      <c r="AT175" s="713"/>
      <c r="AU175" s="713"/>
      <c r="AX175" s="777" t="s">
        <v>462</v>
      </c>
      <c r="AY175" s="1580" t="str">
        <f>Antecedentes!Z18</f>
        <v>ADECUADO</v>
      </c>
      <c r="AZ175" s="1580"/>
      <c r="BA175" s="1580"/>
      <c r="BB175" s="1580"/>
      <c r="BC175" s="1580"/>
      <c r="BD175" s="1580"/>
      <c r="BE175" s="1580"/>
      <c r="BF175" s="1580"/>
      <c r="BV175" s="447"/>
      <c r="BW175" s="443"/>
    </row>
    <row r="176" spans="1:105" ht="15" customHeight="1" x14ac:dyDescent="0.2">
      <c r="A176" s="1752"/>
      <c r="C176" s="718" t="s">
        <v>731</v>
      </c>
      <c r="D176" s="713"/>
      <c r="E176" s="713"/>
      <c r="F176" s="713"/>
      <c r="G176" s="713"/>
      <c r="K176" s="777" t="s">
        <v>462</v>
      </c>
      <c r="L176" s="1634" t="str">
        <f>Antecedentes!H19</f>
        <v>BUENA</v>
      </c>
      <c r="M176" s="1634"/>
      <c r="N176" s="1634"/>
      <c r="O176" s="1634"/>
      <c r="P176" s="1634"/>
      <c r="Q176" s="1634"/>
      <c r="R176" s="1634"/>
      <c r="S176" s="1634"/>
      <c r="T176" s="1634"/>
      <c r="U176" s="1634"/>
      <c r="AO176" s="713" t="s">
        <v>732</v>
      </c>
      <c r="AP176" s="713"/>
      <c r="AQ176" s="713"/>
      <c r="AR176" s="713"/>
      <c r="AS176" s="713"/>
      <c r="AT176" s="713"/>
      <c r="AU176" s="713"/>
      <c r="AX176" s="777" t="s">
        <v>462</v>
      </c>
      <c r="AY176" s="1580" t="str">
        <f>Antecedentes!Z19</f>
        <v>ADECUADA</v>
      </c>
      <c r="AZ176" s="1580"/>
      <c r="BA176" s="1580"/>
      <c r="BB176" s="1580"/>
      <c r="BC176" s="1580"/>
      <c r="BD176" s="1580"/>
      <c r="BE176" s="1580"/>
      <c r="BF176" s="1580"/>
      <c r="BV176" s="447"/>
      <c r="BW176" s="443"/>
    </row>
    <row r="177" spans="1:75" ht="15" customHeight="1" thickBot="1" x14ac:dyDescent="0.25">
      <c r="A177" s="1752"/>
      <c r="C177" s="763"/>
      <c r="D177" s="764"/>
      <c r="E177" s="764"/>
      <c r="F177" s="764"/>
      <c r="G177" s="764"/>
      <c r="H177" s="475"/>
      <c r="I177" s="475"/>
      <c r="J177" s="484"/>
      <c r="K177" s="485"/>
      <c r="L177" s="475"/>
      <c r="M177" s="475"/>
      <c r="N177" s="475"/>
      <c r="O177" s="475"/>
      <c r="P177" s="475"/>
      <c r="Q177" s="475"/>
      <c r="R177" s="475"/>
      <c r="S177" s="475"/>
      <c r="T177" s="475"/>
      <c r="U177" s="475"/>
      <c r="V177" s="475"/>
      <c r="W177" s="475"/>
      <c r="X177" s="475"/>
      <c r="Y177" s="475"/>
      <c r="Z177" s="475"/>
      <c r="AA177" s="475"/>
      <c r="AB177" s="475"/>
      <c r="AC177" s="475"/>
      <c r="AD177" s="475"/>
      <c r="AE177" s="475"/>
      <c r="AF177" s="475"/>
      <c r="AG177" s="475"/>
      <c r="AH177" s="475"/>
      <c r="AI177" s="475"/>
      <c r="AJ177" s="475"/>
      <c r="AK177" s="475"/>
      <c r="AL177" s="475"/>
      <c r="AM177" s="475"/>
      <c r="AN177" s="475"/>
      <c r="AO177" s="475"/>
      <c r="AP177" s="475"/>
      <c r="AQ177" s="475"/>
      <c r="AR177" s="475"/>
      <c r="AS177" s="475"/>
      <c r="AT177" s="475"/>
      <c r="AU177" s="475"/>
      <c r="AV177" s="475"/>
      <c r="AW177" s="475"/>
      <c r="AX177" s="475"/>
      <c r="AY177" s="475"/>
      <c r="AZ177" s="475"/>
      <c r="BA177" s="475"/>
      <c r="BB177" s="475"/>
      <c r="BC177" s="475"/>
      <c r="BD177" s="475"/>
      <c r="BE177" s="475"/>
      <c r="BF177" s="475"/>
      <c r="BG177" s="475"/>
      <c r="BH177" s="475"/>
      <c r="BI177" s="475"/>
      <c r="BJ177" s="475"/>
      <c r="BK177" s="475"/>
      <c r="BL177" s="475"/>
      <c r="BM177" s="475"/>
      <c r="BN177" s="475"/>
      <c r="BO177" s="475"/>
      <c r="BP177" s="475"/>
      <c r="BQ177" s="475"/>
      <c r="BR177" s="475"/>
      <c r="BS177" s="475"/>
      <c r="BT177" s="475"/>
      <c r="BU177" s="475"/>
      <c r="BV177" s="476"/>
      <c r="BW177" s="443"/>
    </row>
    <row r="178" spans="1:75" ht="15" customHeight="1" thickBot="1" x14ac:dyDescent="0.25">
      <c r="A178" s="682"/>
      <c r="C178" s="760"/>
      <c r="D178" s="760"/>
      <c r="E178" s="760"/>
      <c r="F178" s="760"/>
      <c r="G178" s="760"/>
      <c r="H178" s="452"/>
      <c r="I178" s="452"/>
      <c r="J178" s="513"/>
      <c r="K178" s="514"/>
      <c r="L178" s="452"/>
      <c r="M178" s="452"/>
      <c r="N178" s="452"/>
      <c r="O178" s="452"/>
      <c r="P178" s="452"/>
      <c r="Q178" s="452"/>
      <c r="R178" s="452"/>
      <c r="S178" s="452"/>
      <c r="T178" s="452"/>
      <c r="U178" s="452"/>
      <c r="V178" s="452"/>
      <c r="W178" s="452"/>
      <c r="X178" s="452"/>
      <c r="Y178" s="452"/>
      <c r="Z178" s="452"/>
      <c r="AA178" s="452"/>
      <c r="AB178" s="452"/>
      <c r="AC178" s="452"/>
      <c r="AD178" s="452"/>
      <c r="AE178" s="452"/>
      <c r="AF178" s="452"/>
      <c r="AG178" s="452"/>
      <c r="AH178" s="452"/>
      <c r="AI178" s="452"/>
      <c r="AJ178" s="452"/>
      <c r="AK178" s="452"/>
      <c r="AL178" s="452"/>
      <c r="AM178" s="452"/>
      <c r="AO178" s="452"/>
      <c r="AP178" s="452"/>
      <c r="AQ178" s="452"/>
      <c r="AR178" s="452"/>
      <c r="AS178" s="452"/>
      <c r="AT178" s="452"/>
      <c r="AU178" s="452"/>
      <c r="AV178" s="452"/>
      <c r="AW178" s="452"/>
      <c r="AX178" s="452"/>
      <c r="AY178" s="452"/>
      <c r="AZ178" s="452"/>
      <c r="BA178" s="452"/>
      <c r="BB178" s="452"/>
      <c r="BC178" s="452"/>
      <c r="BD178" s="452"/>
      <c r="BE178" s="452"/>
      <c r="BF178" s="452"/>
      <c r="BG178" s="452"/>
      <c r="BH178" s="452"/>
      <c r="BI178" s="452"/>
      <c r="BJ178" s="452"/>
      <c r="BK178" s="452"/>
      <c r="BL178" s="452"/>
      <c r="BM178" s="452"/>
      <c r="BN178" s="452"/>
      <c r="BO178" s="452"/>
      <c r="BP178" s="452"/>
      <c r="BQ178" s="452"/>
      <c r="BR178" s="452"/>
      <c r="BS178" s="452"/>
      <c r="BT178" s="452"/>
      <c r="BU178" s="452"/>
      <c r="BV178" s="452"/>
      <c r="BW178" s="443"/>
    </row>
    <row r="179" spans="1:75" ht="15" customHeight="1" x14ac:dyDescent="0.2">
      <c r="A179" s="1752" t="s">
        <v>1920</v>
      </c>
      <c r="C179" s="786" t="s">
        <v>795</v>
      </c>
      <c r="D179" s="787"/>
      <c r="E179" s="787"/>
      <c r="F179" s="787"/>
      <c r="G179" s="787"/>
      <c r="H179" s="787"/>
      <c r="I179" s="787"/>
      <c r="J179" s="787"/>
      <c r="K179" s="787"/>
      <c r="L179" s="787"/>
      <c r="M179" s="787"/>
      <c r="N179" s="787"/>
      <c r="O179" s="787" t="s">
        <v>796</v>
      </c>
      <c r="P179" s="787"/>
      <c r="Q179" s="787"/>
      <c r="R179" s="787"/>
      <c r="S179" s="787"/>
      <c r="T179" s="787"/>
      <c r="U179" s="787"/>
      <c r="V179" s="787"/>
      <c r="W179" s="787"/>
      <c r="X179" s="787"/>
      <c r="Y179" s="787"/>
      <c r="Z179" s="720" t="s">
        <v>797</v>
      </c>
      <c r="AA179" s="720"/>
      <c r="AB179" s="720"/>
      <c r="AC179" s="720"/>
      <c r="AD179" s="720"/>
      <c r="AE179" s="720"/>
      <c r="AF179" s="720"/>
      <c r="AG179" s="800" t="s">
        <v>627</v>
      </c>
      <c r="AH179" s="800"/>
      <c r="AI179" s="800"/>
      <c r="AJ179" s="800"/>
      <c r="AK179" s="800"/>
      <c r="AL179" s="721"/>
      <c r="AM179" s="722"/>
      <c r="AN179" s="723"/>
      <c r="AO179" s="511"/>
      <c r="AP179" s="787" t="s">
        <v>561</v>
      </c>
      <c r="AQ179" s="787"/>
      <c r="AR179" s="787"/>
      <c r="AS179" s="787"/>
      <c r="AT179" s="787"/>
      <c r="AU179" s="787"/>
      <c r="AV179" s="787"/>
      <c r="AW179" s="787" t="s">
        <v>796</v>
      </c>
      <c r="AX179" s="787"/>
      <c r="AY179" s="787"/>
      <c r="AZ179" s="787"/>
      <c r="BA179" s="787"/>
      <c r="BB179" s="787"/>
      <c r="BC179" s="787"/>
      <c r="BD179" s="787"/>
      <c r="BE179" s="787"/>
      <c r="BF179" s="787"/>
      <c r="BG179" s="787"/>
      <c r="BH179" s="787"/>
      <c r="BI179" s="787"/>
      <c r="BJ179" s="800" t="s">
        <v>797</v>
      </c>
      <c r="BK179" s="800"/>
      <c r="BL179" s="800"/>
      <c r="BM179" s="800"/>
      <c r="BN179" s="800"/>
      <c r="BO179" s="800"/>
      <c r="BP179" s="800"/>
      <c r="BQ179" s="800" t="s">
        <v>627</v>
      </c>
      <c r="BR179" s="800"/>
      <c r="BS179" s="800"/>
      <c r="BT179" s="800"/>
      <c r="BU179" s="800"/>
      <c r="BV179" s="724"/>
      <c r="BW179" s="453"/>
    </row>
    <row r="180" spans="1:75" ht="15" customHeight="1" x14ac:dyDescent="0.2">
      <c r="A180" s="1752"/>
      <c r="C180" s="1585" t="s">
        <v>798</v>
      </c>
      <c r="D180" s="1586"/>
      <c r="E180" s="1586"/>
      <c r="F180" s="1586"/>
      <c r="G180" s="1586"/>
      <c r="H180" s="1586"/>
      <c r="I180" s="1587"/>
      <c r="J180" s="770" t="str">
        <f>Antecedentes!H37</f>
        <v>HORMIGON ARMADO</v>
      </c>
      <c r="K180" s="771"/>
      <c r="L180" s="771"/>
      <c r="M180" s="771"/>
      <c r="N180" s="771"/>
      <c r="O180" s="771"/>
      <c r="P180" s="771"/>
      <c r="Q180" s="771"/>
      <c r="R180" s="771"/>
      <c r="S180" s="771"/>
      <c r="T180" s="771"/>
      <c r="U180" s="771"/>
      <c r="V180" s="771"/>
      <c r="W180" s="771"/>
      <c r="X180" s="771"/>
      <c r="Y180" s="771"/>
      <c r="Z180" s="1575" t="str">
        <f>Antecedentes!Y37</f>
        <v>BUENA</v>
      </c>
      <c r="AA180" s="1576"/>
      <c r="AB180" s="1576"/>
      <c r="AC180" s="1576"/>
      <c r="AD180" s="1576"/>
      <c r="AE180" s="1576"/>
      <c r="AF180" s="1577"/>
      <c r="AG180" s="1589" t="str">
        <f>Antecedentes!AF37</f>
        <v>BUENO</v>
      </c>
      <c r="AH180" s="1590"/>
      <c r="AI180" s="1590"/>
      <c r="AJ180" s="1590"/>
      <c r="AK180" s="1590"/>
      <c r="AL180" s="1591"/>
      <c r="AM180" s="512"/>
      <c r="AN180" s="515"/>
      <c r="AO180" s="1582" t="s">
        <v>799</v>
      </c>
      <c r="AP180" s="1583"/>
      <c r="AQ180" s="1583"/>
      <c r="AR180" s="1583"/>
      <c r="AS180" s="1583"/>
      <c r="AT180" s="1583"/>
      <c r="AU180" s="1584"/>
      <c r="AV180" s="1557" t="str">
        <f>Antecedentes!AR37</f>
        <v>NO PRESENTA</v>
      </c>
      <c r="AW180" s="1558"/>
      <c r="AX180" s="1558"/>
      <c r="AY180" s="1558"/>
      <c r="AZ180" s="1558"/>
      <c r="BA180" s="1558"/>
      <c r="BB180" s="1558"/>
      <c r="BC180" s="1558"/>
      <c r="BD180" s="1558"/>
      <c r="BE180" s="1558"/>
      <c r="BF180" s="1558"/>
      <c r="BG180" s="1558"/>
      <c r="BH180" s="1559"/>
      <c r="BI180" s="1575" t="str">
        <f>Antecedentes!BE37</f>
        <v/>
      </c>
      <c r="BJ180" s="1576"/>
      <c r="BK180" s="1576"/>
      <c r="BL180" s="1576"/>
      <c r="BM180" s="1576"/>
      <c r="BN180" s="1576"/>
      <c r="BO180" s="1577"/>
      <c r="BP180" s="1557" t="str">
        <f>Antecedentes!BL37</f>
        <v/>
      </c>
      <c r="BQ180" s="1558"/>
      <c r="BR180" s="1558"/>
      <c r="BS180" s="1558"/>
      <c r="BT180" s="1558"/>
      <c r="BU180" s="1558"/>
      <c r="BV180" s="1578"/>
      <c r="BW180" s="443"/>
    </row>
    <row r="181" spans="1:75" ht="15" customHeight="1" x14ac:dyDescent="0.2">
      <c r="A181" s="1752"/>
      <c r="C181" s="1585" t="s">
        <v>801</v>
      </c>
      <c r="D181" s="1586"/>
      <c r="E181" s="1586"/>
      <c r="F181" s="1586"/>
      <c r="G181" s="1586"/>
      <c r="H181" s="1586"/>
      <c r="I181" s="1587"/>
      <c r="J181" s="770" t="str">
        <f>Antecedentes!H38</f>
        <v>ACERO VOLCANITA</v>
      </c>
      <c r="K181" s="771"/>
      <c r="L181" s="771"/>
      <c r="M181" s="771"/>
      <c r="N181" s="771"/>
      <c r="O181" s="771"/>
      <c r="P181" s="771"/>
      <c r="Q181" s="771"/>
      <c r="R181" s="771"/>
      <c r="S181" s="771"/>
      <c r="T181" s="771"/>
      <c r="U181" s="771"/>
      <c r="V181" s="771"/>
      <c r="W181" s="771"/>
      <c r="X181" s="771"/>
      <c r="Y181" s="771"/>
      <c r="Z181" s="1575" t="str">
        <f>Antecedentes!Y38</f>
        <v>BUENA</v>
      </c>
      <c r="AA181" s="1576"/>
      <c r="AB181" s="1576"/>
      <c r="AC181" s="1576"/>
      <c r="AD181" s="1576"/>
      <c r="AE181" s="1576"/>
      <c r="AF181" s="1577"/>
      <c r="AG181" s="1557" t="str">
        <f>Antecedentes!AF38</f>
        <v>BUENO</v>
      </c>
      <c r="AH181" s="1558"/>
      <c r="AI181" s="1558"/>
      <c r="AJ181" s="1558"/>
      <c r="AK181" s="1558"/>
      <c r="AL181" s="1578"/>
      <c r="AM181" s="725"/>
      <c r="AN181" s="713"/>
      <c r="AO181" s="1585" t="s">
        <v>748</v>
      </c>
      <c r="AP181" s="1586"/>
      <c r="AQ181" s="1586"/>
      <c r="AR181" s="1586"/>
      <c r="AS181" s="1586"/>
      <c r="AT181" s="1586"/>
      <c r="AU181" s="1587"/>
      <c r="AV181" s="1557" t="str">
        <f>Antecedentes!AR38</f>
        <v>NO PRESENTA</v>
      </c>
      <c r="AW181" s="1558"/>
      <c r="AX181" s="1558"/>
      <c r="AY181" s="1558"/>
      <c r="AZ181" s="1558"/>
      <c r="BA181" s="1558"/>
      <c r="BB181" s="1558"/>
      <c r="BC181" s="1558"/>
      <c r="BD181" s="1558"/>
      <c r="BE181" s="1558"/>
      <c r="BF181" s="1558"/>
      <c r="BG181" s="1558"/>
      <c r="BH181" s="1559"/>
      <c r="BI181" s="1575" t="str">
        <f>Antecedentes!BE38</f>
        <v/>
      </c>
      <c r="BJ181" s="1576"/>
      <c r="BK181" s="1576"/>
      <c r="BL181" s="1576"/>
      <c r="BM181" s="1576"/>
      <c r="BN181" s="1576"/>
      <c r="BO181" s="1577"/>
      <c r="BP181" s="1557" t="str">
        <f>Antecedentes!BL38</f>
        <v/>
      </c>
      <c r="BQ181" s="1558"/>
      <c r="BR181" s="1558"/>
      <c r="BS181" s="1558"/>
      <c r="BT181" s="1558"/>
      <c r="BU181" s="1558"/>
      <c r="BV181" s="1578"/>
      <c r="BW181" s="443"/>
    </row>
    <row r="182" spans="1:75" ht="15" customHeight="1" x14ac:dyDescent="0.2">
      <c r="A182" s="1752"/>
      <c r="C182" s="1585" t="s">
        <v>802</v>
      </c>
      <c r="D182" s="1586"/>
      <c r="E182" s="1586"/>
      <c r="F182" s="1586"/>
      <c r="G182" s="1586"/>
      <c r="H182" s="1586"/>
      <c r="I182" s="1587"/>
      <c r="J182" s="770" t="str">
        <f>Antecedentes!H39</f>
        <v>LOSA DE HORMIGON ARMADO</v>
      </c>
      <c r="K182" s="771"/>
      <c r="L182" s="771"/>
      <c r="M182" s="771"/>
      <c r="N182" s="771"/>
      <c r="O182" s="771"/>
      <c r="P182" s="771"/>
      <c r="Q182" s="771"/>
      <c r="R182" s="771"/>
      <c r="S182" s="771"/>
      <c r="T182" s="771"/>
      <c r="U182" s="771"/>
      <c r="V182" s="771"/>
      <c r="W182" s="771"/>
      <c r="X182" s="771"/>
      <c r="Y182" s="771"/>
      <c r="Z182" s="1575" t="str">
        <f>Antecedentes!Y39</f>
        <v>BUENA</v>
      </c>
      <c r="AA182" s="1576"/>
      <c r="AB182" s="1576"/>
      <c r="AC182" s="1576"/>
      <c r="AD182" s="1576"/>
      <c r="AE182" s="1576"/>
      <c r="AF182" s="1577"/>
      <c r="AG182" s="1557" t="str">
        <f>Antecedentes!AF39</f>
        <v>BUENO</v>
      </c>
      <c r="AH182" s="1558"/>
      <c r="AI182" s="1558"/>
      <c r="AJ182" s="1558"/>
      <c r="AK182" s="1558"/>
      <c r="AL182" s="1578"/>
      <c r="AM182" s="725"/>
      <c r="AN182" s="713"/>
      <c r="AO182" s="778" t="s">
        <v>803</v>
      </c>
      <c r="AP182" s="779"/>
      <c r="AQ182" s="779"/>
      <c r="AR182" s="779"/>
      <c r="AS182" s="779"/>
      <c r="AT182" s="779"/>
      <c r="AU182" s="780"/>
      <c r="AV182" s="1557" t="str">
        <f>Antecedentes!AR39</f>
        <v>MELAMINA</v>
      </c>
      <c r="AW182" s="1558"/>
      <c r="AX182" s="1558"/>
      <c r="AY182" s="1558"/>
      <c r="AZ182" s="1558"/>
      <c r="BA182" s="1558"/>
      <c r="BB182" s="1558"/>
      <c r="BC182" s="1558"/>
      <c r="BD182" s="1558"/>
      <c r="BE182" s="1558"/>
      <c r="BF182" s="1558"/>
      <c r="BG182" s="1558"/>
      <c r="BH182" s="1559"/>
      <c r="BI182" s="1575" t="str">
        <f>Antecedentes!BE39</f>
        <v>BUENA</v>
      </c>
      <c r="BJ182" s="1576"/>
      <c r="BK182" s="1576"/>
      <c r="BL182" s="1576"/>
      <c r="BM182" s="1576"/>
      <c r="BN182" s="1576"/>
      <c r="BO182" s="1577"/>
      <c r="BP182" s="1557" t="str">
        <f>Antecedentes!BL39</f>
        <v>BUENO</v>
      </c>
      <c r="BQ182" s="1558"/>
      <c r="BR182" s="1558"/>
      <c r="BS182" s="1558"/>
      <c r="BT182" s="1558"/>
      <c r="BU182" s="1558"/>
      <c r="BV182" s="1578"/>
      <c r="BW182" s="443"/>
    </row>
    <row r="183" spans="1:75" ht="15" customHeight="1" x14ac:dyDescent="0.2">
      <c r="A183" s="1752"/>
      <c r="C183" s="1585" t="s">
        <v>804</v>
      </c>
      <c r="D183" s="1586"/>
      <c r="E183" s="1586"/>
      <c r="F183" s="1586"/>
      <c r="G183" s="1586"/>
      <c r="H183" s="1586"/>
      <c r="I183" s="1587"/>
      <c r="J183" s="770" t="str">
        <f>Antecedentes!H40</f>
        <v>LOSA DE HORMIGON ARMADO</v>
      </c>
      <c r="K183" s="771"/>
      <c r="L183" s="771"/>
      <c r="M183" s="771"/>
      <c r="N183" s="771"/>
      <c r="O183" s="771"/>
      <c r="P183" s="771"/>
      <c r="Q183" s="771"/>
      <c r="R183" s="771"/>
      <c r="S183" s="771"/>
      <c r="T183" s="771"/>
      <c r="U183" s="771"/>
      <c r="V183" s="771"/>
      <c r="W183" s="771"/>
      <c r="X183" s="771"/>
      <c r="Y183" s="771"/>
      <c r="Z183" s="1575" t="str">
        <f>Antecedentes!Y40</f>
        <v>BUENA</v>
      </c>
      <c r="AA183" s="1576"/>
      <c r="AB183" s="1576"/>
      <c r="AC183" s="1576"/>
      <c r="AD183" s="1576"/>
      <c r="AE183" s="1576"/>
      <c r="AF183" s="1577"/>
      <c r="AG183" s="1557" t="str">
        <f>Antecedentes!AF40</f>
        <v>BUENO</v>
      </c>
      <c r="AH183" s="1558"/>
      <c r="AI183" s="1558"/>
      <c r="AJ183" s="1558"/>
      <c r="AK183" s="1558"/>
      <c r="AL183" s="1578"/>
      <c r="AM183" s="725"/>
      <c r="AN183" s="713"/>
      <c r="AO183" s="778" t="s">
        <v>805</v>
      </c>
      <c r="AP183" s="779"/>
      <c r="AQ183" s="779"/>
      <c r="AR183" s="779"/>
      <c r="AS183" s="779"/>
      <c r="AT183" s="779"/>
      <c r="AU183" s="780"/>
      <c r="AV183" s="1557" t="str">
        <f>Antecedentes!AR40</f>
        <v>MELAMINA Y POSTFORMADO</v>
      </c>
      <c r="AW183" s="1558"/>
      <c r="AX183" s="1558"/>
      <c r="AY183" s="1558"/>
      <c r="AZ183" s="1558"/>
      <c r="BA183" s="1558"/>
      <c r="BB183" s="1558"/>
      <c r="BC183" s="1558"/>
      <c r="BD183" s="1558"/>
      <c r="BE183" s="1558"/>
      <c r="BF183" s="1558"/>
      <c r="BG183" s="1558"/>
      <c r="BH183" s="1559"/>
      <c r="BI183" s="1575" t="str">
        <f>Antecedentes!BE40</f>
        <v>BUENA</v>
      </c>
      <c r="BJ183" s="1576"/>
      <c r="BK183" s="1576"/>
      <c r="BL183" s="1576"/>
      <c r="BM183" s="1576"/>
      <c r="BN183" s="1576"/>
      <c r="BO183" s="1577"/>
      <c r="BP183" s="1557" t="str">
        <f>Antecedentes!BL40</f>
        <v>BUENO</v>
      </c>
      <c r="BQ183" s="1558"/>
      <c r="BR183" s="1558"/>
      <c r="BS183" s="1558"/>
      <c r="BT183" s="1558"/>
      <c r="BU183" s="1558"/>
      <c r="BV183" s="1578"/>
      <c r="BW183" s="443"/>
    </row>
    <row r="184" spans="1:75" ht="15" customHeight="1" x14ac:dyDescent="0.2">
      <c r="A184" s="1752"/>
      <c r="C184" s="1585" t="s">
        <v>806</v>
      </c>
      <c r="D184" s="1586"/>
      <c r="E184" s="1586"/>
      <c r="F184" s="1586"/>
      <c r="G184" s="1586"/>
      <c r="H184" s="1586"/>
      <c r="I184" s="1587"/>
      <c r="J184" s="770" t="str">
        <f>Antecedentes!H41</f>
        <v>ESTUCO Y PINTURA</v>
      </c>
      <c r="K184" s="771"/>
      <c r="L184" s="771"/>
      <c r="M184" s="771"/>
      <c r="N184" s="771"/>
      <c r="O184" s="771"/>
      <c r="P184" s="771"/>
      <c r="Q184" s="771"/>
      <c r="R184" s="771"/>
      <c r="S184" s="771"/>
      <c r="T184" s="771"/>
      <c r="U184" s="771"/>
      <c r="V184" s="771"/>
      <c r="W184" s="771"/>
      <c r="X184" s="771"/>
      <c r="Y184" s="771"/>
      <c r="Z184" s="1575" t="str">
        <f>Antecedentes!Y41</f>
        <v>BUENA</v>
      </c>
      <c r="AA184" s="1576"/>
      <c r="AB184" s="1576"/>
      <c r="AC184" s="1576"/>
      <c r="AD184" s="1576"/>
      <c r="AE184" s="1576"/>
      <c r="AF184" s="1577"/>
      <c r="AG184" s="1557" t="str">
        <f>Antecedentes!AF41</f>
        <v>BUENO</v>
      </c>
      <c r="AH184" s="1558"/>
      <c r="AI184" s="1558"/>
      <c r="AJ184" s="1558"/>
      <c r="AK184" s="1558"/>
      <c r="AL184" s="1578"/>
      <c r="AM184" s="725"/>
      <c r="AN184" s="713"/>
      <c r="AO184" s="778" t="s">
        <v>807</v>
      </c>
      <c r="AP184" s="779"/>
      <c r="AQ184" s="779"/>
      <c r="AR184" s="779"/>
      <c r="AS184" s="779"/>
      <c r="AT184" s="779"/>
      <c r="AU184" s="780"/>
      <c r="AV184" s="1557" t="str">
        <f>Antecedentes!AR41</f>
        <v>LOSA NACIONAL CORRIENTE</v>
      </c>
      <c r="AW184" s="1558"/>
      <c r="AX184" s="1558"/>
      <c r="AY184" s="1558"/>
      <c r="AZ184" s="1558"/>
      <c r="BA184" s="1558"/>
      <c r="BB184" s="1558"/>
      <c r="BC184" s="1558"/>
      <c r="BD184" s="1558"/>
      <c r="BE184" s="1558"/>
      <c r="BF184" s="1558"/>
      <c r="BG184" s="1558"/>
      <c r="BH184" s="1559"/>
      <c r="BI184" s="1575" t="str">
        <f>Antecedentes!BE41</f>
        <v>BUENA</v>
      </c>
      <c r="BJ184" s="1576"/>
      <c r="BK184" s="1576"/>
      <c r="BL184" s="1576"/>
      <c r="BM184" s="1576"/>
      <c r="BN184" s="1576"/>
      <c r="BO184" s="1577"/>
      <c r="BP184" s="1557" t="str">
        <f>Antecedentes!BL41</f>
        <v>BUENO</v>
      </c>
      <c r="BQ184" s="1558"/>
      <c r="BR184" s="1558"/>
      <c r="BS184" s="1558"/>
      <c r="BT184" s="1558"/>
      <c r="BU184" s="1558"/>
      <c r="BV184" s="1578"/>
      <c r="BW184" s="443"/>
    </row>
    <row r="185" spans="1:75" ht="15" customHeight="1" x14ac:dyDescent="0.2">
      <c r="A185" s="1752"/>
      <c r="C185" s="1585" t="s">
        <v>808</v>
      </c>
      <c r="D185" s="1586"/>
      <c r="E185" s="1586"/>
      <c r="F185" s="1586"/>
      <c r="G185" s="1586"/>
      <c r="H185" s="1586"/>
      <c r="I185" s="1587"/>
      <c r="J185" s="770" t="str">
        <f>Antecedentes!H42</f>
        <v>MURO FACHADA</v>
      </c>
      <c r="K185" s="771"/>
      <c r="L185" s="771"/>
      <c r="M185" s="771"/>
      <c r="N185" s="771"/>
      <c r="O185" s="771"/>
      <c r="P185" s="771"/>
      <c r="Q185" s="771"/>
      <c r="R185" s="771"/>
      <c r="S185" s="771"/>
      <c r="T185" s="771"/>
      <c r="U185" s="771"/>
      <c r="V185" s="771"/>
      <c r="W185" s="771"/>
      <c r="X185" s="771"/>
      <c r="Y185" s="771"/>
      <c r="Z185" s="1575" t="str">
        <f>Antecedentes!Y42</f>
        <v>BUENA</v>
      </c>
      <c r="AA185" s="1576"/>
      <c r="AB185" s="1576"/>
      <c r="AC185" s="1576"/>
      <c r="AD185" s="1576"/>
      <c r="AE185" s="1576"/>
      <c r="AF185" s="1577"/>
      <c r="AG185" s="1557" t="str">
        <f>Antecedentes!AF42</f>
        <v>BUENO</v>
      </c>
      <c r="AH185" s="1558"/>
      <c r="AI185" s="1558"/>
      <c r="AJ185" s="1558"/>
      <c r="AK185" s="1558"/>
      <c r="AL185" s="1578"/>
      <c r="AM185" s="725"/>
      <c r="AN185" s="713"/>
      <c r="AO185" s="778" t="s">
        <v>809</v>
      </c>
      <c r="AP185" s="779"/>
      <c r="AQ185" s="779"/>
      <c r="AR185" s="779"/>
      <c r="AS185" s="779"/>
      <c r="AT185" s="779"/>
      <c r="AU185" s="780"/>
      <c r="AV185" s="1557" t="str">
        <f>Antecedentes!AR42</f>
        <v>NACIONAL CORRIENTE</v>
      </c>
      <c r="AW185" s="1558"/>
      <c r="AX185" s="1558"/>
      <c r="AY185" s="1558"/>
      <c r="AZ185" s="1558"/>
      <c r="BA185" s="1558"/>
      <c r="BB185" s="1558"/>
      <c r="BC185" s="1558"/>
      <c r="BD185" s="1558"/>
      <c r="BE185" s="1558"/>
      <c r="BF185" s="1558"/>
      <c r="BG185" s="1558"/>
      <c r="BH185" s="1559"/>
      <c r="BI185" s="1575" t="str">
        <f>Antecedentes!BE42</f>
        <v>BUENA</v>
      </c>
      <c r="BJ185" s="1576"/>
      <c r="BK185" s="1576"/>
      <c r="BL185" s="1576"/>
      <c r="BM185" s="1576"/>
      <c r="BN185" s="1576"/>
      <c r="BO185" s="1577"/>
      <c r="BP185" s="1557" t="str">
        <f>Antecedentes!BL42</f>
        <v>BUENO</v>
      </c>
      <c r="BQ185" s="1558"/>
      <c r="BR185" s="1558"/>
      <c r="BS185" s="1558"/>
      <c r="BT185" s="1558"/>
      <c r="BU185" s="1558"/>
      <c r="BV185" s="1578"/>
      <c r="BW185" s="443"/>
    </row>
    <row r="186" spans="1:75" ht="15" customHeight="1" x14ac:dyDescent="0.2">
      <c r="A186" s="1752"/>
      <c r="C186" s="1585" t="s">
        <v>810</v>
      </c>
      <c r="D186" s="1586"/>
      <c r="E186" s="1586"/>
      <c r="F186" s="1586"/>
      <c r="G186" s="1586"/>
      <c r="H186" s="1586"/>
      <c r="I186" s="1587"/>
      <c r="J186" s="770" t="str">
        <f>Antecedentes!H43</f>
        <v>QUINCHO</v>
      </c>
      <c r="K186" s="771"/>
      <c r="L186" s="771"/>
      <c r="M186" s="771"/>
      <c r="N186" s="771"/>
      <c r="O186" s="771"/>
      <c r="P186" s="771"/>
      <c r="Q186" s="771"/>
      <c r="R186" s="771"/>
      <c r="S186" s="771"/>
      <c r="T186" s="771"/>
      <c r="U186" s="771"/>
      <c r="V186" s="771"/>
      <c r="W186" s="771"/>
      <c r="X186" s="771"/>
      <c r="Y186" s="771"/>
      <c r="Z186" s="1575" t="str">
        <f>Antecedentes!Y43</f>
        <v>BUENA</v>
      </c>
      <c r="AA186" s="1576"/>
      <c r="AB186" s="1576"/>
      <c r="AC186" s="1576"/>
      <c r="AD186" s="1576"/>
      <c r="AE186" s="1576"/>
      <c r="AF186" s="1577"/>
      <c r="AG186" s="1557" t="str">
        <f>Antecedentes!AF43</f>
        <v>BUENA</v>
      </c>
      <c r="AH186" s="1558"/>
      <c r="AI186" s="1558"/>
      <c r="AJ186" s="1558"/>
      <c r="AK186" s="1558"/>
      <c r="AL186" s="1578"/>
      <c r="AM186" s="725"/>
      <c r="AN186" s="713"/>
      <c r="AO186" s="778" t="s">
        <v>811</v>
      </c>
      <c r="AP186" s="779"/>
      <c r="AQ186" s="779"/>
      <c r="AR186" s="779"/>
      <c r="AS186" s="779"/>
      <c r="AT186" s="779"/>
      <c r="AU186" s="780"/>
      <c r="AV186" s="1557" t="str">
        <f>Antecedentes!AR43</f>
        <v>MADERA</v>
      </c>
      <c r="AW186" s="1558"/>
      <c r="AX186" s="1558"/>
      <c r="AY186" s="1558"/>
      <c r="AZ186" s="1558"/>
      <c r="BA186" s="1558"/>
      <c r="BB186" s="1558"/>
      <c r="BC186" s="1558"/>
      <c r="BD186" s="1558"/>
      <c r="BE186" s="1558"/>
      <c r="BF186" s="1558"/>
      <c r="BG186" s="1558"/>
      <c r="BH186" s="1559"/>
      <c r="BI186" s="1575" t="str">
        <f>Antecedentes!BE43</f>
        <v>BUENA</v>
      </c>
      <c r="BJ186" s="1576"/>
      <c r="BK186" s="1576"/>
      <c r="BL186" s="1576"/>
      <c r="BM186" s="1576"/>
      <c r="BN186" s="1576"/>
      <c r="BO186" s="1577"/>
      <c r="BP186" s="1557" t="str">
        <f>Antecedentes!BL43</f>
        <v>BUENO</v>
      </c>
      <c r="BQ186" s="1558"/>
      <c r="BR186" s="1558"/>
      <c r="BS186" s="1558"/>
      <c r="BT186" s="1558"/>
      <c r="BU186" s="1558"/>
      <c r="BV186" s="1578"/>
      <c r="BW186" s="443"/>
    </row>
    <row r="187" spans="1:75" ht="15" customHeight="1" thickBot="1" x14ac:dyDescent="0.25">
      <c r="A187" s="1752"/>
      <c r="C187" s="783" t="s">
        <v>812</v>
      </c>
      <c r="D187" s="784"/>
      <c r="E187" s="784"/>
      <c r="F187" s="784"/>
      <c r="G187" s="784"/>
      <c r="H187" s="784"/>
      <c r="I187" s="801"/>
      <c r="J187" s="798">
        <f>Antecedentes!H44</f>
        <v>0</v>
      </c>
      <c r="K187" s="799"/>
      <c r="L187" s="799"/>
      <c r="M187" s="799"/>
      <c r="N187" s="799"/>
      <c r="O187" s="799"/>
      <c r="P187" s="799"/>
      <c r="Q187" s="799"/>
      <c r="R187" s="799"/>
      <c r="S187" s="799"/>
      <c r="T187" s="799"/>
      <c r="U187" s="799"/>
      <c r="V187" s="799"/>
      <c r="W187" s="799"/>
      <c r="X187" s="799"/>
      <c r="Y187" s="799"/>
      <c r="Z187" s="1551" t="str">
        <f>Antecedentes!Y44</f>
        <v/>
      </c>
      <c r="AA187" s="1552"/>
      <c r="AB187" s="1552"/>
      <c r="AC187" s="1552"/>
      <c r="AD187" s="1552"/>
      <c r="AE187" s="1552"/>
      <c r="AF187" s="1553"/>
      <c r="AG187" s="1554" t="str">
        <f>Antecedentes!AF44</f>
        <v/>
      </c>
      <c r="AH187" s="1555"/>
      <c r="AI187" s="1555"/>
      <c r="AJ187" s="1555"/>
      <c r="AK187" s="1555"/>
      <c r="AL187" s="1556"/>
      <c r="AM187" s="725"/>
      <c r="AN187" s="515"/>
      <c r="AO187" s="1569" t="s">
        <v>813</v>
      </c>
      <c r="AP187" s="1570"/>
      <c r="AQ187" s="1570"/>
      <c r="AR187" s="1570"/>
      <c r="AS187" s="1570"/>
      <c r="AT187" s="1570"/>
      <c r="AU187" s="1571"/>
      <c r="AV187" s="1554" t="str">
        <f>Antecedentes!AR44</f>
        <v>PVC</v>
      </c>
      <c r="AW187" s="1555"/>
      <c r="AX187" s="1555"/>
      <c r="AY187" s="1555"/>
      <c r="AZ187" s="1555"/>
      <c r="BA187" s="1555"/>
      <c r="BB187" s="1555"/>
      <c r="BC187" s="1555"/>
      <c r="BD187" s="1555"/>
      <c r="BE187" s="1555"/>
      <c r="BF187" s="1555"/>
      <c r="BG187" s="1555"/>
      <c r="BH187" s="1572"/>
      <c r="BI187" s="1551" t="str">
        <f>Antecedentes!BE44</f>
        <v>BUENA</v>
      </c>
      <c r="BJ187" s="1552"/>
      <c r="BK187" s="1552"/>
      <c r="BL187" s="1552"/>
      <c r="BM187" s="1552"/>
      <c r="BN187" s="1552"/>
      <c r="BO187" s="1553"/>
      <c r="BP187" s="1554" t="str">
        <f>Antecedentes!BL44</f>
        <v>BUENO</v>
      </c>
      <c r="BQ187" s="1555"/>
      <c r="BR187" s="1555"/>
      <c r="BS187" s="1555"/>
      <c r="BT187" s="1555"/>
      <c r="BU187" s="1555"/>
      <c r="BV187" s="1556"/>
      <c r="BW187" s="443"/>
    </row>
    <row r="188" spans="1:75" ht="15" customHeight="1" thickBot="1" x14ac:dyDescent="0.25">
      <c r="A188" s="1752"/>
      <c r="C188" s="516"/>
      <c r="D188" s="726"/>
      <c r="E188" s="726"/>
      <c r="F188" s="726"/>
      <c r="G188" s="726"/>
      <c r="H188" s="714"/>
      <c r="I188" s="727"/>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5"/>
      <c r="AH188" s="725"/>
      <c r="AI188" s="725"/>
      <c r="AJ188" s="725"/>
      <c r="AK188" s="725"/>
      <c r="AL188" s="725"/>
      <c r="AM188" s="498"/>
      <c r="AN188" s="688"/>
      <c r="AO188" s="688"/>
      <c r="AP188" s="713"/>
      <c r="AQ188" s="713"/>
      <c r="AR188" s="713"/>
      <c r="AS188" s="714"/>
      <c r="AT188" s="728"/>
      <c r="AU188" s="728"/>
      <c r="AV188" s="728"/>
      <c r="AW188" s="728"/>
      <c r="AX188" s="728"/>
      <c r="AY188" s="728"/>
      <c r="AZ188" s="728"/>
      <c r="BA188" s="728"/>
      <c r="BB188" s="728"/>
      <c r="BC188" s="728"/>
      <c r="BD188" s="728"/>
      <c r="BE188" s="728"/>
      <c r="BF188" s="728"/>
      <c r="BG188" s="727"/>
      <c r="BH188" s="727"/>
      <c r="BI188" s="727"/>
      <c r="BJ188" s="727"/>
      <c r="BK188" s="727"/>
      <c r="BL188" s="727"/>
      <c r="BM188" s="727"/>
      <c r="BN188" s="725"/>
      <c r="BO188" s="725"/>
      <c r="BP188" s="725"/>
      <c r="BQ188" s="725"/>
      <c r="BR188" s="725"/>
      <c r="BS188" s="725"/>
      <c r="BV188" s="447"/>
      <c r="BW188" s="453"/>
    </row>
    <row r="189" spans="1:75" ht="15" customHeight="1" x14ac:dyDescent="0.2">
      <c r="A189" s="1752"/>
      <c r="C189" s="1907" t="s">
        <v>814</v>
      </c>
      <c r="D189" s="1564"/>
      <c r="E189" s="1564"/>
      <c r="F189" s="1564"/>
      <c r="G189" s="1564"/>
      <c r="H189" s="1565"/>
      <c r="I189" s="1563" t="s">
        <v>815</v>
      </c>
      <c r="J189" s="1564"/>
      <c r="K189" s="1564"/>
      <c r="L189" s="1564"/>
      <c r="M189" s="1564"/>
      <c r="N189" s="1564"/>
      <c r="O189" s="1564"/>
      <c r="P189" s="1564"/>
      <c r="Q189" s="1564"/>
      <c r="R189" s="1564"/>
      <c r="S189" s="1564"/>
      <c r="T189" s="1564"/>
      <c r="U189" s="1564"/>
      <c r="V189" s="1564"/>
      <c r="W189" s="1565"/>
      <c r="X189" s="1563" t="s">
        <v>816</v>
      </c>
      <c r="Y189" s="1564"/>
      <c r="Z189" s="1564"/>
      <c r="AA189" s="1564"/>
      <c r="AB189" s="1564"/>
      <c r="AC189" s="1564"/>
      <c r="AD189" s="1564"/>
      <c r="AE189" s="1564"/>
      <c r="AF189" s="1564"/>
      <c r="AG189" s="1564"/>
      <c r="AH189" s="1564"/>
      <c r="AI189" s="1565"/>
      <c r="AJ189" s="1563" t="s">
        <v>817</v>
      </c>
      <c r="AK189" s="1564"/>
      <c r="AL189" s="1564"/>
      <c r="AM189" s="1564"/>
      <c r="AN189" s="1564"/>
      <c r="AO189" s="1564"/>
      <c r="AP189" s="1564"/>
      <c r="AQ189" s="1564"/>
      <c r="AR189" s="1564"/>
      <c r="AS189" s="1565"/>
      <c r="AT189" s="1563" t="s">
        <v>818</v>
      </c>
      <c r="AU189" s="1564"/>
      <c r="AV189" s="1564"/>
      <c r="AW189" s="1564"/>
      <c r="AX189" s="1564"/>
      <c r="AY189" s="1564"/>
      <c r="AZ189" s="1564"/>
      <c r="BA189" s="1564"/>
      <c r="BB189" s="1564"/>
      <c r="BC189" s="1564"/>
      <c r="BD189" s="1564"/>
      <c r="BE189" s="1565"/>
      <c r="BF189" s="1566" t="s">
        <v>819</v>
      </c>
      <c r="BG189" s="1567"/>
      <c r="BH189" s="1567"/>
      <c r="BI189" s="1567"/>
      <c r="BJ189" s="1567"/>
      <c r="BK189" s="1567"/>
      <c r="BL189" s="1568"/>
      <c r="BM189" s="1566" t="s">
        <v>627</v>
      </c>
      <c r="BN189" s="1567"/>
      <c r="BO189" s="1567"/>
      <c r="BP189" s="1567"/>
      <c r="BQ189" s="1567"/>
      <c r="BR189" s="499"/>
      <c r="BS189" s="499"/>
      <c r="BT189" s="452"/>
      <c r="BU189" s="452"/>
      <c r="BV189" s="474"/>
      <c r="BW189" s="453"/>
    </row>
    <row r="190" spans="1:75" ht="15" customHeight="1" x14ac:dyDescent="0.2">
      <c r="A190" s="1752"/>
      <c r="C190" s="1585" t="s">
        <v>820</v>
      </c>
      <c r="D190" s="1586"/>
      <c r="E190" s="1586"/>
      <c r="F190" s="1586"/>
      <c r="G190" s="1586"/>
      <c r="H190" s="802" t="s">
        <v>462</v>
      </c>
      <c r="I190" s="1557" t="str">
        <f>Antecedentes!H46</f>
        <v>CERAMICO</v>
      </c>
      <c r="J190" s="1558"/>
      <c r="K190" s="1558"/>
      <c r="L190" s="1558"/>
      <c r="M190" s="1558"/>
      <c r="N190" s="1558"/>
      <c r="O190" s="1558"/>
      <c r="P190" s="1558"/>
      <c r="Q190" s="1558"/>
      <c r="R190" s="1558"/>
      <c r="S190" s="1558"/>
      <c r="T190" s="1558"/>
      <c r="U190" s="1558"/>
      <c r="V190" s="1558"/>
      <c r="W190" s="1559"/>
      <c r="X190" s="1557" t="str">
        <f>Antecedentes!W46</f>
        <v>TIPO CORDILLERA</v>
      </c>
      <c r="Y190" s="1558"/>
      <c r="Z190" s="1558"/>
      <c r="AA190" s="1558"/>
      <c r="AB190" s="1558"/>
      <c r="AC190" s="1558"/>
      <c r="AD190" s="1558"/>
      <c r="AE190" s="1558"/>
      <c r="AF190" s="1558"/>
      <c r="AG190" s="1558"/>
      <c r="AH190" s="1558"/>
      <c r="AI190" s="1559"/>
      <c r="AJ190" s="1557" t="str">
        <f>Antecedentes!AI46</f>
        <v>PAPEL</v>
      </c>
      <c r="AK190" s="1558"/>
      <c r="AL190" s="1558"/>
      <c r="AM190" s="1558"/>
      <c r="AN190" s="1558"/>
      <c r="AO190" s="1558"/>
      <c r="AP190" s="1558"/>
      <c r="AQ190" s="1558"/>
      <c r="AR190" s="1558"/>
      <c r="AS190" s="1559"/>
      <c r="AT190" s="1557" t="str">
        <f>Antecedentes!AS46</f>
        <v>ENLUCIDO / PINTURA</v>
      </c>
      <c r="AU190" s="1558"/>
      <c r="AV190" s="1558"/>
      <c r="AW190" s="1558"/>
      <c r="AX190" s="1558"/>
      <c r="AY190" s="1558"/>
      <c r="AZ190" s="1558"/>
      <c r="BA190" s="1558"/>
      <c r="BB190" s="1558"/>
      <c r="BC190" s="1558"/>
      <c r="BD190" s="1558"/>
      <c r="BE190" s="1559"/>
      <c r="BF190" s="1560" t="str">
        <f>Antecedentes!BE46</f>
        <v>BUENA</v>
      </c>
      <c r="BG190" s="1561"/>
      <c r="BH190" s="1561"/>
      <c r="BI190" s="1561"/>
      <c r="BJ190" s="1561"/>
      <c r="BK190" s="1561"/>
      <c r="BL190" s="1562"/>
      <c r="BM190" s="1560" t="str">
        <f>Antecedentes!BL46</f>
        <v>BUENO</v>
      </c>
      <c r="BN190" s="1561"/>
      <c r="BO190" s="1561"/>
      <c r="BP190" s="1561"/>
      <c r="BQ190" s="1561"/>
      <c r="BR190" s="1561"/>
      <c r="BS190" s="1561"/>
      <c r="BT190" s="1561"/>
      <c r="BU190" s="488"/>
      <c r="BV190" s="489"/>
      <c r="BW190" s="443"/>
    </row>
    <row r="191" spans="1:75" ht="15" customHeight="1" x14ac:dyDescent="0.2">
      <c r="A191" s="1752"/>
      <c r="C191" s="1585" t="s">
        <v>821</v>
      </c>
      <c r="D191" s="1586"/>
      <c r="E191" s="1586"/>
      <c r="F191" s="1586"/>
      <c r="G191" s="1586"/>
      <c r="H191" s="780" t="s">
        <v>462</v>
      </c>
      <c r="I191" s="1557" t="str">
        <f>Antecedentes!H47</f>
        <v>ALFOMBRA</v>
      </c>
      <c r="J191" s="1558"/>
      <c r="K191" s="1558"/>
      <c r="L191" s="1558"/>
      <c r="M191" s="1558"/>
      <c r="N191" s="1558"/>
      <c r="O191" s="1558"/>
      <c r="P191" s="1558"/>
      <c r="Q191" s="1558"/>
      <c r="R191" s="1558"/>
      <c r="S191" s="1558"/>
      <c r="T191" s="1558"/>
      <c r="U191" s="1558"/>
      <c r="V191" s="1558"/>
      <c r="W191" s="1559"/>
      <c r="X191" s="1557" t="str">
        <f>Antecedentes!W47</f>
        <v>ALFOMBRA</v>
      </c>
      <c r="Y191" s="1558"/>
      <c r="Z191" s="1558"/>
      <c r="AA191" s="1558"/>
      <c r="AB191" s="1558"/>
      <c r="AC191" s="1558"/>
      <c r="AD191" s="1558"/>
      <c r="AE191" s="1558"/>
      <c r="AF191" s="1558"/>
      <c r="AG191" s="1558"/>
      <c r="AH191" s="1558"/>
      <c r="AI191" s="1559"/>
      <c r="AJ191" s="1557" t="str">
        <f>Antecedentes!AI47</f>
        <v>PAPEL</v>
      </c>
      <c r="AK191" s="1558"/>
      <c r="AL191" s="1558"/>
      <c r="AM191" s="1558"/>
      <c r="AN191" s="1558"/>
      <c r="AO191" s="1558"/>
      <c r="AP191" s="1558"/>
      <c r="AQ191" s="1558"/>
      <c r="AR191" s="1558"/>
      <c r="AS191" s="1559"/>
      <c r="AT191" s="1557" t="str">
        <f>Antecedentes!AS47</f>
        <v>ENLUCIDO / PINTURA</v>
      </c>
      <c r="AU191" s="1558"/>
      <c r="AV191" s="1558"/>
      <c r="AW191" s="1558"/>
      <c r="AX191" s="1558"/>
      <c r="AY191" s="1558"/>
      <c r="AZ191" s="1558"/>
      <c r="BA191" s="1558"/>
      <c r="BB191" s="1558"/>
      <c r="BC191" s="1558"/>
      <c r="BD191" s="1558"/>
      <c r="BE191" s="1559"/>
      <c r="BF191" s="1560" t="str">
        <f>Antecedentes!BE47</f>
        <v>BUENA</v>
      </c>
      <c r="BG191" s="1561"/>
      <c r="BH191" s="1561"/>
      <c r="BI191" s="1561"/>
      <c r="BJ191" s="1561"/>
      <c r="BK191" s="1561"/>
      <c r="BL191" s="1562"/>
      <c r="BM191" s="1573" t="str">
        <f>Antecedentes!BL47</f>
        <v>BUENO</v>
      </c>
      <c r="BN191" s="1574"/>
      <c r="BO191" s="1574"/>
      <c r="BP191" s="1574"/>
      <c r="BQ191" s="1574"/>
      <c r="BR191" s="1574"/>
      <c r="BS191" s="1574"/>
      <c r="BT191" s="1574"/>
      <c r="BU191" s="488"/>
      <c r="BV191" s="489"/>
      <c r="BW191" s="443"/>
    </row>
    <row r="192" spans="1:75" ht="15" customHeight="1" x14ac:dyDescent="0.2">
      <c r="A192" s="1752"/>
      <c r="C192" s="1585" t="s">
        <v>822</v>
      </c>
      <c r="D192" s="1586"/>
      <c r="E192" s="1586"/>
      <c r="F192" s="1586"/>
      <c r="G192" s="1586"/>
      <c r="H192" s="780" t="s">
        <v>462</v>
      </c>
      <c r="I192" s="1557" t="str">
        <f>Antecedentes!H48</f>
        <v>CERAMICO</v>
      </c>
      <c r="J192" s="1558"/>
      <c r="K192" s="1558"/>
      <c r="L192" s="1558"/>
      <c r="M192" s="1558"/>
      <c r="N192" s="1558"/>
      <c r="O192" s="1558"/>
      <c r="P192" s="1558"/>
      <c r="Q192" s="1558"/>
      <c r="R192" s="1558"/>
      <c r="S192" s="1558"/>
      <c r="T192" s="1558"/>
      <c r="U192" s="1558"/>
      <c r="V192" s="1558"/>
      <c r="W192" s="1559"/>
      <c r="X192" s="1557" t="str">
        <f>Antecedentes!W48</f>
        <v>TIPO CORDILLERA</v>
      </c>
      <c r="Y192" s="1558"/>
      <c r="Z192" s="1558"/>
      <c r="AA192" s="1558"/>
      <c r="AB192" s="1558"/>
      <c r="AC192" s="1558"/>
      <c r="AD192" s="1558"/>
      <c r="AE192" s="1558"/>
      <c r="AF192" s="1558"/>
      <c r="AG192" s="1558"/>
      <c r="AH192" s="1558"/>
      <c r="AI192" s="1559"/>
      <c r="AJ192" s="1557" t="str">
        <f>Antecedentes!AI48</f>
        <v>PAPEL</v>
      </c>
      <c r="AK192" s="1558"/>
      <c r="AL192" s="1558"/>
      <c r="AM192" s="1558"/>
      <c r="AN192" s="1558"/>
      <c r="AO192" s="1558"/>
      <c r="AP192" s="1558"/>
      <c r="AQ192" s="1558"/>
      <c r="AR192" s="1558"/>
      <c r="AS192" s="1559"/>
      <c r="AT192" s="1557" t="str">
        <f>Antecedentes!AS48</f>
        <v>ENLUCIDO / PINTURA</v>
      </c>
      <c r="AU192" s="1558"/>
      <c r="AV192" s="1558"/>
      <c r="AW192" s="1558"/>
      <c r="AX192" s="1558"/>
      <c r="AY192" s="1558"/>
      <c r="AZ192" s="1558"/>
      <c r="BA192" s="1558"/>
      <c r="BB192" s="1558"/>
      <c r="BC192" s="1558"/>
      <c r="BD192" s="1558"/>
      <c r="BE192" s="1559"/>
      <c r="BF192" s="1560" t="str">
        <f>Antecedentes!BE48</f>
        <v>BUENA</v>
      </c>
      <c r="BG192" s="1561"/>
      <c r="BH192" s="1561"/>
      <c r="BI192" s="1561"/>
      <c r="BJ192" s="1561"/>
      <c r="BK192" s="1561"/>
      <c r="BL192" s="1562"/>
      <c r="BM192" s="1560" t="str">
        <f>Antecedentes!BL48</f>
        <v>BUENO</v>
      </c>
      <c r="BN192" s="1561"/>
      <c r="BO192" s="1561"/>
      <c r="BP192" s="1561"/>
      <c r="BQ192" s="1561"/>
      <c r="BR192" s="1561"/>
      <c r="BS192" s="1561"/>
      <c r="BT192" s="1561"/>
      <c r="BU192" s="488"/>
      <c r="BV192" s="489"/>
      <c r="BW192" s="443"/>
    </row>
    <row r="193" spans="1:75" ht="15" customHeight="1" x14ac:dyDescent="0.2">
      <c r="A193" s="1752"/>
      <c r="C193" s="1585" t="s">
        <v>823</v>
      </c>
      <c r="D193" s="1586"/>
      <c r="E193" s="1586"/>
      <c r="F193" s="1586"/>
      <c r="G193" s="1586"/>
      <c r="H193" s="780" t="s">
        <v>462</v>
      </c>
      <c r="I193" s="1557" t="str">
        <f>Antecedentes!H49</f>
        <v>CERAMICO</v>
      </c>
      <c r="J193" s="1558"/>
      <c r="K193" s="1558"/>
      <c r="L193" s="1558"/>
      <c r="M193" s="1558"/>
      <c r="N193" s="1558"/>
      <c r="O193" s="1558"/>
      <c r="P193" s="1558"/>
      <c r="Q193" s="1558"/>
      <c r="R193" s="1558"/>
      <c r="S193" s="1558"/>
      <c r="T193" s="1558"/>
      <c r="U193" s="1558"/>
      <c r="V193" s="1558"/>
      <c r="W193" s="1559"/>
      <c r="X193" s="1557" t="str">
        <f>Antecedentes!W49</f>
        <v>TIPO CORDILLERA</v>
      </c>
      <c r="Y193" s="1558"/>
      <c r="Z193" s="1558"/>
      <c r="AA193" s="1558"/>
      <c r="AB193" s="1558"/>
      <c r="AC193" s="1558"/>
      <c r="AD193" s="1558"/>
      <c r="AE193" s="1558"/>
      <c r="AF193" s="1558"/>
      <c r="AG193" s="1558"/>
      <c r="AH193" s="1558"/>
      <c r="AI193" s="1559"/>
      <c r="AJ193" s="1557" t="str">
        <f>Antecedentes!AI49</f>
        <v>CERAMICO</v>
      </c>
      <c r="AK193" s="1558"/>
      <c r="AL193" s="1558"/>
      <c r="AM193" s="1558"/>
      <c r="AN193" s="1558"/>
      <c r="AO193" s="1558"/>
      <c r="AP193" s="1558"/>
      <c r="AQ193" s="1558"/>
      <c r="AR193" s="1558"/>
      <c r="AS193" s="1559"/>
      <c r="AT193" s="1557" t="str">
        <f>Antecedentes!AS49</f>
        <v>ENLUCIDO / PINTURA</v>
      </c>
      <c r="AU193" s="1558"/>
      <c r="AV193" s="1558"/>
      <c r="AW193" s="1558"/>
      <c r="AX193" s="1558"/>
      <c r="AY193" s="1558"/>
      <c r="AZ193" s="1558"/>
      <c r="BA193" s="1558"/>
      <c r="BB193" s="1558"/>
      <c r="BC193" s="1558"/>
      <c r="BD193" s="1558"/>
      <c r="BE193" s="1559"/>
      <c r="BF193" s="1560" t="str">
        <f>Antecedentes!BE49</f>
        <v>BUENA</v>
      </c>
      <c r="BG193" s="1561"/>
      <c r="BH193" s="1561"/>
      <c r="BI193" s="1561"/>
      <c r="BJ193" s="1561"/>
      <c r="BK193" s="1561"/>
      <c r="BL193" s="1562"/>
      <c r="BM193" s="1573" t="str">
        <f>Antecedentes!BL49</f>
        <v>BUENO</v>
      </c>
      <c r="BN193" s="1574"/>
      <c r="BO193" s="1574"/>
      <c r="BP193" s="1574"/>
      <c r="BQ193" s="1574"/>
      <c r="BR193" s="1574"/>
      <c r="BS193" s="1574"/>
      <c r="BT193" s="1574"/>
      <c r="BU193" s="488"/>
      <c r="BV193" s="489"/>
      <c r="BW193" s="443"/>
    </row>
    <row r="194" spans="1:75" ht="15" customHeight="1" thickBot="1" x14ac:dyDescent="0.25">
      <c r="A194" s="1752"/>
      <c r="C194" s="1569" t="s">
        <v>828</v>
      </c>
      <c r="D194" s="1570"/>
      <c r="E194" s="1570"/>
      <c r="F194" s="1570"/>
      <c r="G194" s="1570"/>
      <c r="H194" s="801" t="s">
        <v>462</v>
      </c>
      <c r="I194" s="1554" t="str">
        <f>Antecedentes!H50</f>
        <v>CERAMICO</v>
      </c>
      <c r="J194" s="1555"/>
      <c r="K194" s="1555"/>
      <c r="L194" s="1555"/>
      <c r="M194" s="1555"/>
      <c r="N194" s="1555"/>
      <c r="O194" s="1555"/>
      <c r="P194" s="1555"/>
      <c r="Q194" s="1555"/>
      <c r="R194" s="1555"/>
      <c r="S194" s="1555"/>
      <c r="T194" s="1555"/>
      <c r="U194" s="1555"/>
      <c r="V194" s="1555"/>
      <c r="W194" s="1572"/>
      <c r="X194" s="1554" t="str">
        <f>Antecedentes!W50</f>
        <v>TIPO CORDILLERA</v>
      </c>
      <c r="Y194" s="1555"/>
      <c r="Z194" s="1555"/>
      <c r="AA194" s="1555"/>
      <c r="AB194" s="1555"/>
      <c r="AC194" s="1555"/>
      <c r="AD194" s="1555"/>
      <c r="AE194" s="1555"/>
      <c r="AF194" s="1555"/>
      <c r="AG194" s="1555"/>
      <c r="AH194" s="1555"/>
      <c r="AI194" s="1572"/>
      <c r="AJ194" s="1554" t="str">
        <f>Antecedentes!AI50</f>
        <v>CERAMICO</v>
      </c>
      <c r="AK194" s="1555"/>
      <c r="AL194" s="1555"/>
      <c r="AM194" s="1555"/>
      <c r="AN194" s="1555"/>
      <c r="AO194" s="1555"/>
      <c r="AP194" s="1555"/>
      <c r="AQ194" s="1555"/>
      <c r="AR194" s="1555"/>
      <c r="AS194" s="1572"/>
      <c r="AT194" s="1554" t="str">
        <f>Antecedentes!AS50</f>
        <v>ENLUCIDO / PINTURA</v>
      </c>
      <c r="AU194" s="1555"/>
      <c r="AV194" s="1555"/>
      <c r="AW194" s="1555"/>
      <c r="AX194" s="1555"/>
      <c r="AY194" s="1555"/>
      <c r="AZ194" s="1555"/>
      <c r="BA194" s="1555"/>
      <c r="BB194" s="1555"/>
      <c r="BC194" s="1555"/>
      <c r="BD194" s="1555"/>
      <c r="BE194" s="1572"/>
      <c r="BF194" s="1779" t="str">
        <f>Antecedentes!BE50</f>
        <v>BUENA</v>
      </c>
      <c r="BG194" s="1780"/>
      <c r="BH194" s="1780"/>
      <c r="BI194" s="1780"/>
      <c r="BJ194" s="1780"/>
      <c r="BK194" s="1780"/>
      <c r="BL194" s="1781"/>
      <c r="BM194" s="1549" t="str">
        <f>Antecedentes!BL50</f>
        <v>BUENO</v>
      </c>
      <c r="BN194" s="1550"/>
      <c r="BO194" s="1550"/>
      <c r="BP194" s="1550"/>
      <c r="BQ194" s="1550"/>
      <c r="BR194" s="1550"/>
      <c r="BS194" s="1550"/>
      <c r="BT194" s="1550"/>
      <c r="BU194" s="517"/>
      <c r="BV194" s="518"/>
      <c r="BW194" s="443"/>
    </row>
    <row r="195" spans="1:75" ht="15" customHeight="1" x14ac:dyDescent="0.2">
      <c r="A195" s="1752"/>
      <c r="C195" s="761"/>
      <c r="D195" s="762"/>
      <c r="E195" s="762"/>
      <c r="F195" s="762"/>
      <c r="G195" s="762"/>
      <c r="J195" s="714"/>
      <c r="K195" s="615"/>
      <c r="BV195" s="447"/>
      <c r="BW195" s="443"/>
    </row>
    <row r="196" spans="1:75" ht="15" customHeight="1" x14ac:dyDescent="0.2">
      <c r="A196" s="1752"/>
      <c r="C196" s="1635" t="s">
        <v>720</v>
      </c>
      <c r="D196" s="1636"/>
      <c r="E196" s="1636"/>
      <c r="F196" s="1636"/>
      <c r="G196" s="1636"/>
      <c r="H196" s="712" t="s">
        <v>462</v>
      </c>
      <c r="I196" s="1634" t="str">
        <f>Antecedentes!AN15</f>
        <v>Colector</v>
      </c>
      <c r="J196" s="1634"/>
      <c r="K196" s="1634"/>
      <c r="L196" s="1634"/>
      <c r="M196" s="1634"/>
      <c r="N196" s="1634"/>
      <c r="O196" s="1634"/>
      <c r="P196" s="1634"/>
      <c r="Q196" s="1634"/>
      <c r="AO196" s="1636" t="s">
        <v>552</v>
      </c>
      <c r="AP196" s="1636"/>
      <c r="AQ196" s="1636"/>
      <c r="AR196" s="1636"/>
      <c r="AS196" s="1636"/>
      <c r="AT196" s="712" t="s">
        <v>462</v>
      </c>
      <c r="AU196" s="1634" t="str">
        <f>Antecedentes!AN18</f>
        <v>Full Eléctrica</v>
      </c>
      <c r="AV196" s="1634"/>
      <c r="AW196" s="1634"/>
      <c r="AX196" s="1634"/>
      <c r="AY196" s="1634"/>
      <c r="AZ196" s="1634"/>
      <c r="BA196" s="1634"/>
      <c r="BB196" s="1634"/>
      <c r="BC196" s="1634"/>
      <c r="BV196" s="447"/>
      <c r="BW196" s="443"/>
    </row>
    <row r="197" spans="1:75" ht="15" customHeight="1" x14ac:dyDescent="0.2">
      <c r="A197" s="1752"/>
      <c r="C197" s="1635" t="s">
        <v>543</v>
      </c>
      <c r="D197" s="1636"/>
      <c r="E197" s="1636"/>
      <c r="F197" s="1636"/>
      <c r="G197" s="1636"/>
      <c r="H197" s="712" t="s">
        <v>462</v>
      </c>
      <c r="I197" s="1634" t="str">
        <f>Antecedentes!AN16</f>
        <v>Matriz Pública</v>
      </c>
      <c r="J197" s="1634"/>
      <c r="K197" s="1634"/>
      <c r="L197" s="1634"/>
      <c r="M197" s="1634"/>
      <c r="N197" s="1634"/>
      <c r="O197" s="1634"/>
      <c r="P197" s="1634"/>
      <c r="Q197" s="1634"/>
      <c r="AO197" s="1636" t="s">
        <v>561</v>
      </c>
      <c r="AP197" s="1636"/>
      <c r="AQ197" s="1636"/>
      <c r="AR197" s="1636"/>
      <c r="AS197" s="1636"/>
      <c r="AT197" s="777" t="s">
        <v>462</v>
      </c>
      <c r="AU197" s="1634" t="str">
        <f>Antecedentes!AN19</f>
        <v xml:space="preserve">  </v>
      </c>
      <c r="AV197" s="1634"/>
      <c r="AW197" s="1634"/>
      <c r="AX197" s="1634"/>
      <c r="AY197" s="1634"/>
      <c r="AZ197" s="1634"/>
      <c r="BA197" s="1634"/>
      <c r="BB197" s="1634"/>
      <c r="BC197" s="1634"/>
      <c r="BV197" s="447"/>
      <c r="BW197" s="443"/>
    </row>
    <row r="198" spans="1:75" ht="15" customHeight="1" thickBot="1" x14ac:dyDescent="0.25">
      <c r="A198" s="1752"/>
      <c r="C198" s="1906" t="s">
        <v>727</v>
      </c>
      <c r="D198" s="1579"/>
      <c r="E198" s="1579"/>
      <c r="F198" s="1579"/>
      <c r="G198" s="1579"/>
      <c r="H198" s="483" t="s">
        <v>462</v>
      </c>
      <c r="I198" s="1581" t="str">
        <f>Antecedentes!AN17</f>
        <v>Red Aérea</v>
      </c>
      <c r="J198" s="1581"/>
      <c r="K198" s="1581"/>
      <c r="L198" s="1581"/>
      <c r="M198" s="1581"/>
      <c r="N198" s="1581"/>
      <c r="O198" s="1581"/>
      <c r="P198" s="1581"/>
      <c r="Q198" s="1581"/>
      <c r="R198" s="475"/>
      <c r="S198" s="475"/>
      <c r="T198" s="475"/>
      <c r="U198" s="475"/>
      <c r="V198" s="475"/>
      <c r="W198" s="475"/>
      <c r="X198" s="475"/>
      <c r="Y198" s="475"/>
      <c r="Z198" s="475"/>
      <c r="AA198" s="475"/>
      <c r="AB198" s="475"/>
      <c r="AC198" s="475"/>
      <c r="AD198" s="475"/>
      <c r="AE198" s="475"/>
      <c r="AF198" s="475"/>
      <c r="AG198" s="475"/>
      <c r="AH198" s="475"/>
      <c r="AI198" s="475"/>
      <c r="AJ198" s="475"/>
      <c r="AK198" s="475"/>
      <c r="AL198" s="475"/>
      <c r="AM198" s="475"/>
      <c r="AN198" s="475"/>
      <c r="AO198" s="475"/>
      <c r="AP198" s="475"/>
      <c r="AQ198" s="475"/>
      <c r="AR198" s="475"/>
      <c r="AS198" s="475"/>
      <c r="AT198" s="475"/>
      <c r="AU198" s="475"/>
      <c r="AV198" s="475"/>
      <c r="AW198" s="475"/>
      <c r="AX198" s="475"/>
      <c r="AY198" s="475"/>
      <c r="AZ198" s="475"/>
      <c r="BA198" s="475"/>
      <c r="BB198" s="475"/>
      <c r="BC198" s="475"/>
      <c r="BD198" s="475"/>
      <c r="BE198" s="475"/>
      <c r="BF198" s="475"/>
      <c r="BG198" s="475"/>
      <c r="BH198" s="475"/>
      <c r="BI198" s="475"/>
      <c r="BJ198" s="475"/>
      <c r="BK198" s="475"/>
      <c r="BL198" s="475"/>
      <c r="BM198" s="475"/>
      <c r="BN198" s="475"/>
      <c r="BO198" s="475"/>
      <c r="BP198" s="475"/>
      <c r="BQ198" s="475"/>
      <c r="BR198" s="475"/>
      <c r="BS198" s="475"/>
      <c r="BT198" s="475"/>
      <c r="BU198" s="475"/>
      <c r="BV198" s="476"/>
      <c r="BW198" s="443"/>
    </row>
    <row r="199" spans="1:75" ht="15" customHeight="1" thickBot="1" x14ac:dyDescent="0.25">
      <c r="A199" s="682"/>
      <c r="BW199" s="443"/>
    </row>
    <row r="200" spans="1:75" ht="15" customHeight="1" x14ac:dyDescent="0.2">
      <c r="A200" s="1752" t="s">
        <v>1206</v>
      </c>
      <c r="C200" s="729" t="s">
        <v>764</v>
      </c>
      <c r="D200" s="720"/>
      <c r="E200" s="720"/>
      <c r="F200" s="720"/>
      <c r="G200" s="720"/>
      <c r="H200" s="720"/>
      <c r="I200" s="720"/>
      <c r="J200" s="720"/>
      <c r="K200" s="720"/>
      <c r="L200" s="1737" t="s">
        <v>765</v>
      </c>
      <c r="M200" s="1737"/>
      <c r="N200" s="1737"/>
      <c r="O200" s="1737" t="s">
        <v>766</v>
      </c>
      <c r="P200" s="1737"/>
      <c r="Q200" s="1737"/>
      <c r="R200" s="1737" t="s">
        <v>767</v>
      </c>
      <c r="S200" s="1737"/>
      <c r="T200" s="1737"/>
      <c r="U200" s="1737"/>
      <c r="V200" s="1737" t="s">
        <v>768</v>
      </c>
      <c r="W200" s="1737"/>
      <c r="X200" s="1737"/>
      <c r="Y200" s="1737" t="s">
        <v>769</v>
      </c>
      <c r="Z200" s="1737"/>
      <c r="AA200" s="1737"/>
      <c r="AB200" s="1737"/>
      <c r="AC200" s="1737" t="s">
        <v>770</v>
      </c>
      <c r="AD200" s="1737"/>
      <c r="AE200" s="1737"/>
      <c r="AF200" s="1737"/>
      <c r="AG200" s="1737" t="s">
        <v>771</v>
      </c>
      <c r="AH200" s="1737"/>
      <c r="AI200" s="1737"/>
      <c r="AJ200" s="1737"/>
      <c r="AK200" s="1737" t="s">
        <v>772</v>
      </c>
      <c r="AL200" s="1737"/>
      <c r="AM200" s="1737"/>
      <c r="AN200" s="1737"/>
      <c r="AO200" s="1744" t="s">
        <v>773</v>
      </c>
      <c r="AP200" s="1744"/>
      <c r="AQ200" s="1744"/>
      <c r="AR200" s="1744"/>
      <c r="AS200" s="1744"/>
      <c r="AT200" s="1744" t="s">
        <v>774</v>
      </c>
      <c r="AU200" s="1744"/>
      <c r="AV200" s="1744"/>
      <c r="AW200" s="1737" t="s">
        <v>775</v>
      </c>
      <c r="AX200" s="1737"/>
      <c r="AY200" s="1737"/>
      <c r="AZ200" s="1737"/>
      <c r="BA200" s="1737" t="s">
        <v>776</v>
      </c>
      <c r="BB200" s="1737"/>
      <c r="BC200" s="1737"/>
      <c r="BD200" s="1737"/>
      <c r="BE200" s="1737" t="s">
        <v>777</v>
      </c>
      <c r="BF200" s="1737"/>
      <c r="BG200" s="1737"/>
      <c r="BH200" s="1737"/>
      <c r="BI200" s="1737"/>
      <c r="BJ200" s="1737" t="s">
        <v>778</v>
      </c>
      <c r="BK200" s="1737"/>
      <c r="BL200" s="1737"/>
      <c r="BM200" s="1737"/>
      <c r="BN200" s="1737"/>
      <c r="BO200" s="1737" t="s">
        <v>779</v>
      </c>
      <c r="BP200" s="1737"/>
      <c r="BQ200" s="1737"/>
      <c r="BR200" s="1737"/>
      <c r="BS200" s="1737"/>
      <c r="BT200" s="1738"/>
      <c r="BU200" s="877"/>
      <c r="BV200" s="474"/>
      <c r="BW200" s="443"/>
    </row>
    <row r="201" spans="1:75" ht="15" customHeight="1" x14ac:dyDescent="0.2">
      <c r="A201" s="1752"/>
      <c r="C201" s="730" t="s">
        <v>780</v>
      </c>
      <c r="D201" s="731"/>
      <c r="E201" s="731"/>
      <c r="F201" s="731"/>
      <c r="G201" s="731"/>
      <c r="H201" s="731"/>
      <c r="I201" s="731"/>
      <c r="J201" s="731"/>
      <c r="K201" s="712" t="s">
        <v>462</v>
      </c>
      <c r="L201" s="1731">
        <f>Antecedentes!H30</f>
        <v>0</v>
      </c>
      <c r="M201" s="1732"/>
      <c r="N201" s="1733"/>
      <c r="O201" s="1731">
        <f>Antecedentes!K30</f>
        <v>0</v>
      </c>
      <c r="P201" s="1732"/>
      <c r="Q201" s="1733"/>
      <c r="R201" s="1731">
        <f>Antecedentes!N30</f>
        <v>0</v>
      </c>
      <c r="S201" s="1732"/>
      <c r="T201" s="1732"/>
      <c r="U201" s="1733"/>
      <c r="V201" s="1741">
        <f>Antecedentes!R30</f>
        <v>0</v>
      </c>
      <c r="W201" s="1742"/>
      <c r="X201" s="1743"/>
      <c r="Y201" s="1731">
        <f>Antecedentes!U30</f>
        <v>0</v>
      </c>
      <c r="Z201" s="1732"/>
      <c r="AA201" s="1732"/>
      <c r="AB201" s="1733"/>
      <c r="AC201" s="1731">
        <f>Antecedentes!Y30</f>
        <v>0</v>
      </c>
      <c r="AD201" s="1732"/>
      <c r="AE201" s="1732"/>
      <c r="AF201" s="1733"/>
      <c r="AG201" s="1731">
        <f>Antecedentes!AC30</f>
        <v>0</v>
      </c>
      <c r="AH201" s="1732"/>
      <c r="AI201" s="1732"/>
      <c r="AJ201" s="1733"/>
      <c r="AK201" s="1731">
        <f>Antecedentes!AG30</f>
        <v>0</v>
      </c>
      <c r="AL201" s="1732"/>
      <c r="AM201" s="1732"/>
      <c r="AN201" s="1733"/>
      <c r="AO201" s="1731">
        <f>Antecedentes!AK30</f>
        <v>0</v>
      </c>
      <c r="AP201" s="1732"/>
      <c r="AQ201" s="1732"/>
      <c r="AR201" s="1732"/>
      <c r="AS201" s="1733"/>
      <c r="AT201" s="1741">
        <f>Antecedentes!AP30</f>
        <v>0</v>
      </c>
      <c r="AU201" s="1742"/>
      <c r="AV201" s="1743"/>
      <c r="AW201" s="1731">
        <f>Antecedentes!AS30</f>
        <v>0</v>
      </c>
      <c r="AX201" s="1732"/>
      <c r="AY201" s="1732"/>
      <c r="AZ201" s="1733"/>
      <c r="BA201" s="1731">
        <f>Antecedentes!AW30</f>
        <v>0</v>
      </c>
      <c r="BB201" s="1732"/>
      <c r="BC201" s="1732"/>
      <c r="BD201" s="1733"/>
      <c r="BE201" s="1731">
        <f>Antecedentes!BA30</f>
        <v>0</v>
      </c>
      <c r="BF201" s="1732"/>
      <c r="BG201" s="1732"/>
      <c r="BH201" s="1732"/>
      <c r="BI201" s="1733"/>
      <c r="BJ201" s="1731">
        <f>Antecedentes!BF30</f>
        <v>0</v>
      </c>
      <c r="BK201" s="1732"/>
      <c r="BL201" s="1732"/>
      <c r="BM201" s="1732"/>
      <c r="BN201" s="1733"/>
      <c r="BO201" s="1734" t="str">
        <f>Antecedentes!BK30</f>
        <v/>
      </c>
      <c r="BP201" s="1735"/>
      <c r="BQ201" s="1735"/>
      <c r="BR201" s="1735"/>
      <c r="BS201" s="1735"/>
      <c r="BT201" s="1736"/>
      <c r="BU201" s="878"/>
      <c r="BV201" s="447"/>
      <c r="BW201" s="443"/>
    </row>
    <row r="202" spans="1:75" ht="15" customHeight="1" x14ac:dyDescent="0.2">
      <c r="A202" s="1752"/>
      <c r="C202" s="718" t="s">
        <v>782</v>
      </c>
      <c r="D202" s="713"/>
      <c r="E202" s="713"/>
      <c r="F202" s="713"/>
      <c r="G202" s="713"/>
      <c r="H202" s="713"/>
      <c r="I202" s="713"/>
      <c r="J202" s="713"/>
      <c r="K202" s="712" t="s">
        <v>462</v>
      </c>
      <c r="L202" s="1731">
        <f>Antecedentes!H31</f>
        <v>1</v>
      </c>
      <c r="M202" s="1732"/>
      <c r="N202" s="1733"/>
      <c r="O202" s="1731">
        <f>Antecedentes!K31</f>
        <v>1</v>
      </c>
      <c r="P202" s="1732"/>
      <c r="Q202" s="1733"/>
      <c r="R202" s="1731">
        <f>Antecedentes!N31</f>
        <v>0</v>
      </c>
      <c r="S202" s="1732"/>
      <c r="T202" s="1732"/>
      <c r="U202" s="1733"/>
      <c r="V202" s="1741">
        <f>Antecedentes!R31</f>
        <v>0</v>
      </c>
      <c r="W202" s="1742"/>
      <c r="X202" s="1743"/>
      <c r="Y202" s="1731">
        <f>Antecedentes!U31</f>
        <v>0</v>
      </c>
      <c r="Z202" s="1732"/>
      <c r="AA202" s="1732"/>
      <c r="AB202" s="1733"/>
      <c r="AC202" s="1731">
        <f>Antecedentes!Y31</f>
        <v>2</v>
      </c>
      <c r="AD202" s="1732"/>
      <c r="AE202" s="1732"/>
      <c r="AF202" s="1733"/>
      <c r="AG202" s="1731">
        <f>Antecedentes!AC31</f>
        <v>0</v>
      </c>
      <c r="AH202" s="1732"/>
      <c r="AI202" s="1732"/>
      <c r="AJ202" s="1733"/>
      <c r="AK202" s="1731">
        <f>Antecedentes!AG31</f>
        <v>1</v>
      </c>
      <c r="AL202" s="1732"/>
      <c r="AM202" s="1732"/>
      <c r="AN202" s="1733"/>
      <c r="AO202" s="1731">
        <f>Antecedentes!AK31</f>
        <v>0</v>
      </c>
      <c r="AP202" s="1732"/>
      <c r="AQ202" s="1732"/>
      <c r="AR202" s="1732"/>
      <c r="AS202" s="1733"/>
      <c r="AT202" s="1741">
        <f>Antecedentes!AP31</f>
        <v>1</v>
      </c>
      <c r="AU202" s="1742"/>
      <c r="AV202" s="1743"/>
      <c r="AW202" s="1731">
        <f>Antecedentes!AS31</f>
        <v>0</v>
      </c>
      <c r="AX202" s="1732"/>
      <c r="AY202" s="1732"/>
      <c r="AZ202" s="1733"/>
      <c r="BA202" s="1731">
        <f>Antecedentes!AW31</f>
        <v>0</v>
      </c>
      <c r="BB202" s="1732"/>
      <c r="BC202" s="1732"/>
      <c r="BD202" s="1733"/>
      <c r="BE202" s="1731">
        <f>Antecedentes!BA31</f>
        <v>0</v>
      </c>
      <c r="BF202" s="1732"/>
      <c r="BG202" s="1732"/>
      <c r="BH202" s="1732"/>
      <c r="BI202" s="1733"/>
      <c r="BJ202" s="1731">
        <f>Antecedentes!BF31</f>
        <v>0</v>
      </c>
      <c r="BK202" s="1732"/>
      <c r="BL202" s="1732"/>
      <c r="BM202" s="1732"/>
      <c r="BN202" s="1733"/>
      <c r="BO202" s="1734">
        <f>Antecedentes!BK31</f>
        <v>41</v>
      </c>
      <c r="BP202" s="1735"/>
      <c r="BQ202" s="1735"/>
      <c r="BR202" s="1735"/>
      <c r="BS202" s="1735"/>
      <c r="BT202" s="1736"/>
      <c r="BU202" s="878"/>
      <c r="BV202" s="447"/>
      <c r="BW202" s="443"/>
    </row>
    <row r="203" spans="1:75" ht="15" customHeight="1" x14ac:dyDescent="0.2">
      <c r="A203" s="1752"/>
      <c r="C203" s="718" t="s">
        <v>783</v>
      </c>
      <c r="D203" s="713"/>
      <c r="E203" s="713"/>
      <c r="F203" s="713"/>
      <c r="G203" s="713"/>
      <c r="H203" s="713"/>
      <c r="I203" s="713"/>
      <c r="J203" s="713"/>
      <c r="K203" s="712" t="s">
        <v>462</v>
      </c>
      <c r="L203" s="1731">
        <f>Antecedentes!H32</f>
        <v>0</v>
      </c>
      <c r="M203" s="1732"/>
      <c r="N203" s="1733"/>
      <c r="O203" s="1731">
        <f>Antecedentes!K32</f>
        <v>0</v>
      </c>
      <c r="P203" s="1732"/>
      <c r="Q203" s="1733"/>
      <c r="R203" s="1731">
        <f>Antecedentes!N32</f>
        <v>0</v>
      </c>
      <c r="S203" s="1732"/>
      <c r="T203" s="1732"/>
      <c r="U203" s="1733"/>
      <c r="V203" s="1741">
        <f>Antecedentes!R32</f>
        <v>0</v>
      </c>
      <c r="W203" s="1742"/>
      <c r="X203" s="1743"/>
      <c r="Y203" s="1731">
        <f>Antecedentes!U32</f>
        <v>0</v>
      </c>
      <c r="Z203" s="1732"/>
      <c r="AA203" s="1732"/>
      <c r="AB203" s="1733"/>
      <c r="AC203" s="1731">
        <f>Antecedentes!Y32</f>
        <v>0</v>
      </c>
      <c r="AD203" s="1732"/>
      <c r="AE203" s="1732"/>
      <c r="AF203" s="1733"/>
      <c r="AG203" s="1731">
        <f>Antecedentes!AC32</f>
        <v>0</v>
      </c>
      <c r="AH203" s="1732"/>
      <c r="AI203" s="1732"/>
      <c r="AJ203" s="1733"/>
      <c r="AK203" s="1731">
        <f>Antecedentes!AG32</f>
        <v>0</v>
      </c>
      <c r="AL203" s="1732"/>
      <c r="AM203" s="1732"/>
      <c r="AN203" s="1733"/>
      <c r="AO203" s="1731">
        <f>Antecedentes!AK32</f>
        <v>0</v>
      </c>
      <c r="AP203" s="1732"/>
      <c r="AQ203" s="1732"/>
      <c r="AR203" s="1732"/>
      <c r="AS203" s="1733"/>
      <c r="AT203" s="1741">
        <f>Antecedentes!AP32</f>
        <v>0</v>
      </c>
      <c r="AU203" s="1742"/>
      <c r="AV203" s="1743"/>
      <c r="AW203" s="1731">
        <f>Antecedentes!AS32</f>
        <v>0</v>
      </c>
      <c r="AX203" s="1732"/>
      <c r="AY203" s="1732"/>
      <c r="AZ203" s="1733"/>
      <c r="BA203" s="1731">
        <f>Antecedentes!AW32</f>
        <v>0</v>
      </c>
      <c r="BB203" s="1732"/>
      <c r="BC203" s="1732"/>
      <c r="BD203" s="1733"/>
      <c r="BE203" s="1731">
        <f>Antecedentes!BA32</f>
        <v>0</v>
      </c>
      <c r="BF203" s="1732"/>
      <c r="BG203" s="1732"/>
      <c r="BH203" s="1732"/>
      <c r="BI203" s="1733"/>
      <c r="BJ203" s="1731">
        <f>Antecedentes!BF32</f>
        <v>0</v>
      </c>
      <c r="BK203" s="1732"/>
      <c r="BL203" s="1732"/>
      <c r="BM203" s="1732"/>
      <c r="BN203" s="1733"/>
      <c r="BO203" s="1734" t="str">
        <f>Antecedentes!BK32</f>
        <v/>
      </c>
      <c r="BP203" s="1735"/>
      <c r="BQ203" s="1735"/>
      <c r="BR203" s="1735"/>
      <c r="BS203" s="1735"/>
      <c r="BT203" s="1736"/>
      <c r="BU203" s="878"/>
      <c r="BV203" s="447"/>
      <c r="BW203" s="443"/>
    </row>
    <row r="204" spans="1:75" ht="15" customHeight="1" x14ac:dyDescent="0.2">
      <c r="A204" s="1752"/>
      <c r="C204" s="732" t="s">
        <v>785</v>
      </c>
      <c r="D204" s="733"/>
      <c r="E204" s="733"/>
      <c r="F204" s="733"/>
      <c r="G204" s="733"/>
      <c r="H204" s="733"/>
      <c r="I204" s="733"/>
      <c r="J204" s="733"/>
      <c r="K204" s="490" t="s">
        <v>462</v>
      </c>
      <c r="L204" s="1731">
        <f>Antecedentes!H33</f>
        <v>0</v>
      </c>
      <c r="M204" s="1732"/>
      <c r="N204" s="1733"/>
      <c r="O204" s="1731">
        <f>Antecedentes!K33</f>
        <v>0</v>
      </c>
      <c r="P204" s="1732"/>
      <c r="Q204" s="1733"/>
      <c r="R204" s="1731">
        <f>Antecedentes!N33</f>
        <v>0</v>
      </c>
      <c r="S204" s="1732"/>
      <c r="T204" s="1732"/>
      <c r="U204" s="1733"/>
      <c r="V204" s="1741">
        <f>Antecedentes!R33</f>
        <v>0</v>
      </c>
      <c r="W204" s="1742"/>
      <c r="X204" s="1743"/>
      <c r="Y204" s="1731">
        <f>Antecedentes!U33</f>
        <v>0</v>
      </c>
      <c r="Z204" s="1732"/>
      <c r="AA204" s="1732"/>
      <c r="AB204" s="1733"/>
      <c r="AC204" s="1731">
        <f>Antecedentes!Y33</f>
        <v>0</v>
      </c>
      <c r="AD204" s="1732"/>
      <c r="AE204" s="1732"/>
      <c r="AF204" s="1733"/>
      <c r="AG204" s="1731">
        <f>Antecedentes!AC33</f>
        <v>0</v>
      </c>
      <c r="AH204" s="1732"/>
      <c r="AI204" s="1732"/>
      <c r="AJ204" s="1733"/>
      <c r="AK204" s="1731">
        <f>Antecedentes!AG33</f>
        <v>0</v>
      </c>
      <c r="AL204" s="1732"/>
      <c r="AM204" s="1732"/>
      <c r="AN204" s="1733"/>
      <c r="AO204" s="1731">
        <f>Antecedentes!AK33</f>
        <v>0</v>
      </c>
      <c r="AP204" s="1732"/>
      <c r="AQ204" s="1732"/>
      <c r="AR204" s="1732"/>
      <c r="AS204" s="1733"/>
      <c r="AT204" s="1741">
        <f>Antecedentes!AP33</f>
        <v>0</v>
      </c>
      <c r="AU204" s="1742"/>
      <c r="AV204" s="1743"/>
      <c r="AW204" s="1731">
        <f>Antecedentes!AS33</f>
        <v>0</v>
      </c>
      <c r="AX204" s="1732"/>
      <c r="AY204" s="1732"/>
      <c r="AZ204" s="1733"/>
      <c r="BA204" s="1731">
        <f>Antecedentes!AW33</f>
        <v>0</v>
      </c>
      <c r="BB204" s="1732"/>
      <c r="BC204" s="1732"/>
      <c r="BD204" s="1733"/>
      <c r="BE204" s="1731">
        <f>Antecedentes!BA33</f>
        <v>0</v>
      </c>
      <c r="BF204" s="1732"/>
      <c r="BG204" s="1732"/>
      <c r="BH204" s="1732"/>
      <c r="BI204" s="1733"/>
      <c r="BJ204" s="1731">
        <f>Antecedentes!BF33</f>
        <v>0</v>
      </c>
      <c r="BK204" s="1732"/>
      <c r="BL204" s="1732"/>
      <c r="BM204" s="1732"/>
      <c r="BN204" s="1733"/>
      <c r="BO204" s="1734" t="str">
        <f>Antecedentes!BK33</f>
        <v/>
      </c>
      <c r="BP204" s="1735"/>
      <c r="BQ204" s="1735"/>
      <c r="BR204" s="1735"/>
      <c r="BS204" s="1735"/>
      <c r="BT204" s="1736"/>
      <c r="BU204" s="878"/>
      <c r="BV204" s="447"/>
      <c r="BW204" s="443"/>
    </row>
    <row r="205" spans="1:75" ht="15" customHeight="1" x14ac:dyDescent="0.2">
      <c r="A205" s="1752"/>
      <c r="C205" s="1739" t="s">
        <v>786</v>
      </c>
      <c r="D205" s="1740"/>
      <c r="E205" s="1740"/>
      <c r="F205" s="487" t="s">
        <v>2711</v>
      </c>
      <c r="G205" s="487"/>
      <c r="H205" s="487"/>
      <c r="I205" s="487"/>
      <c r="J205" s="487"/>
      <c r="K205" s="487"/>
      <c r="L205" s="487"/>
      <c r="M205" s="487"/>
      <c r="N205" s="487"/>
      <c r="O205" s="1748">
        <f>SUM(L201:BN204)</f>
        <v>6</v>
      </c>
      <c r="P205" s="1748"/>
      <c r="Q205" s="1748"/>
      <c r="R205" s="1748"/>
      <c r="S205" s="1748"/>
      <c r="T205" s="1748"/>
      <c r="U205" s="1748"/>
      <c r="V205" s="1748"/>
      <c r="W205" s="1748"/>
      <c r="X205" s="1748" t="s">
        <v>788</v>
      </c>
      <c r="Y205" s="1748"/>
      <c r="Z205" s="1748"/>
      <c r="AA205" s="1748"/>
      <c r="AB205" s="1740">
        <f>SUM(Y201:AF204)</f>
        <v>2</v>
      </c>
      <c r="AC205" s="1740"/>
      <c r="AD205" s="1740"/>
      <c r="AE205" s="1740"/>
      <c r="AF205" s="1748" t="s">
        <v>789</v>
      </c>
      <c r="AG205" s="1748"/>
      <c r="AH205" s="1748"/>
      <c r="AI205" s="1748"/>
      <c r="AJ205" s="1748">
        <f>SUM(AT201:AZ204)</f>
        <v>1</v>
      </c>
      <c r="AK205" s="1748"/>
      <c r="AL205" s="1748"/>
      <c r="AM205" s="1748"/>
      <c r="AN205" s="1908" t="s">
        <v>790</v>
      </c>
      <c r="AO205" s="1908"/>
      <c r="AP205" s="1908"/>
      <c r="AQ205" s="1908"/>
      <c r="AR205" s="1908"/>
      <c r="AS205" s="1740">
        <f>SUM(AG201:AJ204)</f>
        <v>0</v>
      </c>
      <c r="AT205" s="1740"/>
      <c r="AU205" s="1740"/>
      <c r="AV205" s="1785" t="s">
        <v>791</v>
      </c>
      <c r="AW205" s="1785"/>
      <c r="AX205" s="1785"/>
      <c r="AY205" s="1785"/>
      <c r="AZ205" s="1785"/>
      <c r="BA205" s="1785"/>
      <c r="BB205" s="1740">
        <f>SUM(BA201:BD204)</f>
        <v>0</v>
      </c>
      <c r="BC205" s="1740"/>
      <c r="BD205" s="1740"/>
      <c r="BE205" s="1740"/>
      <c r="BF205" s="1740"/>
      <c r="BG205" s="1740"/>
      <c r="BH205" s="1740"/>
      <c r="BI205" s="1785" t="s">
        <v>792</v>
      </c>
      <c r="BJ205" s="1785"/>
      <c r="BK205" s="1785"/>
      <c r="BL205" s="1785"/>
      <c r="BM205" s="491" t="s">
        <v>462</v>
      </c>
      <c r="BN205" s="1730">
        <f>SUM(BO201:BT204)+BQ215+BQ216+BQ217</f>
        <v>41</v>
      </c>
      <c r="BO205" s="1730"/>
      <c r="BP205" s="1730"/>
      <c r="BQ205" s="1730"/>
      <c r="BR205" s="1730"/>
      <c r="BS205" s="1730"/>
      <c r="BT205" s="492"/>
      <c r="BV205" s="447"/>
      <c r="BW205" s="443"/>
    </row>
    <row r="206" spans="1:75" ht="15" customHeight="1" thickBot="1" x14ac:dyDescent="0.25">
      <c r="A206" s="1752"/>
      <c r="C206" s="500"/>
      <c r="D206" s="460"/>
      <c r="E206" s="460"/>
      <c r="F206" s="460"/>
      <c r="G206" s="460"/>
      <c r="H206" s="460"/>
      <c r="I206" s="460"/>
      <c r="J206" s="460"/>
      <c r="K206" s="460"/>
      <c r="L206" s="460"/>
      <c r="M206" s="460"/>
      <c r="N206" s="460"/>
      <c r="O206" s="460"/>
      <c r="P206" s="460"/>
      <c r="Q206" s="460"/>
      <c r="R206" s="460"/>
      <c r="S206" s="460"/>
      <c r="T206" s="460"/>
      <c r="U206" s="460"/>
      <c r="V206" s="460"/>
      <c r="W206" s="460"/>
      <c r="X206" s="460"/>
      <c r="Y206" s="460"/>
      <c r="Z206" s="460"/>
      <c r="AA206" s="460"/>
      <c r="AB206" s="460"/>
      <c r="AC206" s="460"/>
      <c r="AD206" s="460"/>
      <c r="AE206" s="460"/>
      <c r="AF206" s="460"/>
      <c r="AG206" s="460"/>
      <c r="AH206" s="460"/>
      <c r="AI206" s="460"/>
      <c r="AJ206" s="460"/>
      <c r="AK206" s="460"/>
      <c r="AL206" s="460"/>
      <c r="AM206" s="460"/>
      <c r="AN206" s="460"/>
      <c r="AO206" s="460"/>
      <c r="AP206" s="460"/>
      <c r="AQ206" s="460"/>
      <c r="BV206" s="447"/>
      <c r="BW206" s="443"/>
    </row>
    <row r="207" spans="1:75" ht="15" customHeight="1" x14ac:dyDescent="0.2">
      <c r="A207" s="1752"/>
      <c r="C207" s="1909" t="s">
        <v>737</v>
      </c>
      <c r="D207" s="1910"/>
      <c r="E207" s="1910"/>
      <c r="F207" s="1910"/>
      <c r="G207" s="1910"/>
      <c r="H207" s="1910"/>
      <c r="I207" s="1910"/>
      <c r="J207" s="1910"/>
      <c r="K207" s="1910"/>
      <c r="L207" s="1910"/>
      <c r="M207" s="1910"/>
      <c r="N207" s="1910"/>
      <c r="O207" s="1910"/>
      <c r="P207" s="1910"/>
      <c r="Q207" s="1910"/>
      <c r="R207" s="1910"/>
      <c r="S207" s="1910"/>
      <c r="T207" s="1910"/>
      <c r="U207" s="1910"/>
      <c r="V207" s="1910"/>
      <c r="W207" s="1910"/>
      <c r="X207" s="1910"/>
      <c r="Y207" s="1910"/>
      <c r="Z207" s="1910"/>
      <c r="AA207" s="1910"/>
      <c r="AB207" s="1910"/>
      <c r="AC207" s="1910"/>
      <c r="AD207" s="1910"/>
      <c r="AE207" s="1910"/>
      <c r="AF207" s="1910"/>
      <c r="AG207" s="1910"/>
      <c r="AH207" s="1910"/>
      <c r="AI207" s="1910"/>
      <c r="AJ207" s="1910"/>
      <c r="AK207" s="1910"/>
      <c r="AL207" s="1910"/>
      <c r="AM207" s="1910"/>
      <c r="AN207" s="1910"/>
      <c r="AO207" s="1910"/>
      <c r="AP207" s="452"/>
      <c r="AQ207" s="452"/>
      <c r="AR207" s="452"/>
      <c r="AS207" s="452"/>
      <c r="AT207" s="452"/>
      <c r="AU207" s="452"/>
      <c r="AV207" s="452"/>
      <c r="AW207" s="452"/>
      <c r="AX207" s="452"/>
      <c r="AY207" s="452"/>
      <c r="AZ207" s="452"/>
      <c r="BA207" s="452"/>
      <c r="BB207" s="452"/>
      <c r="BC207" s="452"/>
      <c r="BD207" s="452"/>
      <c r="BE207" s="452"/>
      <c r="BF207" s="452"/>
      <c r="BG207" s="452"/>
      <c r="BH207" s="452"/>
      <c r="BI207" s="452"/>
      <c r="BJ207" s="452"/>
      <c r="BK207" s="452"/>
      <c r="BL207" s="452"/>
      <c r="BM207" s="452"/>
      <c r="BN207" s="452"/>
      <c r="BO207" s="452"/>
      <c r="BP207" s="452"/>
      <c r="BQ207" s="452"/>
      <c r="BR207" s="452"/>
      <c r="BS207" s="452"/>
      <c r="BT207" s="452"/>
      <c r="BU207" s="452"/>
      <c r="BV207" s="474"/>
      <c r="BW207" s="443"/>
    </row>
    <row r="208" spans="1:75" ht="15" customHeight="1" x14ac:dyDescent="0.2">
      <c r="A208" s="1752"/>
      <c r="C208" s="734" t="s">
        <v>740</v>
      </c>
      <c r="D208" s="487"/>
      <c r="E208" s="487"/>
      <c r="F208" s="487"/>
      <c r="G208" s="487"/>
      <c r="H208" s="487"/>
      <c r="I208" s="487"/>
      <c r="J208" s="487"/>
      <c r="K208" s="493" t="s">
        <v>462</v>
      </c>
      <c r="L208" s="1783" t="str">
        <f>Antecedentes!H21</f>
        <v>SI</v>
      </c>
      <c r="M208" s="1783"/>
      <c r="N208" s="467"/>
      <c r="O208" s="467"/>
      <c r="P208" s="467"/>
      <c r="Q208" s="467"/>
      <c r="R208" s="467"/>
      <c r="S208" s="467"/>
      <c r="T208" s="488"/>
      <c r="U208" s="492"/>
      <c r="V208" s="1782" t="s">
        <v>741</v>
      </c>
      <c r="W208" s="1740"/>
      <c r="X208" s="1740"/>
      <c r="Y208" s="1740"/>
      <c r="Z208" s="1740"/>
      <c r="AA208" s="494" t="s">
        <v>462</v>
      </c>
      <c r="AB208" s="1783" t="str">
        <f>Antecedentes!P21</f>
        <v>NO</v>
      </c>
      <c r="AC208" s="1783"/>
      <c r="AD208" s="1783"/>
      <c r="AE208" s="488"/>
      <c r="AF208" s="488"/>
      <c r="AG208" s="488"/>
      <c r="AH208" s="488"/>
      <c r="AI208" s="488"/>
      <c r="AJ208" s="488"/>
      <c r="AK208" s="488"/>
      <c r="AL208" s="488"/>
      <c r="AM208" s="492"/>
      <c r="AN208" s="1782" t="s">
        <v>742</v>
      </c>
      <c r="AO208" s="1740"/>
      <c r="AP208" s="1740"/>
      <c r="AQ208" s="1740"/>
      <c r="AR208" s="1740"/>
      <c r="AS208" s="1740"/>
      <c r="AT208" s="1740"/>
      <c r="AU208" s="1740"/>
      <c r="AV208" s="494" t="s">
        <v>462</v>
      </c>
      <c r="AW208" s="1751" t="str">
        <f>Antecedentes!AB21</f>
        <v>NO</v>
      </c>
      <c r="AX208" s="1751"/>
      <c r="AY208" s="495"/>
      <c r="AZ208" s="488"/>
      <c r="BA208" s="488"/>
      <c r="BB208" s="488"/>
      <c r="BC208" s="488"/>
      <c r="BD208" s="488"/>
      <c r="BE208" s="492"/>
      <c r="BF208" s="487" t="s">
        <v>743</v>
      </c>
      <c r="BG208" s="487"/>
      <c r="BH208" s="487"/>
      <c r="BI208" s="487"/>
      <c r="BJ208" s="487"/>
      <c r="BK208" s="487"/>
      <c r="BL208" s="487"/>
      <c r="BM208" s="494" t="s">
        <v>462</v>
      </c>
      <c r="BN208" s="735" t="str">
        <f>Antecedentes!AL21</f>
        <v>NO</v>
      </c>
      <c r="BO208" s="735"/>
      <c r="BP208" s="735"/>
      <c r="BQ208" s="735"/>
      <c r="BR208" s="735"/>
      <c r="BS208" s="735"/>
      <c r="BT208" s="736"/>
      <c r="BU208" s="879"/>
      <c r="BV208" s="447"/>
      <c r="BW208" s="443"/>
    </row>
    <row r="209" spans="1:75" ht="15" customHeight="1" x14ac:dyDescent="0.2">
      <c r="A209" s="1752"/>
      <c r="C209" s="734" t="s">
        <v>746</v>
      </c>
      <c r="D209" s="487"/>
      <c r="E209" s="487"/>
      <c r="F209" s="487"/>
      <c r="G209" s="487"/>
      <c r="H209" s="487"/>
      <c r="I209" s="487"/>
      <c r="J209" s="487"/>
      <c r="K209" s="494" t="s">
        <v>462</v>
      </c>
      <c r="L209" s="1783" t="str">
        <f>Antecedentes!H22</f>
        <v>NO</v>
      </c>
      <c r="M209" s="1783"/>
      <c r="N209" s="488"/>
      <c r="O209" s="488"/>
      <c r="P209" s="488"/>
      <c r="Q209" s="488"/>
      <c r="R209" s="488"/>
      <c r="S209" s="488"/>
      <c r="T209" s="488"/>
      <c r="U209" s="492"/>
      <c r="V209" s="1782" t="s">
        <v>747</v>
      </c>
      <c r="W209" s="1740"/>
      <c r="X209" s="1740"/>
      <c r="Y209" s="1740"/>
      <c r="Z209" s="1740"/>
      <c r="AA209" s="494" t="s">
        <v>462</v>
      </c>
      <c r="AB209" s="1783" t="str">
        <f>Antecedentes!P22</f>
        <v>SI</v>
      </c>
      <c r="AC209" s="1783"/>
      <c r="AD209" s="1783"/>
      <c r="AE209" s="488"/>
      <c r="AF209" s="488"/>
      <c r="AG209" s="488"/>
      <c r="AH209" s="488"/>
      <c r="AI209" s="488"/>
      <c r="AJ209" s="488"/>
      <c r="AK209" s="488"/>
      <c r="AL209" s="488"/>
      <c r="AM209" s="492"/>
      <c r="AN209" s="1782" t="s">
        <v>748</v>
      </c>
      <c r="AO209" s="1740"/>
      <c r="AP209" s="1740"/>
      <c r="AQ209" s="1740"/>
      <c r="AR209" s="1740"/>
      <c r="AS209" s="1740"/>
      <c r="AT209" s="1740"/>
      <c r="AU209" s="1740"/>
      <c r="AV209" s="494" t="s">
        <v>462</v>
      </c>
      <c r="AW209" s="1751" t="str">
        <f>Antecedentes!AB22</f>
        <v>NO</v>
      </c>
      <c r="AX209" s="1751"/>
      <c r="AY209" s="495"/>
      <c r="AZ209" s="488"/>
      <c r="BA209" s="488"/>
      <c r="BB209" s="488"/>
      <c r="BC209" s="488"/>
      <c r="BD209" s="488"/>
      <c r="BE209" s="492"/>
      <c r="BF209" s="487" t="s">
        <v>749</v>
      </c>
      <c r="BG209" s="487"/>
      <c r="BH209" s="487"/>
      <c r="BI209" s="487"/>
      <c r="BJ209" s="487"/>
      <c r="BK209" s="487"/>
      <c r="BL209" s="487"/>
      <c r="BM209" s="494" t="s">
        <v>462</v>
      </c>
      <c r="BN209" s="735" t="str">
        <f>Antecedentes!AL22</f>
        <v>NO</v>
      </c>
      <c r="BO209" s="735"/>
      <c r="BP209" s="735"/>
      <c r="BQ209" s="735"/>
      <c r="BR209" s="735"/>
      <c r="BS209" s="735"/>
      <c r="BT209" s="736"/>
      <c r="BU209" s="879"/>
      <c r="BV209" s="447"/>
      <c r="BW209" s="443"/>
    </row>
    <row r="210" spans="1:75" ht="15" customHeight="1" x14ac:dyDescent="0.2">
      <c r="A210" s="1752"/>
      <c r="C210" s="734" t="s">
        <v>752</v>
      </c>
      <c r="D210" s="487"/>
      <c r="E210" s="487"/>
      <c r="F210" s="487"/>
      <c r="G210" s="487"/>
      <c r="H210" s="487"/>
      <c r="I210" s="487"/>
      <c r="J210" s="487"/>
      <c r="K210" s="494" t="s">
        <v>462</v>
      </c>
      <c r="L210" s="1783" t="str">
        <f>Antecedentes!H23</f>
        <v>NO</v>
      </c>
      <c r="M210" s="1783"/>
      <c r="N210" s="488"/>
      <c r="O210" s="488"/>
      <c r="P210" s="488"/>
      <c r="Q210" s="488"/>
      <c r="R210" s="488"/>
      <c r="S210" s="488"/>
      <c r="T210" s="488"/>
      <c r="U210" s="492"/>
      <c r="V210" s="1782" t="s">
        <v>753</v>
      </c>
      <c r="W210" s="1740"/>
      <c r="X210" s="1740"/>
      <c r="Y210" s="1740"/>
      <c r="Z210" s="1740"/>
      <c r="AA210" s="494" t="s">
        <v>462</v>
      </c>
      <c r="AB210" s="1783" t="str">
        <f>Antecedentes!P23</f>
        <v>NO</v>
      </c>
      <c r="AC210" s="1783"/>
      <c r="AD210" s="1783"/>
      <c r="AE210" s="488"/>
      <c r="AF210" s="488"/>
      <c r="AG210" s="488"/>
      <c r="AH210" s="488"/>
      <c r="AI210" s="488"/>
      <c r="AJ210" s="488"/>
      <c r="AK210" s="488"/>
      <c r="AL210" s="488"/>
      <c r="AM210" s="492"/>
      <c r="AN210" s="1782" t="s">
        <v>754</v>
      </c>
      <c r="AO210" s="1740"/>
      <c r="AP210" s="1740"/>
      <c r="AQ210" s="1740"/>
      <c r="AR210" s="1740"/>
      <c r="AS210" s="1740"/>
      <c r="AT210" s="1740"/>
      <c r="AU210" s="1740"/>
      <c r="AV210" s="494" t="s">
        <v>462</v>
      </c>
      <c r="AW210" s="1751" t="str">
        <f>Antecedentes!AB23</f>
        <v>NO</v>
      </c>
      <c r="AX210" s="1751"/>
      <c r="AY210" s="495"/>
      <c r="AZ210" s="488"/>
      <c r="BA210" s="488"/>
      <c r="BB210" s="488"/>
      <c r="BC210" s="488"/>
      <c r="BD210" s="488"/>
      <c r="BE210" s="492"/>
      <c r="BF210" s="487" t="s">
        <v>755</v>
      </c>
      <c r="BG210" s="487"/>
      <c r="BH210" s="487"/>
      <c r="BI210" s="487"/>
      <c r="BJ210" s="487"/>
      <c r="BK210" s="487"/>
      <c r="BL210" s="487"/>
      <c r="BM210" s="494" t="s">
        <v>462</v>
      </c>
      <c r="BN210" s="735" t="str">
        <f>Antecedentes!AL23</f>
        <v>NO</v>
      </c>
      <c r="BO210" s="735"/>
      <c r="BP210" s="735"/>
      <c r="BQ210" s="735"/>
      <c r="BR210" s="735"/>
      <c r="BS210" s="735"/>
      <c r="BT210" s="736"/>
      <c r="BU210" s="879"/>
      <c r="BV210" s="447"/>
      <c r="BW210" s="443"/>
    </row>
    <row r="211" spans="1:75" ht="15" customHeight="1" x14ac:dyDescent="0.2">
      <c r="A211" s="1752"/>
      <c r="C211" s="734" t="s">
        <v>758</v>
      </c>
      <c r="D211" s="487"/>
      <c r="E211" s="487"/>
      <c r="F211" s="487"/>
      <c r="G211" s="487"/>
      <c r="H211" s="487"/>
      <c r="I211" s="487"/>
      <c r="J211" s="487"/>
      <c r="K211" s="494" t="s">
        <v>462</v>
      </c>
      <c r="L211" s="1783" t="str">
        <f>Antecedentes!H24</f>
        <v>NO</v>
      </c>
      <c r="M211" s="1783"/>
      <c r="N211" s="488"/>
      <c r="O211" s="488"/>
      <c r="P211" s="488"/>
      <c r="Q211" s="488"/>
      <c r="R211" s="488"/>
      <c r="S211" s="488"/>
      <c r="T211" s="488"/>
      <c r="U211" s="492"/>
      <c r="V211" s="1782" t="s">
        <v>759</v>
      </c>
      <c r="W211" s="1740"/>
      <c r="X211" s="1740"/>
      <c r="Y211" s="1740"/>
      <c r="Z211" s="1740"/>
      <c r="AA211" s="494" t="s">
        <v>462</v>
      </c>
      <c r="AB211" s="1783" t="str">
        <f>Antecedentes!P24</f>
        <v>NO</v>
      </c>
      <c r="AC211" s="1783"/>
      <c r="AD211" s="1783"/>
      <c r="AE211" s="488"/>
      <c r="AF211" s="488"/>
      <c r="AG211" s="488"/>
      <c r="AH211" s="488"/>
      <c r="AI211" s="488"/>
      <c r="AJ211" s="488"/>
      <c r="AK211" s="488"/>
      <c r="AL211" s="488"/>
      <c r="AM211" s="492"/>
      <c r="AN211" s="1749" t="s">
        <v>1886</v>
      </c>
      <c r="AO211" s="1750"/>
      <c r="AP211" s="1750"/>
      <c r="AQ211" s="1750"/>
      <c r="AR211" s="1750"/>
      <c r="AS211" s="1750"/>
      <c r="AT211" s="1750"/>
      <c r="AU211" s="1750"/>
      <c r="AV211" s="494" t="s">
        <v>462</v>
      </c>
      <c r="AW211" s="1751" t="str">
        <f>Antecedentes!AB24</f>
        <v>NO</v>
      </c>
      <c r="AX211" s="1751"/>
      <c r="AY211" s="495"/>
      <c r="AZ211" s="488"/>
      <c r="BA211" s="488"/>
      <c r="BB211" s="488"/>
      <c r="BC211" s="488"/>
      <c r="BD211" s="488"/>
      <c r="BE211" s="492"/>
      <c r="BF211" s="487" t="s">
        <v>761</v>
      </c>
      <c r="BG211" s="487"/>
      <c r="BH211" s="487"/>
      <c r="BI211" s="487"/>
      <c r="BJ211" s="487"/>
      <c r="BK211" s="487"/>
      <c r="BL211" s="487"/>
      <c r="BM211" s="494" t="s">
        <v>462</v>
      </c>
      <c r="BN211" s="735" t="str">
        <f>Antecedentes!AL24</f>
        <v>NO</v>
      </c>
      <c r="BO211" s="735"/>
      <c r="BP211" s="735"/>
      <c r="BQ211" s="735"/>
      <c r="BR211" s="735"/>
      <c r="BS211" s="735"/>
      <c r="BT211" s="736"/>
      <c r="BU211" s="898"/>
      <c r="BV211" s="447"/>
      <c r="BW211" s="443"/>
    </row>
    <row r="212" spans="1:75" ht="15" customHeight="1" thickBot="1" x14ac:dyDescent="0.25">
      <c r="A212" s="782"/>
      <c r="C212" s="737"/>
      <c r="D212" s="498"/>
      <c r="E212" s="498"/>
      <c r="F212" s="498"/>
      <c r="G212" s="498"/>
      <c r="H212" s="498"/>
      <c r="I212" s="498"/>
      <c r="J212" s="498"/>
      <c r="K212" s="483"/>
      <c r="L212" s="785"/>
      <c r="M212" s="785"/>
      <c r="N212" s="475"/>
      <c r="O212" s="475"/>
      <c r="P212" s="475"/>
      <c r="Q212" s="475"/>
      <c r="R212" s="475"/>
      <c r="S212" s="475"/>
      <c r="T212" s="475"/>
      <c r="U212" s="475"/>
      <c r="V212" s="764"/>
      <c r="W212" s="764"/>
      <c r="X212" s="764"/>
      <c r="Y212" s="764"/>
      <c r="Z212" s="764"/>
      <c r="AA212" s="483"/>
      <c r="AB212" s="785"/>
      <c r="AC212" s="785"/>
      <c r="AD212" s="785"/>
      <c r="AE212" s="475"/>
      <c r="AF212" s="475"/>
      <c r="AG212" s="475"/>
      <c r="AH212" s="475"/>
      <c r="AI212" s="475"/>
      <c r="AJ212" s="475"/>
      <c r="AK212" s="475"/>
      <c r="AL212" s="475"/>
      <c r="AM212" s="475"/>
      <c r="AN212" s="764"/>
      <c r="AO212" s="764"/>
      <c r="AP212" s="764"/>
      <c r="AQ212" s="764"/>
      <c r="AR212" s="764"/>
      <c r="AS212" s="764"/>
      <c r="AT212" s="764"/>
      <c r="AU212" s="764"/>
      <c r="AV212" s="483"/>
      <c r="AW212" s="496"/>
      <c r="AX212" s="496"/>
      <c r="AY212" s="497"/>
      <c r="AZ212" s="475"/>
      <c r="BA212" s="475"/>
      <c r="BB212" s="475"/>
      <c r="BC212" s="475"/>
      <c r="BD212" s="475"/>
      <c r="BE212" s="475"/>
      <c r="BF212" s="498"/>
      <c r="BG212" s="498"/>
      <c r="BH212" s="498"/>
      <c r="BI212" s="498"/>
      <c r="BJ212" s="498"/>
      <c r="BK212" s="498"/>
      <c r="BL212" s="498"/>
      <c r="BM212" s="483"/>
      <c r="BN212" s="738"/>
      <c r="BO212" s="738"/>
      <c r="BP212" s="738"/>
      <c r="BQ212" s="738"/>
      <c r="BR212" s="738"/>
      <c r="BS212" s="738"/>
      <c r="BT212" s="738"/>
      <c r="BU212" s="738"/>
      <c r="BV212" s="476"/>
      <c r="BW212" s="443"/>
    </row>
    <row r="213" spans="1:75" ht="15" customHeight="1" thickBot="1" x14ac:dyDescent="0.25">
      <c r="A213" s="682"/>
      <c r="BW213" s="443"/>
    </row>
    <row r="214" spans="1:75" ht="15" customHeight="1" x14ac:dyDescent="0.2">
      <c r="A214" s="1752" t="s">
        <v>1197</v>
      </c>
      <c r="C214" s="451"/>
      <c r="D214" s="452"/>
      <c r="E214" s="452"/>
      <c r="F214" s="452"/>
      <c r="G214" s="452"/>
      <c r="H214" s="452"/>
      <c r="I214" s="452"/>
      <c r="J214" s="452"/>
      <c r="K214" s="452"/>
      <c r="L214" s="452"/>
      <c r="M214" s="452"/>
      <c r="N214" s="452"/>
      <c r="O214" s="452"/>
      <c r="P214" s="452"/>
      <c r="Q214" s="452"/>
      <c r="R214" s="452"/>
      <c r="S214" s="452"/>
      <c r="T214" s="452"/>
      <c r="U214" s="452"/>
      <c r="V214" s="452"/>
      <c r="W214" s="452"/>
      <c r="X214" s="452"/>
      <c r="Y214" s="452"/>
      <c r="Z214" s="452"/>
      <c r="AA214" s="452"/>
      <c r="AB214" s="452"/>
      <c r="AC214" s="452"/>
      <c r="AD214" s="452"/>
      <c r="AE214" s="452"/>
      <c r="AF214" s="452"/>
      <c r="AG214" s="452"/>
      <c r="AH214" s="452"/>
      <c r="AI214" s="452"/>
      <c r="AJ214" s="452"/>
      <c r="AK214" s="452"/>
      <c r="AL214" s="452"/>
      <c r="AM214" s="452"/>
      <c r="AN214" s="452"/>
      <c r="AO214" s="452"/>
      <c r="AP214" s="452"/>
      <c r="AQ214" s="452"/>
      <c r="AR214" s="452"/>
      <c r="AS214" s="452"/>
      <c r="AT214" s="452"/>
      <c r="AU214" s="452"/>
      <c r="AV214" s="452"/>
      <c r="AW214" s="452"/>
      <c r="AX214" s="452"/>
      <c r="AY214" s="452"/>
      <c r="AZ214" s="452"/>
      <c r="BA214" s="452"/>
      <c r="BB214" s="452"/>
      <c r="BC214" s="452"/>
      <c r="BD214" s="452"/>
      <c r="BE214" s="452"/>
      <c r="BF214" s="452"/>
      <c r="BG214" s="452"/>
      <c r="BH214" s="452"/>
      <c r="BI214" s="452"/>
      <c r="BJ214" s="452"/>
      <c r="BK214" s="452"/>
      <c r="BL214" s="452"/>
      <c r="BM214" s="452"/>
      <c r="BN214" s="452"/>
      <c r="BO214" s="452"/>
      <c r="BP214" s="452"/>
      <c r="BQ214" s="452"/>
      <c r="BR214" s="452"/>
      <c r="BS214" s="452"/>
      <c r="BT214" s="452"/>
      <c r="BU214" s="452"/>
      <c r="BV214" s="474"/>
      <c r="BW214" s="443"/>
    </row>
    <row r="215" spans="1:75" ht="15" customHeight="1" x14ac:dyDescent="0.2">
      <c r="A215" s="1752"/>
      <c r="C215" s="1739" t="s">
        <v>1098</v>
      </c>
      <c r="D215" s="1740"/>
      <c r="E215" s="1740"/>
      <c r="F215" s="1740"/>
      <c r="G215" s="1740"/>
      <c r="H215" s="494" t="s">
        <v>462</v>
      </c>
      <c r="I215" s="1731" t="s">
        <v>1107</v>
      </c>
      <c r="J215" s="1732"/>
      <c r="K215" s="1732"/>
      <c r="L215" s="1732"/>
      <c r="M215" s="1732">
        <f>Antecedentes!L26</f>
        <v>0</v>
      </c>
      <c r="N215" s="1732"/>
      <c r="O215" s="1732"/>
      <c r="P215" s="1731" t="s">
        <v>1511</v>
      </c>
      <c r="Q215" s="1732"/>
      <c r="R215" s="1732"/>
      <c r="S215" s="1732"/>
      <c r="T215" s="1732"/>
      <c r="U215" s="1732"/>
      <c r="V215" s="1732"/>
      <c r="W215" s="1732"/>
      <c r="X215" s="1732"/>
      <c r="Y215" s="1742">
        <f>Antecedentes!T26</f>
        <v>0</v>
      </c>
      <c r="Z215" s="1742"/>
      <c r="AA215" s="1742"/>
      <c r="AB215" s="1742"/>
      <c r="AC215" s="1742"/>
      <c r="AD215" s="1742"/>
      <c r="AE215" s="1742"/>
      <c r="AF215" s="1742"/>
      <c r="AG215" s="1743"/>
      <c r="AH215" s="1731" t="s">
        <v>1512</v>
      </c>
      <c r="AI215" s="1732"/>
      <c r="AJ215" s="1732"/>
      <c r="AK215" s="1732"/>
      <c r="AL215" s="1732"/>
      <c r="AM215" s="1732"/>
      <c r="AN215" s="1746">
        <f>Antecedentes!AG26</f>
        <v>0</v>
      </c>
      <c r="AO215" s="1746"/>
      <c r="AP215" s="1746"/>
      <c r="AQ215" s="1746"/>
      <c r="AR215" s="1746"/>
      <c r="AS215" s="1746"/>
      <c r="AT215" s="1747"/>
      <c r="AU215" s="739" t="s">
        <v>1101</v>
      </c>
      <c r="AV215" s="740"/>
      <c r="AW215" s="740"/>
      <c r="AX215" s="740"/>
      <c r="AY215" s="740"/>
      <c r="AZ215" s="1742">
        <f>Antecedentes!AQ26</f>
        <v>0</v>
      </c>
      <c r="BA215" s="1742"/>
      <c r="BB215" s="1742"/>
      <c r="BC215" s="1742"/>
      <c r="BD215" s="1742"/>
      <c r="BE215" s="1742"/>
      <c r="BF215" s="1742"/>
      <c r="BG215" s="1742"/>
      <c r="BH215" s="1742"/>
      <c r="BI215" s="1743"/>
      <c r="BJ215" s="739" t="s">
        <v>1102</v>
      </c>
      <c r="BK215" s="740"/>
      <c r="BL215" s="740"/>
      <c r="BM215" s="740"/>
      <c r="BN215" s="740"/>
      <c r="BO215" s="740"/>
      <c r="BP215" s="740"/>
      <c r="BQ215" s="1786">
        <f>Antecedentes!BH26</f>
        <v>0</v>
      </c>
      <c r="BR215" s="1786"/>
      <c r="BS215" s="1786"/>
      <c r="BT215" s="1787"/>
      <c r="BU215" s="880"/>
      <c r="BV215" s="447"/>
      <c r="BW215" s="443"/>
    </row>
    <row r="216" spans="1:75" ht="15" customHeight="1" x14ac:dyDescent="0.2">
      <c r="A216" s="1752"/>
      <c r="C216" s="1739" t="s">
        <v>1099</v>
      </c>
      <c r="D216" s="1740"/>
      <c r="E216" s="1740"/>
      <c r="F216" s="1740"/>
      <c r="G216" s="1740"/>
      <c r="H216" s="494" t="s">
        <v>462</v>
      </c>
      <c r="I216" s="1731" t="s">
        <v>1107</v>
      </c>
      <c r="J216" s="1732"/>
      <c r="K216" s="1732"/>
      <c r="L216" s="1732"/>
      <c r="M216" s="1732">
        <f>Antecedentes!L27</f>
        <v>0</v>
      </c>
      <c r="N216" s="1732"/>
      <c r="O216" s="1732"/>
      <c r="P216" s="1731" t="s">
        <v>1511</v>
      </c>
      <c r="Q216" s="1732"/>
      <c r="R216" s="1732"/>
      <c r="S216" s="1732"/>
      <c r="T216" s="1732"/>
      <c r="U216" s="1732"/>
      <c r="V216" s="1732"/>
      <c r="W216" s="1732"/>
      <c r="X216" s="1732"/>
      <c r="Y216" s="1742">
        <f>Antecedentes!T27</f>
        <v>0</v>
      </c>
      <c r="Z216" s="1742"/>
      <c r="AA216" s="1742"/>
      <c r="AB216" s="1742"/>
      <c r="AC216" s="1742"/>
      <c r="AD216" s="1742"/>
      <c r="AE216" s="1742"/>
      <c r="AF216" s="1742"/>
      <c r="AG216" s="1743"/>
      <c r="AH216" s="1731" t="s">
        <v>1512</v>
      </c>
      <c r="AI216" s="1732"/>
      <c r="AJ216" s="1732"/>
      <c r="AK216" s="1732"/>
      <c r="AL216" s="1732"/>
      <c r="AM216" s="1732"/>
      <c r="AN216" s="1746">
        <f>Antecedentes!AG27</f>
        <v>0</v>
      </c>
      <c r="AO216" s="1746"/>
      <c r="AP216" s="1746"/>
      <c r="AQ216" s="1746"/>
      <c r="AR216" s="1746"/>
      <c r="AS216" s="1746"/>
      <c r="AT216" s="1747"/>
      <c r="AU216" s="739" t="s">
        <v>1101</v>
      </c>
      <c r="AV216" s="740"/>
      <c r="AW216" s="740"/>
      <c r="AX216" s="740"/>
      <c r="AY216" s="740"/>
      <c r="AZ216" s="1742">
        <f>Antecedentes!AQ27</f>
        <v>0</v>
      </c>
      <c r="BA216" s="1742"/>
      <c r="BB216" s="1742"/>
      <c r="BC216" s="1742"/>
      <c r="BD216" s="1742"/>
      <c r="BE216" s="1742"/>
      <c r="BF216" s="1742"/>
      <c r="BG216" s="1742"/>
      <c r="BH216" s="1742"/>
      <c r="BI216" s="1743"/>
      <c r="BJ216" s="739" t="s">
        <v>1102</v>
      </c>
      <c r="BK216" s="740"/>
      <c r="BL216" s="740"/>
      <c r="BM216" s="740"/>
      <c r="BN216" s="740"/>
      <c r="BO216" s="740"/>
      <c r="BP216" s="740"/>
      <c r="BQ216" s="1786">
        <f>Antecedentes!BH27</f>
        <v>0</v>
      </c>
      <c r="BR216" s="1786"/>
      <c r="BS216" s="1786"/>
      <c r="BT216" s="1787"/>
      <c r="BU216" s="880"/>
      <c r="BV216" s="447"/>
      <c r="BW216" s="443"/>
    </row>
    <row r="217" spans="1:75" ht="15" customHeight="1" x14ac:dyDescent="0.2">
      <c r="A217" s="1752"/>
      <c r="C217" s="1739" t="s">
        <v>1100</v>
      </c>
      <c r="D217" s="1740"/>
      <c r="E217" s="1740"/>
      <c r="F217" s="1740"/>
      <c r="G217" s="1740"/>
      <c r="H217" s="494" t="s">
        <v>462</v>
      </c>
      <c r="I217" s="1731" t="s">
        <v>1107</v>
      </c>
      <c r="J217" s="1732"/>
      <c r="K217" s="1732"/>
      <c r="L217" s="1732"/>
      <c r="M217" s="1732">
        <f>Antecedentes!L28</f>
        <v>0</v>
      </c>
      <c r="N217" s="1732"/>
      <c r="O217" s="1732"/>
      <c r="P217" s="1731" t="s">
        <v>1511</v>
      </c>
      <c r="Q217" s="1732"/>
      <c r="R217" s="1732"/>
      <c r="S217" s="1732"/>
      <c r="T217" s="1732"/>
      <c r="U217" s="1732"/>
      <c r="V217" s="1732"/>
      <c r="W217" s="1732"/>
      <c r="X217" s="1732"/>
      <c r="Y217" s="1742">
        <f>Antecedentes!T28</f>
        <v>0</v>
      </c>
      <c r="Z217" s="1742"/>
      <c r="AA217" s="1742"/>
      <c r="AB217" s="1742"/>
      <c r="AC217" s="1742"/>
      <c r="AD217" s="1742"/>
      <c r="AE217" s="1742"/>
      <c r="AF217" s="1742"/>
      <c r="AG217" s="1743"/>
      <c r="AH217" s="1731" t="s">
        <v>1512</v>
      </c>
      <c r="AI217" s="1732"/>
      <c r="AJ217" s="1732"/>
      <c r="AK217" s="1732"/>
      <c r="AL217" s="1732"/>
      <c r="AM217" s="1732"/>
      <c r="AN217" s="1746">
        <f>Antecedentes!AG28</f>
        <v>0</v>
      </c>
      <c r="AO217" s="1746"/>
      <c r="AP217" s="1746"/>
      <c r="AQ217" s="1746"/>
      <c r="AR217" s="1746"/>
      <c r="AS217" s="1746"/>
      <c r="AT217" s="1747"/>
      <c r="AU217" s="739" t="s">
        <v>1101</v>
      </c>
      <c r="AV217" s="740"/>
      <c r="AW217" s="740"/>
      <c r="AX217" s="740"/>
      <c r="AY217" s="740"/>
      <c r="AZ217" s="1742">
        <f>Antecedentes!AQ28</f>
        <v>0</v>
      </c>
      <c r="BA217" s="1742"/>
      <c r="BB217" s="1742"/>
      <c r="BC217" s="1742"/>
      <c r="BD217" s="1742"/>
      <c r="BE217" s="1742"/>
      <c r="BF217" s="1742"/>
      <c r="BG217" s="1742"/>
      <c r="BH217" s="1742"/>
      <c r="BI217" s="1743"/>
      <c r="BJ217" s="739" t="s">
        <v>1102</v>
      </c>
      <c r="BK217" s="740"/>
      <c r="BL217" s="740"/>
      <c r="BM217" s="740"/>
      <c r="BN217" s="740"/>
      <c r="BO217" s="740"/>
      <c r="BP217" s="740"/>
      <c r="BQ217" s="1786">
        <f>Antecedentes!BH28</f>
        <v>0</v>
      </c>
      <c r="BR217" s="1786"/>
      <c r="BS217" s="1786"/>
      <c r="BT217" s="1787"/>
      <c r="BU217" s="880"/>
      <c r="BV217" s="447"/>
      <c r="BW217" s="443"/>
    </row>
    <row r="218" spans="1:75" ht="15" customHeight="1" thickBot="1" x14ac:dyDescent="0.25">
      <c r="A218" s="1752"/>
      <c r="C218" s="454"/>
      <c r="D218" s="475"/>
      <c r="E218" s="475"/>
      <c r="F218" s="475"/>
      <c r="G218" s="475"/>
      <c r="H218" s="475"/>
      <c r="I218" s="475"/>
      <c r="J218" s="475"/>
      <c r="K218" s="475"/>
      <c r="L218" s="475"/>
      <c r="M218" s="475"/>
      <c r="N218" s="475"/>
      <c r="O218" s="475"/>
      <c r="P218" s="475"/>
      <c r="Q218" s="475"/>
      <c r="R218" s="475"/>
      <c r="S218" s="475"/>
      <c r="T218" s="475"/>
      <c r="U218" s="475"/>
      <c r="V218" s="475"/>
      <c r="W218" s="475"/>
      <c r="X218" s="475"/>
      <c r="Y218" s="475"/>
      <c r="Z218" s="475"/>
      <c r="AA218" s="475"/>
      <c r="AB218" s="475"/>
      <c r="AC218" s="475"/>
      <c r="AD218" s="475"/>
      <c r="AE218" s="475"/>
      <c r="AF218" s="475"/>
      <c r="AG218" s="475"/>
      <c r="AH218" s="475"/>
      <c r="AI218" s="475"/>
      <c r="AJ218" s="475"/>
      <c r="AK218" s="475"/>
      <c r="AL218" s="475"/>
      <c r="AM218" s="475"/>
      <c r="AN218" s="475"/>
      <c r="AO218" s="475"/>
      <c r="AP218" s="475"/>
      <c r="AQ218" s="475"/>
      <c r="AR218" s="475"/>
      <c r="AS218" s="475"/>
      <c r="AT218" s="475"/>
      <c r="AU218" s="475"/>
      <c r="AV218" s="475"/>
      <c r="AW218" s="475"/>
      <c r="AX218" s="475"/>
      <c r="AY218" s="475"/>
      <c r="AZ218" s="475"/>
      <c r="BA218" s="475"/>
      <c r="BB218" s="475"/>
      <c r="BC218" s="475"/>
      <c r="BD218" s="475"/>
      <c r="BE218" s="475"/>
      <c r="BF218" s="475"/>
      <c r="BG218" s="475"/>
      <c r="BH218" s="475"/>
      <c r="BI218" s="475"/>
      <c r="BJ218" s="475"/>
      <c r="BK218" s="475"/>
      <c r="BL218" s="475"/>
      <c r="BM218" s="475"/>
      <c r="BN218" s="475"/>
      <c r="BO218" s="475"/>
      <c r="BP218" s="475"/>
      <c r="BQ218" s="475"/>
      <c r="BR218" s="475"/>
      <c r="BS218" s="475"/>
      <c r="BT218" s="475"/>
      <c r="BU218" s="475"/>
      <c r="BV218" s="476"/>
      <c r="BW218" s="443"/>
    </row>
    <row r="219" spans="1:75" ht="15" customHeight="1" thickBot="1" x14ac:dyDescent="0.25">
      <c r="A219" s="682"/>
      <c r="C219" s="473"/>
      <c r="D219" s="473"/>
      <c r="E219" s="473"/>
      <c r="F219" s="473"/>
      <c r="G219" s="473"/>
      <c r="H219" s="473"/>
      <c r="I219" s="473"/>
      <c r="J219" s="473"/>
      <c r="K219" s="473"/>
      <c r="L219" s="473"/>
      <c r="M219" s="473"/>
      <c r="N219" s="473"/>
      <c r="O219" s="473"/>
      <c r="P219" s="473"/>
      <c r="Q219" s="473"/>
      <c r="R219" s="473"/>
      <c r="S219" s="473"/>
      <c r="T219" s="473"/>
      <c r="U219" s="473"/>
      <c r="V219" s="473"/>
      <c r="W219" s="473"/>
      <c r="X219" s="473"/>
      <c r="Y219" s="473"/>
      <c r="Z219" s="473"/>
      <c r="AA219" s="473"/>
      <c r="AB219" s="473"/>
      <c r="AC219" s="473"/>
      <c r="AD219" s="473"/>
      <c r="AE219" s="473"/>
      <c r="AF219" s="473"/>
      <c r="AG219" s="473"/>
      <c r="AH219" s="473"/>
      <c r="AI219" s="473"/>
      <c r="AJ219" s="473"/>
      <c r="AK219" s="473"/>
      <c r="AL219" s="473"/>
      <c r="AM219" s="473"/>
      <c r="AN219" s="473"/>
      <c r="AO219" s="473"/>
      <c r="AP219" s="473"/>
      <c r="AQ219" s="473"/>
      <c r="AR219" s="473"/>
      <c r="AS219" s="473"/>
      <c r="AT219" s="473"/>
      <c r="AU219" s="473"/>
      <c r="AV219" s="473"/>
      <c r="AW219" s="473"/>
      <c r="AX219" s="473"/>
      <c r="AY219" s="473"/>
      <c r="AZ219" s="473"/>
      <c r="BA219" s="473"/>
      <c r="BB219" s="473"/>
      <c r="BC219" s="473"/>
      <c r="BD219" s="473"/>
      <c r="BE219" s="473"/>
      <c r="BF219" s="473"/>
      <c r="BG219" s="473"/>
      <c r="BH219" s="473"/>
      <c r="BI219" s="473"/>
      <c r="BJ219" s="473"/>
      <c r="BK219" s="473"/>
      <c r="BL219" s="473"/>
      <c r="BM219" s="473"/>
      <c r="BN219" s="473"/>
      <c r="BO219" s="473"/>
      <c r="BP219" s="473"/>
      <c r="BR219" s="621" t="s">
        <v>1825</v>
      </c>
      <c r="BT219" s="666"/>
      <c r="BU219" s="666"/>
      <c r="BV219" s="666"/>
      <c r="BW219" s="443"/>
    </row>
    <row r="220" spans="1:75" ht="15" customHeight="1" x14ac:dyDescent="0.25">
      <c r="A220" s="682"/>
      <c r="C220" s="1673" t="s">
        <v>1202</v>
      </c>
      <c r="D220" s="1674"/>
      <c r="E220" s="1674"/>
      <c r="F220" s="1674"/>
      <c r="G220" s="1674"/>
      <c r="H220" s="1674"/>
      <c r="I220" s="1674"/>
      <c r="J220" s="1674"/>
      <c r="K220" s="1745" t="str">
        <f>K87</f>
        <v>Janeth Patricia Cando Arias</v>
      </c>
      <c r="L220" s="1745"/>
      <c r="M220" s="1745"/>
      <c r="N220" s="1745"/>
      <c r="O220" s="1745"/>
      <c r="P220" s="1745"/>
      <c r="Q220" s="1745"/>
      <c r="R220" s="1745"/>
      <c r="S220" s="1745"/>
      <c r="T220" s="1745"/>
      <c r="U220" s="1745"/>
      <c r="V220" s="1745"/>
      <c r="W220" s="1745"/>
      <c r="X220" s="1745"/>
      <c r="Y220" s="1745"/>
      <c r="Z220" s="1745"/>
      <c r="AA220" s="1745"/>
      <c r="AB220" s="1745"/>
      <c r="AC220" s="1745"/>
      <c r="AD220" s="1745"/>
      <c r="AE220" s="1745"/>
      <c r="AF220" s="1745"/>
      <c r="AG220" s="1745"/>
      <c r="AH220" s="1745"/>
      <c r="AI220" s="1745"/>
      <c r="AJ220" s="1745"/>
      <c r="AK220" s="1745"/>
      <c r="AL220" s="1745"/>
      <c r="AM220" s="1745"/>
      <c r="AN220" s="1745"/>
      <c r="AO220" s="1675" t="s">
        <v>466</v>
      </c>
      <c r="AP220" s="1675"/>
      <c r="AQ220" s="1675"/>
      <c r="AR220" s="1675"/>
      <c r="AS220" s="1675"/>
      <c r="AT220" s="1675"/>
      <c r="AU220" s="1675"/>
      <c r="AV220" s="1675"/>
      <c r="AW220" s="1675"/>
      <c r="AX220" s="1637" t="str">
        <f>AX87</f>
        <v>Coronel Souper N° 4060, Departamento: N°2502 B, Edificio Mirador Souper</v>
      </c>
      <c r="AY220" s="1637"/>
      <c r="AZ220" s="1637"/>
      <c r="BA220" s="1637"/>
      <c r="BB220" s="1637"/>
      <c r="BC220" s="1637"/>
      <c r="BD220" s="1637"/>
      <c r="BE220" s="1637"/>
      <c r="BF220" s="1637"/>
      <c r="BG220" s="1637"/>
      <c r="BH220" s="1637"/>
      <c r="BI220" s="1637"/>
      <c r="BJ220" s="1637"/>
      <c r="BK220" s="1637"/>
      <c r="BL220" s="1637"/>
      <c r="BM220" s="1637"/>
      <c r="BN220" s="1637"/>
      <c r="BO220" s="1637"/>
      <c r="BP220" s="1637"/>
      <c r="BQ220" s="1637"/>
      <c r="BR220" s="1637"/>
      <c r="BS220" s="1637"/>
      <c r="BT220" s="1637"/>
      <c r="BU220" s="1637"/>
      <c r="BV220" s="1638"/>
      <c r="BW220" s="443"/>
    </row>
    <row r="221" spans="1:75" ht="15" customHeight="1" thickBot="1" x14ac:dyDescent="0.25">
      <c r="A221" s="682"/>
      <c r="C221" s="1640" t="s">
        <v>1203</v>
      </c>
      <c r="D221" s="1617"/>
      <c r="E221" s="1617"/>
      <c r="F221" s="1617"/>
      <c r="G221" s="1617"/>
      <c r="H221" s="1617"/>
      <c r="I221" s="1617"/>
      <c r="J221" s="1617"/>
      <c r="K221" s="1784" t="str">
        <f>K88</f>
        <v>22.959.221-1</v>
      </c>
      <c r="L221" s="1784"/>
      <c r="M221" s="1784"/>
      <c r="N221" s="1784"/>
      <c r="O221" s="1784"/>
      <c r="P221" s="1784"/>
      <c r="Q221" s="1784"/>
      <c r="R221" s="1784"/>
      <c r="S221" s="1784"/>
      <c r="T221" s="1784"/>
      <c r="U221" s="1784"/>
      <c r="V221" s="1784"/>
      <c r="W221" s="1784"/>
      <c r="X221" s="1784"/>
      <c r="Y221" s="1784"/>
      <c r="Z221" s="1784"/>
      <c r="AA221" s="1784"/>
      <c r="AB221" s="1784"/>
      <c r="AC221" s="1784"/>
      <c r="AD221" s="1784"/>
      <c r="AE221" s="1784"/>
      <c r="AF221" s="1784"/>
      <c r="AG221" s="1784"/>
      <c r="AH221" s="1784"/>
      <c r="AI221" s="1784"/>
      <c r="AJ221" s="1784"/>
      <c r="AK221" s="1784"/>
      <c r="AL221" s="1784"/>
      <c r="AM221" s="1784"/>
      <c r="AN221" s="1784"/>
      <c r="AO221" s="1641" t="s">
        <v>908</v>
      </c>
      <c r="AP221" s="1641"/>
      <c r="AQ221" s="1641"/>
      <c r="AR221" s="1641"/>
      <c r="AS221" s="1641"/>
      <c r="AT221" s="1641"/>
      <c r="AU221" s="1641"/>
      <c r="AV221" s="1641"/>
      <c r="AW221" s="1641"/>
      <c r="AX221" s="1617" t="str">
        <f>AX88</f>
        <v>AGH -1548</v>
      </c>
      <c r="AY221" s="1617"/>
      <c r="AZ221" s="1617"/>
      <c r="BA221" s="1617"/>
      <c r="BB221" s="1617"/>
      <c r="BC221" s="1617"/>
      <c r="BD221" s="1617"/>
      <c r="BE221" s="1617"/>
      <c r="BF221" s="1617"/>
      <c r="BG221" s="1617"/>
      <c r="BH221" s="1617"/>
      <c r="BI221" s="1617"/>
      <c r="BJ221" s="1617"/>
      <c r="BK221" s="1617"/>
      <c r="BL221" s="1617"/>
      <c r="BM221" s="1617"/>
      <c r="BN221" s="1617"/>
      <c r="BO221" s="1617"/>
      <c r="BP221" s="1617"/>
      <c r="BQ221" s="1617"/>
      <c r="BR221" s="1617"/>
      <c r="BS221" s="1617"/>
      <c r="BT221" s="1617"/>
      <c r="BU221" s="1617"/>
      <c r="BV221" s="1618"/>
      <c r="BW221" s="443"/>
    </row>
    <row r="222" spans="1:75" ht="15" customHeight="1" thickBot="1" x14ac:dyDescent="0.25">
      <c r="AL222" s="479"/>
      <c r="AM222" s="479"/>
      <c r="BW222" s="443"/>
    </row>
    <row r="223" spans="1:75" ht="15" customHeight="1" x14ac:dyDescent="0.2">
      <c r="A223" s="1752" t="s">
        <v>1208</v>
      </c>
      <c r="C223" s="451"/>
      <c r="D223" s="452"/>
      <c r="E223" s="452"/>
      <c r="F223" s="452"/>
      <c r="G223" s="452"/>
      <c r="H223" s="452"/>
      <c r="I223" s="452"/>
      <c r="J223" s="452"/>
      <c r="K223" s="452"/>
      <c r="L223" s="452"/>
      <c r="M223" s="452"/>
      <c r="N223" s="452"/>
      <c r="O223" s="452"/>
      <c r="P223" s="452"/>
      <c r="Q223" s="452"/>
      <c r="R223" s="452"/>
      <c r="S223" s="452"/>
      <c r="T223" s="452"/>
      <c r="U223" s="452"/>
      <c r="V223" s="452"/>
      <c r="W223" s="452"/>
      <c r="X223" s="452"/>
      <c r="Y223" s="452"/>
      <c r="Z223" s="452"/>
      <c r="AA223" s="452"/>
      <c r="AB223" s="452"/>
      <c r="AC223" s="452"/>
      <c r="AD223" s="452"/>
      <c r="AE223" s="452"/>
      <c r="AF223" s="452"/>
      <c r="AG223" s="452"/>
      <c r="AH223" s="452"/>
      <c r="AI223" s="452"/>
      <c r="AJ223" s="452"/>
      <c r="AK223" s="552"/>
      <c r="AL223" s="553"/>
      <c r="AM223" s="549"/>
      <c r="AN223" s="452"/>
      <c r="AO223" s="452"/>
      <c r="AP223" s="452"/>
      <c r="AQ223" s="452"/>
      <c r="AR223" s="452"/>
      <c r="AS223" s="452"/>
      <c r="AT223" s="452"/>
      <c r="AU223" s="452"/>
      <c r="AV223" s="452"/>
      <c r="AW223" s="452"/>
      <c r="AX223" s="452"/>
      <c r="AY223" s="452"/>
      <c r="AZ223" s="452"/>
      <c r="BA223" s="452"/>
      <c r="BB223" s="452"/>
      <c r="BC223" s="452"/>
      <c r="BD223" s="452"/>
      <c r="BE223" s="452"/>
      <c r="BF223" s="452"/>
      <c r="BG223" s="452"/>
      <c r="BH223" s="452"/>
      <c r="BI223" s="452"/>
      <c r="BJ223" s="452"/>
      <c r="BK223" s="452"/>
      <c r="BL223" s="452"/>
      <c r="BM223" s="452"/>
      <c r="BN223" s="452"/>
      <c r="BO223" s="452"/>
      <c r="BP223" s="452"/>
      <c r="BQ223" s="452"/>
      <c r="BR223" s="452"/>
      <c r="BS223" s="452"/>
      <c r="BT223" s="452"/>
      <c r="BU223" s="452"/>
      <c r="BV223" s="474"/>
      <c r="BW223" s="443"/>
    </row>
    <row r="224" spans="1:75" ht="15" customHeight="1" x14ac:dyDescent="0.2">
      <c r="A224" s="1752"/>
      <c r="C224" s="453"/>
      <c r="AK224" s="553"/>
      <c r="AL224" s="553"/>
      <c r="AM224" s="549"/>
      <c r="BV224" s="447"/>
      <c r="BW224" s="443"/>
    </row>
    <row r="225" spans="1:75" ht="15" customHeight="1" x14ac:dyDescent="0.2">
      <c r="A225" s="1752"/>
      <c r="C225" s="453"/>
      <c r="AK225" s="553"/>
      <c r="AL225" s="553"/>
      <c r="AM225" s="549"/>
      <c r="BV225" s="447"/>
      <c r="BW225" s="443"/>
    </row>
    <row r="226" spans="1:75" ht="15" customHeight="1" x14ac:dyDescent="0.2">
      <c r="A226" s="1752"/>
      <c r="C226" s="453"/>
      <c r="AK226" s="553"/>
      <c r="AL226" s="553"/>
      <c r="AM226" s="549"/>
      <c r="BV226" s="447"/>
      <c r="BW226" s="443"/>
    </row>
    <row r="227" spans="1:75" ht="15" customHeight="1" x14ac:dyDescent="0.2">
      <c r="A227" s="1752"/>
      <c r="C227" s="453"/>
      <c r="AK227" s="553"/>
      <c r="AL227" s="553"/>
      <c r="AM227" s="549"/>
      <c r="BV227" s="447"/>
      <c r="BW227" s="443"/>
    </row>
    <row r="228" spans="1:75" ht="15" customHeight="1" x14ac:dyDescent="0.2">
      <c r="A228" s="1752"/>
      <c r="C228" s="453"/>
      <c r="AK228" s="553"/>
      <c r="AL228" s="553"/>
      <c r="AM228" s="549"/>
      <c r="BV228" s="447"/>
      <c r="BW228" s="443"/>
    </row>
    <row r="229" spans="1:75" ht="15" customHeight="1" x14ac:dyDescent="0.2">
      <c r="A229" s="1752"/>
      <c r="C229" s="453"/>
      <c r="AK229" s="553"/>
      <c r="AL229" s="553"/>
      <c r="AM229" s="549"/>
      <c r="BV229" s="447"/>
      <c r="BW229" s="443"/>
    </row>
    <row r="230" spans="1:75" ht="15" customHeight="1" x14ac:dyDescent="0.2">
      <c r="A230" s="1752"/>
      <c r="C230" s="453"/>
      <c r="AK230" s="553"/>
      <c r="AL230" s="553"/>
      <c r="AM230" s="549"/>
      <c r="BV230" s="447"/>
      <c r="BW230" s="443"/>
    </row>
    <row r="231" spans="1:75" ht="15" customHeight="1" x14ac:dyDescent="0.2">
      <c r="A231" s="1752"/>
      <c r="C231" s="453"/>
      <c r="AK231" s="553"/>
      <c r="AL231" s="553"/>
      <c r="AM231" s="549"/>
      <c r="BV231" s="447"/>
      <c r="BW231" s="443"/>
    </row>
    <row r="232" spans="1:75" ht="15" customHeight="1" x14ac:dyDescent="0.2">
      <c r="A232" s="1752"/>
      <c r="C232" s="453"/>
      <c r="AK232" s="553"/>
      <c r="AL232" s="553"/>
      <c r="AM232" s="549"/>
      <c r="BV232" s="447"/>
      <c r="BW232" s="443"/>
    </row>
    <row r="233" spans="1:75" ht="15" customHeight="1" x14ac:dyDescent="0.2">
      <c r="A233" s="1752"/>
      <c r="C233" s="453"/>
      <c r="AK233" s="553"/>
      <c r="AL233" s="553"/>
      <c r="AM233" s="549"/>
      <c r="BV233" s="447"/>
      <c r="BW233" s="443"/>
    </row>
    <row r="234" spans="1:75" ht="15" customHeight="1" x14ac:dyDescent="0.2">
      <c r="A234" s="1752"/>
      <c r="C234" s="453"/>
      <c r="AK234" s="553"/>
      <c r="AL234" s="553"/>
      <c r="AM234" s="549"/>
      <c r="BV234" s="447"/>
      <c r="BW234" s="443"/>
    </row>
    <row r="235" spans="1:75" ht="15" customHeight="1" x14ac:dyDescent="0.2">
      <c r="A235" s="1752"/>
      <c r="C235" s="453"/>
      <c r="AK235" s="553"/>
      <c r="AL235" s="553"/>
      <c r="AM235" s="549"/>
      <c r="BV235" s="447"/>
      <c r="BW235" s="443"/>
    </row>
    <row r="236" spans="1:75" ht="15" customHeight="1" x14ac:dyDescent="0.2">
      <c r="A236" s="1752"/>
      <c r="C236" s="453"/>
      <c r="AK236" s="553"/>
      <c r="AL236" s="553"/>
      <c r="AM236" s="549"/>
      <c r="BV236" s="447"/>
      <c r="BW236" s="443"/>
    </row>
    <row r="237" spans="1:75" ht="15" customHeight="1" x14ac:dyDescent="0.2">
      <c r="A237" s="1752"/>
      <c r="C237" s="453"/>
      <c r="AK237" s="553"/>
      <c r="AL237" s="553"/>
      <c r="AM237" s="549"/>
      <c r="BV237" s="447"/>
      <c r="BW237" s="443"/>
    </row>
    <row r="238" spans="1:75" ht="15" customHeight="1" x14ac:dyDescent="0.2">
      <c r="A238" s="1752"/>
      <c r="C238" s="453"/>
      <c r="AK238" s="553"/>
      <c r="AL238" s="553"/>
      <c r="AM238" s="549"/>
      <c r="BV238" s="447"/>
      <c r="BW238" s="443"/>
    </row>
    <row r="239" spans="1:75" ht="15" customHeight="1" x14ac:dyDescent="0.2">
      <c r="A239" s="1752"/>
      <c r="C239" s="453"/>
      <c r="AK239" s="553"/>
      <c r="AL239" s="553"/>
      <c r="AM239" s="549"/>
      <c r="BV239" s="447"/>
      <c r="BW239" s="443"/>
    </row>
    <row r="240" spans="1:75" ht="15" customHeight="1" x14ac:dyDescent="0.2">
      <c r="A240" s="1752"/>
      <c r="C240" s="453"/>
      <c r="AK240" s="553"/>
      <c r="AL240" s="553"/>
      <c r="AM240" s="549"/>
      <c r="BV240" s="447"/>
      <c r="BW240" s="443"/>
    </row>
    <row r="241" spans="1:88" ht="15" customHeight="1" x14ac:dyDescent="0.2">
      <c r="A241" s="1752"/>
      <c r="C241" s="453"/>
      <c r="AK241" s="553"/>
      <c r="AL241" s="553"/>
      <c r="AM241" s="549"/>
      <c r="BV241" s="447"/>
      <c r="BW241" s="443"/>
      <c r="CJ241" s="741"/>
    </row>
    <row r="242" spans="1:88" ht="15" customHeight="1" x14ac:dyDescent="0.25">
      <c r="A242" s="1752"/>
      <c r="C242" s="1772" t="str">
        <f>'Fotos propiedad'!C24:AK24</f>
        <v>Ubicación</v>
      </c>
      <c r="D242" s="1773"/>
      <c r="E242" s="1773"/>
      <c r="F242" s="1773"/>
      <c r="G242" s="1773"/>
      <c r="H242" s="1773"/>
      <c r="I242" s="1773"/>
      <c r="J242" s="1773"/>
      <c r="K242" s="1773"/>
      <c r="L242" s="1773"/>
      <c r="M242" s="1773"/>
      <c r="N242" s="1773"/>
      <c r="O242" s="1773"/>
      <c r="P242" s="1773"/>
      <c r="Q242" s="1773"/>
      <c r="R242" s="1773"/>
      <c r="S242" s="1773"/>
      <c r="T242" s="1773"/>
      <c r="U242" s="1773"/>
      <c r="V242" s="1773"/>
      <c r="W242" s="1773"/>
      <c r="X242" s="1773"/>
      <c r="Y242" s="1773"/>
      <c r="Z242" s="1773"/>
      <c r="AA242" s="1773"/>
      <c r="AB242" s="1773"/>
      <c r="AC242" s="1773"/>
      <c r="AD242" s="1773"/>
      <c r="AE242" s="1773"/>
      <c r="AF242" s="1773"/>
      <c r="AG242" s="1773"/>
      <c r="AH242" s="1773"/>
      <c r="AI242" s="1773"/>
      <c r="AJ242" s="1773"/>
      <c r="AK242" s="1773"/>
      <c r="AL242" s="815"/>
      <c r="AM242" s="816"/>
      <c r="AN242" s="1774" t="str">
        <f>'Fotos propiedad'!AN24:BU24</f>
        <v>Planificación</v>
      </c>
      <c r="AO242" s="1774"/>
      <c r="AP242" s="1774"/>
      <c r="AQ242" s="1774"/>
      <c r="AR242" s="1774"/>
      <c r="AS242" s="1774"/>
      <c r="AT242" s="1774"/>
      <c r="AU242" s="1774"/>
      <c r="AV242" s="1774"/>
      <c r="AW242" s="1774"/>
      <c r="AX242" s="1774"/>
      <c r="AY242" s="1774"/>
      <c r="AZ242" s="1774"/>
      <c r="BA242" s="1774"/>
      <c r="BB242" s="1774"/>
      <c r="BC242" s="1774"/>
      <c r="BD242" s="1774"/>
      <c r="BE242" s="1774"/>
      <c r="BF242" s="1774"/>
      <c r="BG242" s="1774"/>
      <c r="BH242" s="1774"/>
      <c r="BI242" s="1774"/>
      <c r="BJ242" s="1774"/>
      <c r="BK242" s="1774"/>
      <c r="BL242" s="1774"/>
      <c r="BM242" s="1774"/>
      <c r="BN242" s="1774"/>
      <c r="BO242" s="1774"/>
      <c r="BP242" s="1774"/>
      <c r="BQ242" s="1774"/>
      <c r="BR242" s="1774"/>
      <c r="BS242" s="1774"/>
      <c r="BT242" s="1774"/>
      <c r="BU242" s="1774"/>
      <c r="BV242" s="1775"/>
      <c r="BW242" s="443"/>
    </row>
    <row r="243" spans="1:88" ht="15" customHeight="1" x14ac:dyDescent="0.2">
      <c r="A243" s="1752"/>
      <c r="C243" s="453"/>
      <c r="AK243" s="553"/>
      <c r="AL243" s="553"/>
      <c r="AM243" s="549"/>
      <c r="AN243" s="460"/>
      <c r="AO243" s="460"/>
      <c r="AP243" s="460"/>
      <c r="AQ243" s="460"/>
      <c r="AR243" s="460"/>
      <c r="AS243" s="460"/>
      <c r="AT243" s="460"/>
      <c r="AU243" s="460"/>
      <c r="AV243" s="460"/>
      <c r="AW243" s="460"/>
      <c r="AX243" s="460"/>
      <c r="AY243" s="460"/>
      <c r="AZ243" s="460"/>
      <c r="BA243" s="460"/>
      <c r="BB243" s="460"/>
      <c r="BC243" s="460"/>
      <c r="BD243" s="460"/>
      <c r="BE243" s="460"/>
      <c r="BF243" s="460"/>
      <c r="BG243" s="460"/>
      <c r="BH243" s="460"/>
      <c r="BI243" s="460"/>
      <c r="BJ243" s="460"/>
      <c r="BK243" s="460"/>
      <c r="BL243" s="460"/>
      <c r="BM243" s="460"/>
      <c r="BN243" s="460"/>
      <c r="BO243" s="460"/>
      <c r="BP243" s="460"/>
      <c r="BQ243" s="460"/>
      <c r="BR243" s="460"/>
      <c r="BS243" s="460"/>
      <c r="BT243" s="460"/>
      <c r="BU243" s="460"/>
      <c r="BV243" s="501"/>
      <c r="BW243" s="443"/>
      <c r="CJ243" s="741"/>
    </row>
    <row r="244" spans="1:88" ht="15" customHeight="1" x14ac:dyDescent="0.2">
      <c r="A244" s="1752"/>
      <c r="C244" s="453"/>
      <c r="AK244" s="553"/>
      <c r="AL244" s="553"/>
      <c r="AM244" s="549"/>
      <c r="BV244" s="447"/>
      <c r="BW244" s="443"/>
    </row>
    <row r="245" spans="1:88" ht="15" customHeight="1" x14ac:dyDescent="0.2">
      <c r="A245" s="1752"/>
      <c r="C245" s="453"/>
      <c r="AK245" s="553"/>
      <c r="AL245" s="553"/>
      <c r="AM245" s="549"/>
      <c r="BV245" s="447"/>
      <c r="BW245" s="443"/>
    </row>
    <row r="246" spans="1:88" ht="15" customHeight="1" x14ac:dyDescent="0.2">
      <c r="A246" s="1752"/>
      <c r="C246" s="453"/>
      <c r="AK246" s="553"/>
      <c r="AL246" s="553"/>
      <c r="AM246" s="549"/>
      <c r="BV246" s="447"/>
      <c r="BW246" s="453"/>
    </row>
    <row r="247" spans="1:88" ht="15" customHeight="1" x14ac:dyDescent="0.2">
      <c r="A247" s="1752"/>
      <c r="C247" s="453"/>
      <c r="AK247" s="553"/>
      <c r="AL247" s="553"/>
      <c r="AM247" s="549"/>
      <c r="BV247" s="447"/>
      <c r="BW247" s="453"/>
    </row>
    <row r="248" spans="1:88" ht="15" customHeight="1" x14ac:dyDescent="0.2">
      <c r="A248" s="1752"/>
      <c r="C248" s="453"/>
      <c r="AK248" s="553"/>
      <c r="AL248" s="553"/>
      <c r="AM248" s="549"/>
      <c r="BV248" s="447"/>
      <c r="BW248" s="453"/>
    </row>
    <row r="249" spans="1:88" ht="15" customHeight="1" x14ac:dyDescent="0.2">
      <c r="A249" s="1752"/>
      <c r="C249" s="453"/>
      <c r="AK249" s="553"/>
      <c r="AL249" s="553"/>
      <c r="AM249" s="549"/>
      <c r="BV249" s="447"/>
      <c r="BW249" s="443"/>
    </row>
    <row r="250" spans="1:88" ht="15" customHeight="1" x14ac:dyDescent="0.2">
      <c r="A250" s="1752"/>
      <c r="C250" s="453"/>
      <c r="AK250" s="553"/>
      <c r="AL250" s="553"/>
      <c r="AM250" s="549"/>
      <c r="BV250" s="447"/>
      <c r="BW250" s="443"/>
    </row>
    <row r="251" spans="1:88" ht="15" customHeight="1" x14ac:dyDescent="0.2">
      <c r="A251" s="1752"/>
      <c r="C251" s="453"/>
      <c r="AK251" s="553"/>
      <c r="AL251" s="553"/>
      <c r="AM251" s="549"/>
      <c r="BV251" s="447"/>
      <c r="BW251" s="443"/>
    </row>
    <row r="252" spans="1:88" ht="15" customHeight="1" x14ac:dyDescent="0.2">
      <c r="A252" s="1752"/>
      <c r="C252" s="453"/>
      <c r="AK252" s="553"/>
      <c r="AL252" s="553"/>
      <c r="AM252" s="549"/>
      <c r="BV252" s="447"/>
      <c r="BW252" s="443"/>
    </row>
    <row r="253" spans="1:88" ht="15" customHeight="1" x14ac:dyDescent="0.2">
      <c r="A253" s="1752"/>
      <c r="C253" s="453"/>
      <c r="AK253" s="553"/>
      <c r="AL253" s="553"/>
      <c r="AM253" s="549"/>
      <c r="BV253" s="447"/>
      <c r="BW253" s="443"/>
    </row>
    <row r="254" spans="1:88" ht="15" customHeight="1" x14ac:dyDescent="0.2">
      <c r="A254" s="1752"/>
      <c r="C254" s="453"/>
      <c r="AK254" s="553"/>
      <c r="AL254" s="553"/>
      <c r="AM254" s="549"/>
      <c r="BV254" s="447"/>
      <c r="BW254" s="443"/>
    </row>
    <row r="255" spans="1:88" ht="15" customHeight="1" x14ac:dyDescent="0.2">
      <c r="A255" s="1752"/>
      <c r="C255" s="453"/>
      <c r="AK255" s="553"/>
      <c r="AL255" s="553"/>
      <c r="AM255" s="549"/>
      <c r="BV255" s="447"/>
      <c r="BW255" s="443"/>
    </row>
    <row r="256" spans="1:88" ht="15" customHeight="1" x14ac:dyDescent="0.2">
      <c r="A256" s="1752"/>
      <c r="C256" s="453"/>
      <c r="AK256" s="553"/>
      <c r="AL256" s="553"/>
      <c r="AM256" s="549"/>
      <c r="BV256" s="447"/>
      <c r="BW256" s="443"/>
    </row>
    <row r="257" spans="1:75" ht="15" customHeight="1" x14ac:dyDescent="0.2">
      <c r="A257" s="1752"/>
      <c r="C257" s="453"/>
      <c r="AK257" s="553"/>
      <c r="AL257" s="553"/>
      <c r="AM257" s="549"/>
      <c r="BV257" s="447"/>
      <c r="BW257" s="443"/>
    </row>
    <row r="258" spans="1:75" ht="15" customHeight="1" x14ac:dyDescent="0.2">
      <c r="A258" s="1752"/>
      <c r="C258" s="453"/>
      <c r="AK258" s="553"/>
      <c r="AL258" s="553"/>
      <c r="AM258" s="549"/>
      <c r="BV258" s="447"/>
      <c r="BW258" s="443"/>
    </row>
    <row r="259" spans="1:75" ht="15" customHeight="1" x14ac:dyDescent="0.2">
      <c r="A259" s="1752"/>
      <c r="C259" s="453"/>
      <c r="AK259" s="553"/>
      <c r="AL259" s="553"/>
      <c r="AM259" s="549"/>
      <c r="BV259" s="447"/>
      <c r="BW259" s="443"/>
    </row>
    <row r="260" spans="1:75" ht="15" customHeight="1" x14ac:dyDescent="0.2">
      <c r="A260" s="1752"/>
      <c r="C260" s="453"/>
      <c r="AK260" s="553"/>
      <c r="AL260" s="553"/>
      <c r="AM260" s="549"/>
      <c r="BV260" s="447"/>
      <c r="BW260" s="443"/>
    </row>
    <row r="261" spans="1:75" ht="15" customHeight="1" x14ac:dyDescent="0.2">
      <c r="A261" s="1752"/>
      <c r="C261" s="453"/>
      <c r="AK261" s="553"/>
      <c r="AL261" s="553"/>
      <c r="AM261" s="549"/>
      <c r="BV261" s="447"/>
      <c r="BW261" s="443"/>
    </row>
    <row r="262" spans="1:75" ht="15" customHeight="1" x14ac:dyDescent="0.3">
      <c r="A262" s="1752"/>
      <c r="C262" s="1772" t="str">
        <f>'Fotos propiedad'!C44:AK44</f>
        <v>Fachada</v>
      </c>
      <c r="D262" s="1773"/>
      <c r="E262" s="1773"/>
      <c r="F262" s="1773"/>
      <c r="G262" s="1773"/>
      <c r="H262" s="1773"/>
      <c r="I262" s="1773"/>
      <c r="J262" s="1773"/>
      <c r="K262" s="1773"/>
      <c r="L262" s="1773"/>
      <c r="M262" s="1773"/>
      <c r="N262" s="1773"/>
      <c r="O262" s="1773"/>
      <c r="P262" s="1773"/>
      <c r="Q262" s="1773"/>
      <c r="R262" s="1773"/>
      <c r="S262" s="1773"/>
      <c r="T262" s="1773"/>
      <c r="U262" s="1773"/>
      <c r="V262" s="1773"/>
      <c r="W262" s="1773"/>
      <c r="X262" s="1773"/>
      <c r="Y262" s="1773"/>
      <c r="Z262" s="1773"/>
      <c r="AA262" s="1773"/>
      <c r="AB262" s="1773"/>
      <c r="AC262" s="1773"/>
      <c r="AD262" s="1773"/>
      <c r="AE262" s="1773"/>
      <c r="AF262" s="1773"/>
      <c r="AG262" s="1773"/>
      <c r="AH262" s="1773"/>
      <c r="AI262" s="1773"/>
      <c r="AJ262" s="1773"/>
      <c r="AK262" s="1773"/>
      <c r="AL262" s="820"/>
      <c r="AM262" s="821"/>
      <c r="AN262" s="1774" t="str">
        <f>'Fotos propiedad'!AN44:BU44</f>
        <v>Sector</v>
      </c>
      <c r="AO262" s="1774"/>
      <c r="AP262" s="1774"/>
      <c r="AQ262" s="1774"/>
      <c r="AR262" s="1774"/>
      <c r="AS262" s="1774"/>
      <c r="AT262" s="1774"/>
      <c r="AU262" s="1774"/>
      <c r="AV262" s="1774"/>
      <c r="AW262" s="1774"/>
      <c r="AX262" s="1774"/>
      <c r="AY262" s="1774"/>
      <c r="AZ262" s="1774"/>
      <c r="BA262" s="1774"/>
      <c r="BB262" s="1774"/>
      <c r="BC262" s="1774"/>
      <c r="BD262" s="1774"/>
      <c r="BE262" s="1774"/>
      <c r="BF262" s="1774"/>
      <c r="BG262" s="1774"/>
      <c r="BH262" s="1774"/>
      <c r="BI262" s="1774"/>
      <c r="BJ262" s="1774"/>
      <c r="BK262" s="1774"/>
      <c r="BL262" s="1774"/>
      <c r="BM262" s="1774"/>
      <c r="BN262" s="1774"/>
      <c r="BO262" s="1774"/>
      <c r="BP262" s="1774"/>
      <c r="BQ262" s="1774"/>
      <c r="BR262" s="1774"/>
      <c r="BS262" s="1774"/>
      <c r="BT262" s="1774"/>
      <c r="BU262" s="1774"/>
      <c r="BV262" s="1775"/>
      <c r="BW262" s="443"/>
    </row>
    <row r="263" spans="1:75" ht="15" customHeight="1" x14ac:dyDescent="0.2">
      <c r="A263" s="1752"/>
      <c r="C263" s="453"/>
      <c r="AK263" s="553"/>
      <c r="AL263" s="553"/>
      <c r="AM263" s="549"/>
      <c r="AN263" s="460"/>
      <c r="AO263" s="460"/>
      <c r="AP263" s="460"/>
      <c r="AQ263" s="460"/>
      <c r="AR263" s="460"/>
      <c r="AS263" s="460"/>
      <c r="AT263" s="460"/>
      <c r="AU263" s="460"/>
      <c r="AV263" s="460"/>
      <c r="AW263" s="460"/>
      <c r="AX263" s="460"/>
      <c r="AY263" s="460"/>
      <c r="AZ263" s="460"/>
      <c r="BA263" s="460"/>
      <c r="BB263" s="460"/>
      <c r="BC263" s="460"/>
      <c r="BD263" s="460"/>
      <c r="BE263" s="460"/>
      <c r="BF263" s="460"/>
      <c r="BG263" s="460"/>
      <c r="BH263" s="460"/>
      <c r="BI263" s="460"/>
      <c r="BJ263" s="460"/>
      <c r="BK263" s="460"/>
      <c r="BL263" s="460"/>
      <c r="BM263" s="460"/>
      <c r="BN263" s="460"/>
      <c r="BO263" s="460"/>
      <c r="BP263" s="460"/>
      <c r="BQ263" s="460"/>
      <c r="BR263" s="460"/>
      <c r="BS263" s="460"/>
      <c r="BT263" s="460"/>
      <c r="BU263" s="460"/>
      <c r="BV263" s="501"/>
      <c r="BW263" s="443"/>
    </row>
    <row r="264" spans="1:75" ht="15" customHeight="1" x14ac:dyDescent="0.2">
      <c r="A264" s="1752"/>
      <c r="C264" s="453"/>
      <c r="AK264" s="553"/>
      <c r="AL264" s="553"/>
      <c r="AM264" s="549"/>
      <c r="BV264" s="447"/>
      <c r="BW264" s="443"/>
    </row>
    <row r="265" spans="1:75" ht="15" customHeight="1" x14ac:dyDescent="0.2">
      <c r="A265" s="1752"/>
      <c r="C265" s="453"/>
      <c r="AK265" s="553"/>
      <c r="AL265" s="553"/>
      <c r="AM265" s="549"/>
      <c r="BV265" s="447"/>
      <c r="BW265" s="443"/>
    </row>
    <row r="266" spans="1:75" ht="15" customHeight="1" x14ac:dyDescent="0.2">
      <c r="A266" s="1752"/>
      <c r="C266" s="453"/>
      <c r="AK266" s="553"/>
      <c r="AL266" s="553"/>
      <c r="AM266" s="549"/>
      <c r="BV266" s="447"/>
      <c r="BW266" s="443"/>
    </row>
    <row r="267" spans="1:75" ht="15" customHeight="1" x14ac:dyDescent="0.2">
      <c r="A267" s="1752"/>
      <c r="C267" s="453"/>
      <c r="AK267" s="553"/>
      <c r="AL267" s="553"/>
      <c r="AM267" s="549"/>
      <c r="BV267" s="447"/>
      <c r="BW267" s="443"/>
    </row>
    <row r="268" spans="1:75" ht="15" customHeight="1" x14ac:dyDescent="0.2">
      <c r="A268" s="1752"/>
      <c r="C268" s="453"/>
      <c r="AK268" s="553"/>
      <c r="AL268" s="553"/>
      <c r="AM268" s="549"/>
      <c r="BV268" s="447"/>
      <c r="BW268" s="443"/>
    </row>
    <row r="269" spans="1:75" ht="15" customHeight="1" x14ac:dyDescent="0.2">
      <c r="A269" s="1752"/>
      <c r="C269" s="453"/>
      <c r="AK269" s="553"/>
      <c r="AL269" s="553"/>
      <c r="AM269" s="549"/>
      <c r="BV269" s="447"/>
      <c r="BW269" s="443"/>
    </row>
    <row r="270" spans="1:75" ht="15" customHeight="1" x14ac:dyDescent="0.2">
      <c r="A270" s="1752"/>
      <c r="C270" s="453"/>
      <c r="AK270" s="553"/>
      <c r="AL270" s="553"/>
      <c r="AM270" s="549"/>
      <c r="BV270" s="447"/>
      <c r="BW270" s="443"/>
    </row>
    <row r="271" spans="1:75" ht="15" customHeight="1" x14ac:dyDescent="0.2">
      <c r="A271" s="1752"/>
      <c r="C271" s="453"/>
      <c r="AK271" s="553"/>
      <c r="AL271" s="553"/>
      <c r="AM271" s="549"/>
      <c r="BV271" s="447"/>
      <c r="BW271" s="443"/>
    </row>
    <row r="272" spans="1:75" ht="15" customHeight="1" x14ac:dyDescent="0.2">
      <c r="A272" s="1752"/>
      <c r="C272" s="453"/>
      <c r="AK272" s="553"/>
      <c r="AL272" s="553"/>
      <c r="AM272" s="549"/>
      <c r="BV272" s="447"/>
      <c r="BW272" s="443"/>
    </row>
    <row r="273" spans="1:75" ht="15" customHeight="1" x14ac:dyDescent="0.2">
      <c r="A273" s="1752"/>
      <c r="C273" s="453"/>
      <c r="AK273" s="553"/>
      <c r="AL273" s="553"/>
      <c r="AM273" s="549"/>
      <c r="BV273" s="447"/>
      <c r="BW273" s="443"/>
    </row>
    <row r="274" spans="1:75" ht="15" customHeight="1" x14ac:dyDescent="0.2">
      <c r="A274" s="1752"/>
      <c r="C274" s="453"/>
      <c r="AK274" s="553"/>
      <c r="AL274" s="553"/>
      <c r="AM274" s="549"/>
      <c r="BV274" s="447"/>
      <c r="BW274" s="443"/>
    </row>
    <row r="275" spans="1:75" ht="15" customHeight="1" x14ac:dyDescent="0.2">
      <c r="A275" s="1752"/>
      <c r="C275" s="453"/>
      <c r="AK275" s="553"/>
      <c r="AL275" s="553"/>
      <c r="AM275" s="549"/>
      <c r="BV275" s="447"/>
      <c r="BW275" s="443"/>
    </row>
    <row r="276" spans="1:75" ht="15" customHeight="1" x14ac:dyDescent="0.2">
      <c r="A276" s="1752"/>
      <c r="C276" s="453"/>
      <c r="AK276" s="553"/>
      <c r="AL276" s="553"/>
      <c r="AM276" s="549"/>
      <c r="BV276" s="447"/>
      <c r="BW276" s="443"/>
    </row>
    <row r="277" spans="1:75" ht="15" customHeight="1" x14ac:dyDescent="0.2">
      <c r="A277" s="1752"/>
      <c r="C277" s="453"/>
      <c r="AK277" s="553"/>
      <c r="AL277" s="553"/>
      <c r="AM277" s="549"/>
      <c r="BV277" s="447"/>
      <c r="BW277" s="443"/>
    </row>
    <row r="278" spans="1:75" ht="15" customHeight="1" x14ac:dyDescent="0.2">
      <c r="A278" s="1752"/>
      <c r="C278" s="453"/>
      <c r="AK278" s="553"/>
      <c r="AL278" s="553"/>
      <c r="AM278" s="549"/>
      <c r="BV278" s="447"/>
      <c r="BW278" s="443"/>
    </row>
    <row r="279" spans="1:75" ht="15" customHeight="1" x14ac:dyDescent="0.2">
      <c r="A279" s="1752"/>
      <c r="C279" s="453"/>
      <c r="AK279" s="553"/>
      <c r="AL279" s="553"/>
      <c r="AM279" s="549"/>
      <c r="BV279" s="447"/>
      <c r="BW279" s="443"/>
    </row>
    <row r="280" spans="1:75" ht="15" customHeight="1" x14ac:dyDescent="0.2">
      <c r="A280" s="1752"/>
      <c r="C280" s="453"/>
      <c r="AK280" s="553"/>
      <c r="AL280" s="553"/>
      <c r="AM280" s="549"/>
      <c r="BV280" s="447"/>
      <c r="BW280" s="443"/>
    </row>
    <row r="281" spans="1:75" ht="15" customHeight="1" x14ac:dyDescent="0.2">
      <c r="A281" s="1752"/>
      <c r="C281" s="453"/>
      <c r="AK281" s="553"/>
      <c r="AL281" s="553"/>
      <c r="AM281" s="549"/>
      <c r="BV281" s="447"/>
      <c r="BW281" s="443"/>
    </row>
    <row r="282" spans="1:75" ht="15" customHeight="1" x14ac:dyDescent="0.3">
      <c r="A282" s="1752"/>
      <c r="C282" s="1772" t="str">
        <f>'Fotos propiedad'!C64:AK64</f>
        <v xml:space="preserve">Living </v>
      </c>
      <c r="D282" s="1773"/>
      <c r="E282" s="1773"/>
      <c r="F282" s="1773"/>
      <c r="G282" s="1773"/>
      <c r="H282" s="1773"/>
      <c r="I282" s="1773"/>
      <c r="J282" s="1773"/>
      <c r="K282" s="1773"/>
      <c r="L282" s="1773"/>
      <c r="M282" s="1773"/>
      <c r="N282" s="1773"/>
      <c r="O282" s="1773"/>
      <c r="P282" s="1773"/>
      <c r="Q282" s="1773"/>
      <c r="R282" s="1773"/>
      <c r="S282" s="1773"/>
      <c r="T282" s="1773"/>
      <c r="U282" s="1773"/>
      <c r="V282" s="1773"/>
      <c r="W282" s="1773"/>
      <c r="X282" s="1773"/>
      <c r="Y282" s="1773"/>
      <c r="Z282" s="1773"/>
      <c r="AA282" s="1773"/>
      <c r="AB282" s="1773"/>
      <c r="AC282" s="1773"/>
      <c r="AD282" s="1773"/>
      <c r="AE282" s="1773"/>
      <c r="AF282" s="1773"/>
      <c r="AG282" s="1773"/>
      <c r="AH282" s="1773"/>
      <c r="AI282" s="1773"/>
      <c r="AJ282" s="1773"/>
      <c r="AK282" s="1773"/>
      <c r="AL282" s="820"/>
      <c r="AM282" s="822"/>
      <c r="AN282" s="1774" t="str">
        <f>'Fotos propiedad'!AN64:BU64</f>
        <v>Comedor</v>
      </c>
      <c r="AO282" s="1774"/>
      <c r="AP282" s="1774"/>
      <c r="AQ282" s="1774"/>
      <c r="AR282" s="1774"/>
      <c r="AS282" s="1774"/>
      <c r="AT282" s="1774"/>
      <c r="AU282" s="1774"/>
      <c r="AV282" s="1774"/>
      <c r="AW282" s="1774"/>
      <c r="AX282" s="1774"/>
      <c r="AY282" s="1774"/>
      <c r="AZ282" s="1774"/>
      <c r="BA282" s="1774"/>
      <c r="BB282" s="1774"/>
      <c r="BC282" s="1774"/>
      <c r="BD282" s="1774"/>
      <c r="BE282" s="1774"/>
      <c r="BF282" s="1774"/>
      <c r="BG282" s="1774"/>
      <c r="BH282" s="1774"/>
      <c r="BI282" s="1774"/>
      <c r="BJ282" s="1774"/>
      <c r="BK282" s="1774"/>
      <c r="BL282" s="1774"/>
      <c r="BM282" s="1774"/>
      <c r="BN282" s="1774"/>
      <c r="BO282" s="1774"/>
      <c r="BP282" s="1774"/>
      <c r="BQ282" s="1774"/>
      <c r="BR282" s="1774"/>
      <c r="BS282" s="1774"/>
      <c r="BT282" s="1774"/>
      <c r="BU282" s="1774"/>
      <c r="BV282" s="1775"/>
      <c r="BW282" s="443"/>
    </row>
    <row r="283" spans="1:75" ht="15" customHeight="1" x14ac:dyDescent="0.2">
      <c r="A283" s="1752"/>
      <c r="C283" s="453"/>
      <c r="AK283" s="553"/>
      <c r="AL283" s="553"/>
      <c r="AM283" s="549"/>
      <c r="BV283" s="447"/>
      <c r="BW283" s="443"/>
    </row>
    <row r="284" spans="1:75" ht="15" customHeight="1" x14ac:dyDescent="0.2">
      <c r="A284" s="1752"/>
      <c r="C284" s="453"/>
      <c r="AK284" s="553"/>
      <c r="AL284" s="553"/>
      <c r="AM284" s="549"/>
      <c r="BV284" s="447"/>
      <c r="BW284" s="443"/>
    </row>
    <row r="285" spans="1:75" ht="15" customHeight="1" x14ac:dyDescent="0.2">
      <c r="A285" s="1752"/>
      <c r="C285" s="453"/>
      <c r="AK285" s="553"/>
      <c r="AL285" s="553"/>
      <c r="AM285" s="549"/>
      <c r="BV285" s="447"/>
      <c r="BW285" s="443"/>
    </row>
    <row r="286" spans="1:75" ht="15" customHeight="1" x14ac:dyDescent="0.2">
      <c r="A286" s="1752"/>
      <c r="C286" s="453"/>
      <c r="AK286" s="553"/>
      <c r="AL286" s="553"/>
      <c r="AM286" s="549"/>
      <c r="BV286" s="447"/>
      <c r="BW286" s="443"/>
    </row>
    <row r="287" spans="1:75" ht="15" customHeight="1" x14ac:dyDescent="0.2">
      <c r="A287" s="1752"/>
      <c r="C287" s="453"/>
      <c r="AK287" s="553"/>
      <c r="AL287" s="553"/>
      <c r="AM287" s="549"/>
      <c r="BV287" s="447"/>
      <c r="BW287" s="443"/>
    </row>
    <row r="288" spans="1:75" ht="15" customHeight="1" x14ac:dyDescent="0.2">
      <c r="A288" s="1752"/>
      <c r="C288" s="453"/>
      <c r="AK288" s="553"/>
      <c r="AL288" s="553"/>
      <c r="AM288" s="549"/>
      <c r="BV288" s="447"/>
      <c r="BW288" s="443"/>
    </row>
    <row r="289" spans="1:75" ht="15" customHeight="1" x14ac:dyDescent="0.2">
      <c r="A289" s="1752"/>
      <c r="C289" s="453"/>
      <c r="AK289" s="553"/>
      <c r="AL289" s="553"/>
      <c r="AM289" s="549"/>
      <c r="BV289" s="447"/>
      <c r="BW289" s="443"/>
    </row>
    <row r="290" spans="1:75" ht="15" customHeight="1" x14ac:dyDescent="0.2">
      <c r="A290" s="1752"/>
      <c r="C290" s="453"/>
      <c r="AK290" s="553"/>
      <c r="AL290" s="553"/>
      <c r="AM290" s="549"/>
      <c r="BV290" s="447"/>
      <c r="BW290" s="443"/>
    </row>
    <row r="291" spans="1:75" ht="15" customHeight="1" x14ac:dyDescent="0.2">
      <c r="A291" s="1752"/>
      <c r="C291" s="453"/>
      <c r="AK291" s="553"/>
      <c r="AL291" s="553"/>
      <c r="AM291" s="549"/>
      <c r="BV291" s="447"/>
      <c r="BW291" s="443"/>
    </row>
    <row r="292" spans="1:75" ht="15" customHeight="1" x14ac:dyDescent="0.2">
      <c r="A292" s="1752"/>
      <c r="C292" s="453"/>
      <c r="AK292" s="553"/>
      <c r="AL292" s="553"/>
      <c r="AM292" s="549"/>
      <c r="BV292" s="447"/>
      <c r="BW292" s="443"/>
    </row>
    <row r="293" spans="1:75" ht="15" customHeight="1" x14ac:dyDescent="0.2">
      <c r="A293" s="1752"/>
      <c r="C293" s="453"/>
      <c r="AK293" s="553"/>
      <c r="AL293" s="553"/>
      <c r="AM293" s="549"/>
      <c r="BV293" s="447"/>
      <c r="BW293" s="443"/>
    </row>
    <row r="294" spans="1:75" ht="15" customHeight="1" x14ac:dyDescent="0.2">
      <c r="A294" s="1752"/>
      <c r="C294" s="453"/>
      <c r="AK294" s="553"/>
      <c r="AL294" s="553"/>
      <c r="AM294" s="549"/>
      <c r="BV294" s="447"/>
      <c r="BW294" s="443"/>
    </row>
    <row r="295" spans="1:75" ht="15" customHeight="1" x14ac:dyDescent="0.2">
      <c r="A295" s="1752"/>
      <c r="C295" s="453"/>
      <c r="AK295" s="553"/>
      <c r="AL295" s="553"/>
      <c r="AM295" s="549"/>
      <c r="BV295" s="447"/>
      <c r="BW295" s="443"/>
    </row>
    <row r="296" spans="1:75" ht="15" customHeight="1" x14ac:dyDescent="0.2">
      <c r="A296" s="1752"/>
      <c r="C296" s="453"/>
      <c r="AK296" s="553"/>
      <c r="AL296" s="553"/>
      <c r="AM296" s="549"/>
      <c r="BV296" s="447"/>
      <c r="BW296" s="443"/>
    </row>
    <row r="297" spans="1:75" ht="15" customHeight="1" x14ac:dyDescent="0.2">
      <c r="A297" s="1752"/>
      <c r="C297" s="453"/>
      <c r="AK297" s="553"/>
      <c r="AL297" s="553"/>
      <c r="AM297" s="549"/>
      <c r="BV297" s="447"/>
      <c r="BW297" s="443"/>
    </row>
    <row r="298" spans="1:75" ht="15" customHeight="1" x14ac:dyDescent="0.2">
      <c r="A298" s="1752"/>
      <c r="C298" s="453"/>
      <c r="AK298" s="553"/>
      <c r="AL298" s="553"/>
      <c r="AM298" s="549"/>
      <c r="BV298" s="447"/>
      <c r="BW298" s="443"/>
    </row>
    <row r="299" spans="1:75" ht="15" customHeight="1" x14ac:dyDescent="0.2">
      <c r="A299" s="1752"/>
      <c r="C299" s="453"/>
      <c r="AK299" s="553"/>
      <c r="AL299" s="553"/>
      <c r="AM299" s="549"/>
      <c r="BV299" s="447"/>
      <c r="BW299" s="443"/>
    </row>
    <row r="300" spans="1:75" ht="15" customHeight="1" x14ac:dyDescent="0.2">
      <c r="A300" s="1752"/>
      <c r="C300" s="453"/>
      <c r="AK300" s="553"/>
      <c r="AL300" s="553"/>
      <c r="AM300" s="549"/>
      <c r="BV300" s="447"/>
      <c r="BW300" s="443"/>
    </row>
    <row r="301" spans="1:75" ht="15" customHeight="1" x14ac:dyDescent="0.2">
      <c r="A301" s="1752"/>
      <c r="C301" s="453"/>
      <c r="AK301" s="553"/>
      <c r="AL301" s="553"/>
      <c r="AM301" s="549"/>
      <c r="BV301" s="447"/>
      <c r="BW301" s="443"/>
    </row>
    <row r="302" spans="1:75" ht="15" customHeight="1" thickBot="1" x14ac:dyDescent="0.35">
      <c r="A302" s="1752"/>
      <c r="C302" s="1776" t="str">
        <f>'Fotos propiedad'!C84:AK84</f>
        <v>Cocina</v>
      </c>
      <c r="D302" s="1777"/>
      <c r="E302" s="1777"/>
      <c r="F302" s="1777"/>
      <c r="G302" s="1777"/>
      <c r="H302" s="1777"/>
      <c r="I302" s="1777"/>
      <c r="J302" s="1777"/>
      <c r="K302" s="1777"/>
      <c r="L302" s="1777"/>
      <c r="M302" s="1777"/>
      <c r="N302" s="1777"/>
      <c r="O302" s="1777"/>
      <c r="P302" s="1777"/>
      <c r="Q302" s="1777"/>
      <c r="R302" s="1777"/>
      <c r="S302" s="1777"/>
      <c r="T302" s="1777"/>
      <c r="U302" s="1777"/>
      <c r="V302" s="1777"/>
      <c r="W302" s="1777"/>
      <c r="X302" s="1777"/>
      <c r="Y302" s="1777"/>
      <c r="Z302" s="1777"/>
      <c r="AA302" s="1777"/>
      <c r="AB302" s="1777"/>
      <c r="AC302" s="1777"/>
      <c r="AD302" s="1777"/>
      <c r="AE302" s="1777"/>
      <c r="AF302" s="1777"/>
      <c r="AG302" s="1777"/>
      <c r="AH302" s="1777"/>
      <c r="AI302" s="1777"/>
      <c r="AJ302" s="1777"/>
      <c r="AK302" s="1777"/>
      <c r="AL302" s="823"/>
      <c r="AM302" s="822"/>
      <c r="AN302" s="1777" t="str">
        <f>'Fotos propiedad'!AN84:BU84</f>
        <v>Cocina</v>
      </c>
      <c r="AO302" s="1777"/>
      <c r="AP302" s="1777"/>
      <c r="AQ302" s="1777"/>
      <c r="AR302" s="1777"/>
      <c r="AS302" s="1777"/>
      <c r="AT302" s="1777"/>
      <c r="AU302" s="1777"/>
      <c r="AV302" s="1777"/>
      <c r="AW302" s="1777"/>
      <c r="AX302" s="1777"/>
      <c r="AY302" s="1777"/>
      <c r="AZ302" s="1777"/>
      <c r="BA302" s="1777"/>
      <c r="BB302" s="1777"/>
      <c r="BC302" s="1777"/>
      <c r="BD302" s="1777"/>
      <c r="BE302" s="1777"/>
      <c r="BF302" s="1777"/>
      <c r="BG302" s="1777"/>
      <c r="BH302" s="1777"/>
      <c r="BI302" s="1777"/>
      <c r="BJ302" s="1777"/>
      <c r="BK302" s="1777"/>
      <c r="BL302" s="1777"/>
      <c r="BM302" s="1777"/>
      <c r="BN302" s="1777"/>
      <c r="BO302" s="1777"/>
      <c r="BP302" s="1777"/>
      <c r="BQ302" s="1777"/>
      <c r="BR302" s="1777"/>
      <c r="BS302" s="1777"/>
      <c r="BT302" s="1777"/>
      <c r="BU302" s="1777"/>
      <c r="BV302" s="1778"/>
      <c r="BW302" s="443"/>
    </row>
    <row r="303" spans="1:75" ht="15" customHeight="1" thickBot="1" x14ac:dyDescent="0.25">
      <c r="A303" s="682"/>
      <c r="C303" s="473"/>
      <c r="D303" s="473"/>
      <c r="E303" s="473"/>
      <c r="F303" s="473"/>
      <c r="G303" s="473"/>
      <c r="H303" s="473"/>
      <c r="I303" s="473"/>
      <c r="J303" s="473"/>
      <c r="K303" s="473"/>
      <c r="L303" s="473"/>
      <c r="M303" s="473"/>
      <c r="N303" s="473"/>
      <c r="O303" s="473"/>
      <c r="P303" s="473"/>
      <c r="Q303" s="473"/>
      <c r="R303" s="473"/>
      <c r="S303" s="473"/>
      <c r="T303" s="473"/>
      <c r="U303" s="473"/>
      <c r="V303" s="473"/>
      <c r="W303" s="473"/>
      <c r="X303" s="473"/>
      <c r="Y303" s="473"/>
      <c r="Z303" s="473"/>
      <c r="AA303" s="473"/>
      <c r="AB303" s="473"/>
      <c r="AC303" s="473"/>
      <c r="AD303" s="473"/>
      <c r="AE303" s="473"/>
      <c r="AF303" s="473"/>
      <c r="AG303" s="473"/>
      <c r="AH303" s="473"/>
      <c r="AI303" s="473"/>
      <c r="AJ303" s="473"/>
      <c r="AK303" s="473"/>
      <c r="AL303" s="473"/>
      <c r="AM303" s="473"/>
      <c r="AN303" s="473"/>
      <c r="AO303" s="473"/>
      <c r="AP303" s="473"/>
      <c r="AQ303" s="473"/>
      <c r="AR303" s="473"/>
      <c r="AS303" s="473"/>
      <c r="AT303" s="473"/>
      <c r="AU303" s="473"/>
      <c r="AV303" s="473"/>
      <c r="AW303" s="473"/>
      <c r="AX303" s="473"/>
      <c r="AY303" s="473"/>
      <c r="AZ303" s="473"/>
      <c r="BA303" s="473"/>
      <c r="BB303" s="473"/>
      <c r="BC303" s="473"/>
      <c r="BD303" s="473"/>
      <c r="BE303" s="473"/>
      <c r="BF303" s="473"/>
      <c r="BG303" s="473"/>
      <c r="BH303" s="473"/>
      <c r="BI303" s="473"/>
      <c r="BJ303" s="473"/>
      <c r="BK303" s="473"/>
      <c r="BL303" s="473"/>
      <c r="BM303" s="473"/>
      <c r="BN303" s="473"/>
      <c r="BO303" s="473"/>
      <c r="BP303" s="473"/>
      <c r="BQ303" s="473"/>
      <c r="BR303" s="621" t="s">
        <v>1826</v>
      </c>
      <c r="BT303" s="666"/>
      <c r="BU303" s="666"/>
      <c r="BV303" s="666"/>
      <c r="BW303" s="443"/>
    </row>
    <row r="304" spans="1:75" ht="15" customHeight="1" x14ac:dyDescent="0.25">
      <c r="A304" s="682"/>
      <c r="C304" s="1673" t="s">
        <v>1202</v>
      </c>
      <c r="D304" s="1674"/>
      <c r="E304" s="1674"/>
      <c r="F304" s="1674"/>
      <c r="G304" s="1674"/>
      <c r="H304" s="1674"/>
      <c r="I304" s="1674"/>
      <c r="J304" s="1674"/>
      <c r="K304" s="1745" t="str">
        <f>K87</f>
        <v>Janeth Patricia Cando Arias</v>
      </c>
      <c r="L304" s="1745"/>
      <c r="M304" s="1745"/>
      <c r="N304" s="1745"/>
      <c r="O304" s="1745"/>
      <c r="P304" s="1745"/>
      <c r="Q304" s="1745"/>
      <c r="R304" s="1745"/>
      <c r="S304" s="1745"/>
      <c r="T304" s="1745"/>
      <c r="U304" s="1745"/>
      <c r="V304" s="1745"/>
      <c r="W304" s="1745"/>
      <c r="X304" s="1745"/>
      <c r="Y304" s="1745"/>
      <c r="Z304" s="1745"/>
      <c r="AA304" s="1745"/>
      <c r="AB304" s="1745"/>
      <c r="AC304" s="1745"/>
      <c r="AD304" s="1745"/>
      <c r="AE304" s="1745"/>
      <c r="AF304" s="1745"/>
      <c r="AG304" s="1745"/>
      <c r="AH304" s="1745"/>
      <c r="AI304" s="1745"/>
      <c r="AJ304" s="1745"/>
      <c r="AK304" s="1745"/>
      <c r="AL304" s="1745"/>
      <c r="AM304" s="1745"/>
      <c r="AN304" s="1745"/>
      <c r="AO304" s="1675" t="s">
        <v>466</v>
      </c>
      <c r="AP304" s="1675"/>
      <c r="AQ304" s="1675"/>
      <c r="AR304" s="1675"/>
      <c r="AS304" s="1675"/>
      <c r="AT304" s="1675"/>
      <c r="AU304" s="1675"/>
      <c r="AV304" s="1675"/>
      <c r="AW304" s="1675"/>
      <c r="AX304" s="1637" t="str">
        <f>AX87</f>
        <v>Coronel Souper N° 4060, Departamento: N°2502 B, Edificio Mirador Souper</v>
      </c>
      <c r="AY304" s="1637"/>
      <c r="AZ304" s="1637"/>
      <c r="BA304" s="1637"/>
      <c r="BB304" s="1637"/>
      <c r="BC304" s="1637"/>
      <c r="BD304" s="1637"/>
      <c r="BE304" s="1637"/>
      <c r="BF304" s="1637"/>
      <c r="BG304" s="1637"/>
      <c r="BH304" s="1637"/>
      <c r="BI304" s="1637"/>
      <c r="BJ304" s="1637"/>
      <c r="BK304" s="1637"/>
      <c r="BL304" s="1637"/>
      <c r="BM304" s="1637"/>
      <c r="BN304" s="1637"/>
      <c r="BO304" s="1637"/>
      <c r="BP304" s="1637"/>
      <c r="BQ304" s="1637"/>
      <c r="BR304" s="1637"/>
      <c r="BS304" s="1637"/>
      <c r="BT304" s="1637"/>
      <c r="BU304" s="1637"/>
      <c r="BV304" s="1638"/>
      <c r="BW304" s="443"/>
    </row>
    <row r="305" spans="1:75" ht="15" customHeight="1" thickBot="1" x14ac:dyDescent="0.25">
      <c r="A305" s="682"/>
      <c r="C305" s="1640" t="s">
        <v>1203</v>
      </c>
      <c r="D305" s="1617"/>
      <c r="E305" s="1617"/>
      <c r="F305" s="1617"/>
      <c r="G305" s="1617"/>
      <c r="H305" s="1617"/>
      <c r="I305" s="1617"/>
      <c r="J305" s="1617"/>
      <c r="K305" s="1784" t="str">
        <f>K88</f>
        <v>22.959.221-1</v>
      </c>
      <c r="L305" s="1784"/>
      <c r="M305" s="1784"/>
      <c r="N305" s="1784"/>
      <c r="O305" s="1784"/>
      <c r="P305" s="1784"/>
      <c r="Q305" s="1784"/>
      <c r="R305" s="1784"/>
      <c r="S305" s="1784"/>
      <c r="T305" s="1784"/>
      <c r="U305" s="1784"/>
      <c r="V305" s="1784"/>
      <c r="W305" s="1784"/>
      <c r="X305" s="1784"/>
      <c r="Y305" s="1784"/>
      <c r="Z305" s="1784"/>
      <c r="AA305" s="1784"/>
      <c r="AB305" s="1784"/>
      <c r="AC305" s="1784"/>
      <c r="AD305" s="1784"/>
      <c r="AE305" s="1784"/>
      <c r="AF305" s="1784"/>
      <c r="AG305" s="1784"/>
      <c r="AH305" s="1784"/>
      <c r="AI305" s="1784"/>
      <c r="AJ305" s="1784"/>
      <c r="AK305" s="1784"/>
      <c r="AL305" s="1784"/>
      <c r="AM305" s="1784"/>
      <c r="AN305" s="1784"/>
      <c r="AO305" s="1641" t="s">
        <v>908</v>
      </c>
      <c r="AP305" s="1641"/>
      <c r="AQ305" s="1641"/>
      <c r="AR305" s="1641"/>
      <c r="AS305" s="1641"/>
      <c r="AT305" s="1641"/>
      <c r="AU305" s="1641"/>
      <c r="AV305" s="1641"/>
      <c r="AW305" s="1641"/>
      <c r="AX305" s="1617" t="str">
        <f>AX88</f>
        <v>AGH -1548</v>
      </c>
      <c r="AY305" s="1617"/>
      <c r="AZ305" s="1617"/>
      <c r="BA305" s="1617"/>
      <c r="BB305" s="1617"/>
      <c r="BC305" s="1617"/>
      <c r="BD305" s="1617"/>
      <c r="BE305" s="1617"/>
      <c r="BF305" s="1617"/>
      <c r="BG305" s="1617"/>
      <c r="BH305" s="1617"/>
      <c r="BI305" s="1617"/>
      <c r="BJ305" s="1617"/>
      <c r="BK305" s="1617"/>
      <c r="BL305" s="1617"/>
      <c r="BM305" s="1617"/>
      <c r="BN305" s="1617"/>
      <c r="BO305" s="1617"/>
      <c r="BP305" s="1617"/>
      <c r="BQ305" s="1617"/>
      <c r="BR305" s="1617"/>
      <c r="BS305" s="1617"/>
      <c r="BT305" s="1617"/>
      <c r="BU305" s="1617"/>
      <c r="BV305" s="1618"/>
      <c r="BW305" s="443"/>
    </row>
    <row r="306" spans="1:75" ht="15" customHeight="1" thickBot="1" x14ac:dyDescent="0.25">
      <c r="AK306" s="479"/>
      <c r="AL306" s="479"/>
      <c r="AM306" s="479"/>
      <c r="BW306" s="443"/>
    </row>
    <row r="307" spans="1:75" ht="15" customHeight="1" x14ac:dyDescent="0.2">
      <c r="A307" s="1752" t="s">
        <v>1208</v>
      </c>
      <c r="C307" s="451"/>
      <c r="D307" s="452"/>
      <c r="E307" s="452"/>
      <c r="F307" s="452"/>
      <c r="G307" s="452"/>
      <c r="H307" s="452"/>
      <c r="I307" s="452"/>
      <c r="J307" s="452"/>
      <c r="K307" s="452"/>
      <c r="L307" s="452"/>
      <c r="M307" s="452"/>
      <c r="N307" s="452"/>
      <c r="O307" s="452"/>
      <c r="P307" s="452"/>
      <c r="Q307" s="452"/>
      <c r="R307" s="452"/>
      <c r="S307" s="452"/>
      <c r="T307" s="452"/>
      <c r="U307" s="452"/>
      <c r="V307" s="452"/>
      <c r="W307" s="452"/>
      <c r="X307" s="452"/>
      <c r="Y307" s="452"/>
      <c r="Z307" s="452"/>
      <c r="AA307" s="452"/>
      <c r="AB307" s="452"/>
      <c r="AC307" s="452"/>
      <c r="AD307" s="452"/>
      <c r="AE307" s="452"/>
      <c r="AF307" s="452"/>
      <c r="AG307" s="452"/>
      <c r="AH307" s="452"/>
      <c r="AI307" s="452"/>
      <c r="AJ307" s="452"/>
      <c r="AK307" s="553"/>
      <c r="AL307" s="553"/>
      <c r="AM307" s="549"/>
      <c r="AN307" s="452"/>
      <c r="AO307" s="452"/>
      <c r="AP307" s="452"/>
      <c r="AQ307" s="452"/>
      <c r="AR307" s="452"/>
      <c r="AS307" s="452"/>
      <c r="AT307" s="452"/>
      <c r="AU307" s="452"/>
      <c r="AV307" s="452"/>
      <c r="AW307" s="452"/>
      <c r="AX307" s="452"/>
      <c r="AY307" s="452"/>
      <c r="AZ307" s="452"/>
      <c r="BA307" s="452"/>
      <c r="BB307" s="452"/>
      <c r="BC307" s="452"/>
      <c r="BD307" s="452"/>
      <c r="BE307" s="452"/>
      <c r="BF307" s="452"/>
      <c r="BG307" s="452"/>
      <c r="BH307" s="452"/>
      <c r="BI307" s="452"/>
      <c r="BJ307" s="452"/>
      <c r="BK307" s="452"/>
      <c r="BL307" s="452"/>
      <c r="BM307" s="452"/>
      <c r="BN307" s="452"/>
      <c r="BO307" s="452"/>
      <c r="BP307" s="452"/>
      <c r="BQ307" s="452"/>
      <c r="BR307" s="452"/>
      <c r="BS307" s="452"/>
      <c r="BT307" s="452"/>
      <c r="BU307" s="452"/>
      <c r="BV307" s="474"/>
      <c r="BW307" s="443"/>
    </row>
    <row r="308" spans="1:75" ht="15" customHeight="1" x14ac:dyDescent="0.2">
      <c r="A308" s="1752"/>
      <c r="C308" s="453"/>
      <c r="AK308" s="553"/>
      <c r="AL308" s="553"/>
      <c r="AM308" s="549"/>
      <c r="BV308" s="447"/>
      <c r="BW308" s="443"/>
    </row>
    <row r="309" spans="1:75" ht="15" customHeight="1" x14ac:dyDescent="0.2">
      <c r="A309" s="1752"/>
      <c r="C309" s="453"/>
      <c r="AK309" s="553"/>
      <c r="AL309" s="553"/>
      <c r="AM309" s="549"/>
      <c r="BV309" s="447"/>
      <c r="BW309" s="443"/>
    </row>
    <row r="310" spans="1:75" ht="15" customHeight="1" x14ac:dyDescent="0.2">
      <c r="A310" s="1752"/>
      <c r="C310" s="453"/>
      <c r="AK310" s="553"/>
      <c r="AL310" s="553"/>
      <c r="AM310" s="549"/>
      <c r="BV310" s="447"/>
      <c r="BW310" s="443"/>
    </row>
    <row r="311" spans="1:75" ht="15" customHeight="1" x14ac:dyDescent="0.2">
      <c r="A311" s="1752"/>
      <c r="C311" s="453"/>
      <c r="AK311" s="553"/>
      <c r="AL311" s="553"/>
      <c r="AM311" s="549"/>
      <c r="BV311" s="447"/>
      <c r="BW311" s="443"/>
    </row>
    <row r="312" spans="1:75" ht="15" customHeight="1" x14ac:dyDescent="0.2">
      <c r="A312" s="1752"/>
      <c r="C312" s="453"/>
      <c r="AK312" s="553"/>
      <c r="AL312" s="553"/>
      <c r="AM312" s="549"/>
      <c r="BV312" s="447"/>
      <c r="BW312" s="453"/>
    </row>
    <row r="313" spans="1:75" ht="15" customHeight="1" x14ac:dyDescent="0.2">
      <c r="A313" s="1752"/>
      <c r="C313" s="453"/>
      <c r="AK313" s="553"/>
      <c r="AL313" s="553"/>
      <c r="AM313" s="549"/>
      <c r="BV313" s="447"/>
      <c r="BW313" s="453"/>
    </row>
    <row r="314" spans="1:75" ht="15" customHeight="1" x14ac:dyDescent="0.2">
      <c r="A314" s="1752"/>
      <c r="C314" s="453"/>
      <c r="AK314" s="553"/>
      <c r="AL314" s="553"/>
      <c r="AM314" s="549"/>
      <c r="BV314" s="447"/>
      <c r="BW314" s="453"/>
    </row>
    <row r="315" spans="1:75" ht="15" customHeight="1" x14ac:dyDescent="0.2">
      <c r="A315" s="1752"/>
      <c r="C315" s="453"/>
      <c r="AK315" s="553"/>
      <c r="AL315" s="553"/>
      <c r="AM315" s="549"/>
      <c r="BV315" s="447"/>
      <c r="BW315" s="453"/>
    </row>
    <row r="316" spans="1:75" ht="15" customHeight="1" x14ac:dyDescent="0.2">
      <c r="A316" s="1752"/>
      <c r="C316" s="453"/>
      <c r="AK316" s="553"/>
      <c r="AL316" s="553"/>
      <c r="AM316" s="549"/>
      <c r="BV316" s="447"/>
      <c r="BW316" s="453"/>
    </row>
    <row r="317" spans="1:75" ht="15" customHeight="1" x14ac:dyDescent="0.2">
      <c r="A317" s="1752"/>
      <c r="C317" s="453"/>
      <c r="AK317" s="553"/>
      <c r="AL317" s="553"/>
      <c r="AM317" s="549"/>
      <c r="BV317" s="447"/>
      <c r="BW317" s="453"/>
    </row>
    <row r="318" spans="1:75" ht="15" customHeight="1" x14ac:dyDescent="0.2">
      <c r="A318" s="1752"/>
      <c r="C318" s="453"/>
      <c r="AK318" s="553"/>
      <c r="AL318" s="553"/>
      <c r="AM318" s="549"/>
      <c r="BV318" s="447"/>
      <c r="BW318" s="453"/>
    </row>
    <row r="319" spans="1:75" ht="15" customHeight="1" x14ac:dyDescent="0.2">
      <c r="A319" s="1752"/>
      <c r="C319" s="453"/>
      <c r="AK319" s="553"/>
      <c r="AL319" s="553"/>
      <c r="AM319" s="549"/>
      <c r="BV319" s="447"/>
      <c r="BW319" s="453"/>
    </row>
    <row r="320" spans="1:75" ht="15" customHeight="1" x14ac:dyDescent="0.2">
      <c r="A320" s="1752"/>
      <c r="C320" s="453"/>
      <c r="AK320" s="553"/>
      <c r="AL320" s="553"/>
      <c r="AM320" s="549"/>
      <c r="BV320" s="447"/>
      <c r="BW320" s="453"/>
    </row>
    <row r="321" spans="1:75" ht="15" customHeight="1" x14ac:dyDescent="0.2">
      <c r="A321" s="1752"/>
      <c r="C321" s="453"/>
      <c r="AK321" s="553"/>
      <c r="AL321" s="553"/>
      <c r="AM321" s="549"/>
      <c r="BV321" s="447"/>
      <c r="BW321" s="453"/>
    </row>
    <row r="322" spans="1:75" ht="15" customHeight="1" x14ac:dyDescent="0.2">
      <c r="A322" s="1752"/>
      <c r="C322" s="453"/>
      <c r="AK322" s="553"/>
      <c r="AL322" s="553"/>
      <c r="AM322" s="549"/>
      <c r="BV322" s="447"/>
      <c r="BW322" s="453"/>
    </row>
    <row r="323" spans="1:75" ht="15" customHeight="1" x14ac:dyDescent="0.2">
      <c r="A323" s="1752"/>
      <c r="C323" s="453"/>
      <c r="AK323" s="553"/>
      <c r="AL323" s="553"/>
      <c r="AM323" s="549"/>
      <c r="BV323" s="447"/>
      <c r="BW323" s="453"/>
    </row>
    <row r="324" spans="1:75" ht="15" customHeight="1" x14ac:dyDescent="0.2">
      <c r="A324" s="1752"/>
      <c r="C324" s="453"/>
      <c r="AK324" s="553"/>
      <c r="AL324" s="553"/>
      <c r="AM324" s="549"/>
      <c r="BV324" s="447"/>
      <c r="BW324" s="453"/>
    </row>
    <row r="325" spans="1:75" ht="15" customHeight="1" x14ac:dyDescent="0.2">
      <c r="A325" s="1752"/>
      <c r="C325" s="453"/>
      <c r="AK325" s="553"/>
      <c r="AL325" s="553"/>
      <c r="AM325" s="549"/>
      <c r="BV325" s="447"/>
      <c r="BW325" s="453"/>
    </row>
    <row r="326" spans="1:75" ht="15" customHeight="1" x14ac:dyDescent="0.3">
      <c r="A326" s="1752"/>
      <c r="C326" s="1772" t="str">
        <f>'Fotos propiedad (2)'!C24:AK24</f>
        <v>Dormitorio</v>
      </c>
      <c r="D326" s="1773"/>
      <c r="E326" s="1773"/>
      <c r="F326" s="1773"/>
      <c r="G326" s="1773"/>
      <c r="H326" s="1773"/>
      <c r="I326" s="1773"/>
      <c r="J326" s="1773"/>
      <c r="K326" s="1773"/>
      <c r="L326" s="1773"/>
      <c r="M326" s="1773"/>
      <c r="N326" s="1773"/>
      <c r="O326" s="1773"/>
      <c r="P326" s="1773"/>
      <c r="Q326" s="1773"/>
      <c r="R326" s="1773"/>
      <c r="S326" s="1773"/>
      <c r="T326" s="1773"/>
      <c r="U326" s="1773"/>
      <c r="V326" s="1773"/>
      <c r="W326" s="1773"/>
      <c r="X326" s="1773"/>
      <c r="Y326" s="1773"/>
      <c r="Z326" s="1773"/>
      <c r="AA326" s="1773"/>
      <c r="AB326" s="1773"/>
      <c r="AC326" s="1773"/>
      <c r="AD326" s="1773"/>
      <c r="AE326" s="1773"/>
      <c r="AF326" s="1773"/>
      <c r="AG326" s="1773"/>
      <c r="AH326" s="1773"/>
      <c r="AI326" s="1773"/>
      <c r="AJ326" s="1773"/>
      <c r="AK326" s="1773"/>
      <c r="AL326" s="820"/>
      <c r="AM326" s="821"/>
      <c r="AN326" s="1774" t="str">
        <f>'Fotos propiedad (2)'!AN24:BU24</f>
        <v>Dormitorio</v>
      </c>
      <c r="AO326" s="1774"/>
      <c r="AP326" s="1774"/>
      <c r="AQ326" s="1774"/>
      <c r="AR326" s="1774"/>
      <c r="AS326" s="1774"/>
      <c r="AT326" s="1774"/>
      <c r="AU326" s="1774"/>
      <c r="AV326" s="1774"/>
      <c r="AW326" s="1774"/>
      <c r="AX326" s="1774"/>
      <c r="AY326" s="1774"/>
      <c r="AZ326" s="1774"/>
      <c r="BA326" s="1774"/>
      <c r="BB326" s="1774"/>
      <c r="BC326" s="1774"/>
      <c r="BD326" s="1774"/>
      <c r="BE326" s="1774"/>
      <c r="BF326" s="1774"/>
      <c r="BG326" s="1774"/>
      <c r="BH326" s="1774"/>
      <c r="BI326" s="1774"/>
      <c r="BJ326" s="1774"/>
      <c r="BK326" s="1774"/>
      <c r="BL326" s="1774"/>
      <c r="BM326" s="1774"/>
      <c r="BN326" s="1774"/>
      <c r="BO326" s="1774"/>
      <c r="BP326" s="1774"/>
      <c r="BQ326" s="1774"/>
      <c r="BR326" s="1774"/>
      <c r="BS326" s="1774"/>
      <c r="BT326" s="1774"/>
      <c r="BU326" s="1774"/>
      <c r="BV326" s="1775"/>
      <c r="BW326" s="453"/>
    </row>
    <row r="327" spans="1:75" ht="15" customHeight="1" x14ac:dyDescent="0.2">
      <c r="A327" s="1752"/>
      <c r="C327" s="500"/>
      <c r="D327" s="460"/>
      <c r="E327" s="460"/>
      <c r="F327" s="460"/>
      <c r="G327" s="460"/>
      <c r="H327" s="460"/>
      <c r="I327" s="460"/>
      <c r="J327" s="460"/>
      <c r="K327" s="460"/>
      <c r="L327" s="460"/>
      <c r="M327" s="460"/>
      <c r="N327" s="460"/>
      <c r="O327" s="460"/>
      <c r="P327" s="460"/>
      <c r="Q327" s="460"/>
      <c r="R327" s="460"/>
      <c r="S327" s="460"/>
      <c r="T327" s="460"/>
      <c r="U327" s="460"/>
      <c r="V327" s="460"/>
      <c r="W327" s="460"/>
      <c r="X327" s="460"/>
      <c r="Y327" s="460"/>
      <c r="Z327" s="460"/>
      <c r="AA327" s="460"/>
      <c r="AB327" s="460"/>
      <c r="AC327" s="460"/>
      <c r="AD327" s="460"/>
      <c r="AE327" s="460"/>
      <c r="AF327" s="460"/>
      <c r="AG327" s="460"/>
      <c r="AH327" s="460"/>
      <c r="AI327" s="460"/>
      <c r="AJ327" s="460"/>
      <c r="AK327" s="553"/>
      <c r="AL327" s="553"/>
      <c r="AM327" s="549"/>
      <c r="AN327" s="460"/>
      <c r="AO327" s="460"/>
      <c r="AP327" s="460"/>
      <c r="AQ327" s="460"/>
      <c r="AR327" s="460"/>
      <c r="AS327" s="460"/>
      <c r="AT327" s="460"/>
      <c r="AU327" s="460"/>
      <c r="AV327" s="460"/>
      <c r="AW327" s="460"/>
      <c r="AX327" s="460"/>
      <c r="AY327" s="460"/>
      <c r="AZ327" s="460"/>
      <c r="BA327" s="460"/>
      <c r="BB327" s="460"/>
      <c r="BC327" s="460"/>
      <c r="BD327" s="460"/>
      <c r="BE327" s="460"/>
      <c r="BF327" s="460"/>
      <c r="BG327" s="460"/>
      <c r="BH327" s="460"/>
      <c r="BI327" s="460"/>
      <c r="BJ327" s="460"/>
      <c r="BK327" s="460"/>
      <c r="BL327" s="460"/>
      <c r="BM327" s="460"/>
      <c r="BN327" s="460"/>
      <c r="BO327" s="460"/>
      <c r="BP327" s="460"/>
      <c r="BQ327" s="460"/>
      <c r="BR327" s="460"/>
      <c r="BS327" s="460"/>
      <c r="BT327" s="460"/>
      <c r="BU327" s="460"/>
      <c r="BV327" s="501"/>
      <c r="BW327" s="453"/>
    </row>
    <row r="328" spans="1:75" ht="15" customHeight="1" x14ac:dyDescent="0.2">
      <c r="A328" s="1752"/>
      <c r="C328" s="453"/>
      <c r="AK328" s="553"/>
      <c r="AL328" s="553"/>
      <c r="AM328" s="549"/>
      <c r="BV328" s="447"/>
      <c r="BW328" s="453"/>
    </row>
    <row r="329" spans="1:75" ht="15" customHeight="1" x14ac:dyDescent="0.2">
      <c r="A329" s="1752"/>
      <c r="C329" s="453"/>
      <c r="AK329" s="553"/>
      <c r="AL329" s="553"/>
      <c r="AM329" s="549"/>
      <c r="BV329" s="447"/>
      <c r="BW329" s="453"/>
    </row>
    <row r="330" spans="1:75" ht="15" customHeight="1" x14ac:dyDescent="0.2">
      <c r="A330" s="1752"/>
      <c r="C330" s="453"/>
      <c r="AK330" s="553"/>
      <c r="AL330" s="553"/>
      <c r="AM330" s="549"/>
      <c r="BV330" s="447"/>
      <c r="BW330" s="453"/>
    </row>
    <row r="331" spans="1:75" ht="15" customHeight="1" x14ac:dyDescent="0.2">
      <c r="A331" s="1752"/>
      <c r="C331" s="453"/>
      <c r="AK331" s="553"/>
      <c r="AL331" s="553"/>
      <c r="AM331" s="549"/>
      <c r="BV331" s="447"/>
      <c r="BW331" s="453"/>
    </row>
    <row r="332" spans="1:75" ht="15" customHeight="1" x14ac:dyDescent="0.2">
      <c r="A332" s="1752"/>
      <c r="C332" s="453"/>
      <c r="AK332" s="553"/>
      <c r="AL332" s="553"/>
      <c r="AM332" s="549"/>
      <c r="BV332" s="447"/>
      <c r="BW332" s="453"/>
    </row>
    <row r="333" spans="1:75" ht="15" customHeight="1" x14ac:dyDescent="0.2">
      <c r="A333" s="1752"/>
      <c r="C333" s="453"/>
      <c r="AK333" s="553"/>
      <c r="AL333" s="553"/>
      <c r="AM333" s="549"/>
      <c r="BV333" s="447"/>
      <c r="BW333" s="453"/>
    </row>
    <row r="334" spans="1:75" ht="15" customHeight="1" x14ac:dyDescent="0.2">
      <c r="A334" s="1752"/>
      <c r="C334" s="453"/>
      <c r="AK334" s="553"/>
      <c r="AL334" s="553"/>
      <c r="AM334" s="549"/>
      <c r="BV334" s="447"/>
      <c r="BW334" s="453"/>
    </row>
    <row r="335" spans="1:75" ht="15" customHeight="1" x14ac:dyDescent="0.2">
      <c r="A335" s="1752"/>
      <c r="C335" s="453"/>
      <c r="AK335" s="553"/>
      <c r="AL335" s="553"/>
      <c r="AM335" s="549"/>
      <c r="BV335" s="447"/>
      <c r="BW335" s="453"/>
    </row>
    <row r="336" spans="1:75" ht="15" customHeight="1" x14ac:dyDescent="0.2">
      <c r="A336" s="1752"/>
      <c r="C336" s="453"/>
      <c r="AK336" s="553"/>
      <c r="AL336" s="553"/>
      <c r="AM336" s="549"/>
      <c r="BV336" s="447"/>
      <c r="BW336" s="453"/>
    </row>
    <row r="337" spans="1:75" ht="15" customHeight="1" x14ac:dyDescent="0.2">
      <c r="A337" s="1752"/>
      <c r="C337" s="453"/>
      <c r="AK337" s="553"/>
      <c r="AL337" s="553"/>
      <c r="AM337" s="549"/>
      <c r="BV337" s="447"/>
      <c r="BW337" s="453"/>
    </row>
    <row r="338" spans="1:75" ht="15" customHeight="1" x14ac:dyDescent="0.2">
      <c r="A338" s="1752"/>
      <c r="C338" s="453"/>
      <c r="AK338" s="553"/>
      <c r="AL338" s="553"/>
      <c r="AM338" s="549"/>
      <c r="BV338" s="447"/>
      <c r="BW338" s="453"/>
    </row>
    <row r="339" spans="1:75" ht="15" customHeight="1" x14ac:dyDescent="0.2">
      <c r="A339" s="1752"/>
      <c r="C339" s="453"/>
      <c r="AK339" s="553"/>
      <c r="AL339" s="553"/>
      <c r="AM339" s="549"/>
      <c r="BV339" s="447"/>
      <c r="BW339" s="453"/>
    </row>
    <row r="340" spans="1:75" ht="15" customHeight="1" x14ac:dyDescent="0.2">
      <c r="A340" s="1752"/>
      <c r="C340" s="453"/>
      <c r="AK340" s="553"/>
      <c r="AL340" s="553"/>
      <c r="AM340" s="549"/>
      <c r="BV340" s="447"/>
      <c r="BW340" s="453"/>
    </row>
    <row r="341" spans="1:75" ht="15" customHeight="1" x14ac:dyDescent="0.2">
      <c r="A341" s="1752"/>
      <c r="C341" s="453"/>
      <c r="AK341" s="553"/>
      <c r="AL341" s="553"/>
      <c r="AM341" s="549"/>
      <c r="BV341" s="447"/>
      <c r="BW341" s="453"/>
    </row>
    <row r="342" spans="1:75" ht="15" customHeight="1" x14ac:dyDescent="0.2">
      <c r="A342" s="1752"/>
      <c r="C342" s="453"/>
      <c r="AK342" s="553"/>
      <c r="AL342" s="553"/>
      <c r="AM342" s="549"/>
      <c r="BV342" s="447"/>
      <c r="BW342" s="453"/>
    </row>
    <row r="343" spans="1:75" ht="15" customHeight="1" x14ac:dyDescent="0.2">
      <c r="A343" s="1752"/>
      <c r="C343" s="453"/>
      <c r="AK343" s="553"/>
      <c r="AL343" s="553"/>
      <c r="AM343" s="549"/>
      <c r="BV343" s="447"/>
      <c r="BW343" s="453"/>
    </row>
    <row r="344" spans="1:75" ht="15" customHeight="1" x14ac:dyDescent="0.2">
      <c r="A344" s="1752"/>
      <c r="C344" s="453"/>
      <c r="AK344" s="553"/>
      <c r="AL344" s="553"/>
      <c r="AM344" s="549"/>
      <c r="BV344" s="447"/>
      <c r="BW344" s="453"/>
    </row>
    <row r="345" spans="1:75" ht="15" customHeight="1" x14ac:dyDescent="0.2">
      <c r="A345" s="1752"/>
      <c r="C345" s="453"/>
      <c r="AK345" s="553"/>
      <c r="AL345" s="553"/>
      <c r="AM345" s="549"/>
      <c r="BV345" s="447"/>
      <c r="BW345" s="453"/>
    </row>
    <row r="346" spans="1:75" ht="15" customHeight="1" x14ac:dyDescent="0.3">
      <c r="A346" s="1752"/>
      <c r="C346" s="1772" t="str">
        <f>+'Fotos propiedad (2)'!C44:AK44</f>
        <v>Dormitorio</v>
      </c>
      <c r="D346" s="1773"/>
      <c r="E346" s="1773"/>
      <c r="F346" s="1773"/>
      <c r="G346" s="1773"/>
      <c r="H346" s="1773"/>
      <c r="I346" s="1773"/>
      <c r="J346" s="1773"/>
      <c r="K346" s="1773"/>
      <c r="L346" s="1773"/>
      <c r="M346" s="1773"/>
      <c r="N346" s="1773"/>
      <c r="O346" s="1773"/>
      <c r="P346" s="1773"/>
      <c r="Q346" s="1773"/>
      <c r="R346" s="1773"/>
      <c r="S346" s="1773"/>
      <c r="T346" s="1773"/>
      <c r="U346" s="1773"/>
      <c r="V346" s="1773"/>
      <c r="W346" s="1773"/>
      <c r="X346" s="1773"/>
      <c r="Y346" s="1773"/>
      <c r="Z346" s="1773"/>
      <c r="AA346" s="1773"/>
      <c r="AB346" s="1773"/>
      <c r="AC346" s="1773"/>
      <c r="AD346" s="1773"/>
      <c r="AE346" s="1773"/>
      <c r="AF346" s="1773"/>
      <c r="AG346" s="1773"/>
      <c r="AH346" s="1773"/>
      <c r="AI346" s="1773"/>
      <c r="AJ346" s="1773"/>
      <c r="AK346" s="1773"/>
      <c r="AL346" s="820"/>
      <c r="AM346" s="821"/>
      <c r="AN346" s="1774" t="str">
        <f>'Fotos propiedad (2)'!AN44:BU44</f>
        <v>Dormitorio</v>
      </c>
      <c r="AO346" s="1774"/>
      <c r="AP346" s="1774"/>
      <c r="AQ346" s="1774"/>
      <c r="AR346" s="1774"/>
      <c r="AS346" s="1774"/>
      <c r="AT346" s="1774"/>
      <c r="AU346" s="1774"/>
      <c r="AV346" s="1774"/>
      <c r="AW346" s="1774"/>
      <c r="AX346" s="1774"/>
      <c r="AY346" s="1774"/>
      <c r="AZ346" s="1774"/>
      <c r="BA346" s="1774"/>
      <c r="BB346" s="1774"/>
      <c r="BC346" s="1774"/>
      <c r="BD346" s="1774"/>
      <c r="BE346" s="1774"/>
      <c r="BF346" s="1774"/>
      <c r="BG346" s="1774"/>
      <c r="BH346" s="1774"/>
      <c r="BI346" s="1774"/>
      <c r="BJ346" s="1774"/>
      <c r="BK346" s="1774"/>
      <c r="BL346" s="1774"/>
      <c r="BM346" s="1774"/>
      <c r="BN346" s="1774"/>
      <c r="BO346" s="1774"/>
      <c r="BP346" s="1774"/>
      <c r="BQ346" s="1774"/>
      <c r="BR346" s="1774"/>
      <c r="BS346" s="1774"/>
      <c r="BT346" s="1774"/>
      <c r="BU346" s="1774"/>
      <c r="BV346" s="1775"/>
      <c r="BW346" s="453"/>
    </row>
    <row r="347" spans="1:75" ht="15" customHeight="1" x14ac:dyDescent="0.2">
      <c r="A347" s="1752"/>
      <c r="C347" s="500"/>
      <c r="D347" s="460"/>
      <c r="E347" s="460"/>
      <c r="F347" s="460"/>
      <c r="G347" s="460"/>
      <c r="H347" s="460"/>
      <c r="I347" s="460"/>
      <c r="J347" s="460"/>
      <c r="K347" s="460"/>
      <c r="L347" s="460"/>
      <c r="M347" s="460"/>
      <c r="N347" s="460"/>
      <c r="O347" s="460"/>
      <c r="P347" s="460"/>
      <c r="Q347" s="460"/>
      <c r="R347" s="460"/>
      <c r="S347" s="460"/>
      <c r="T347" s="460"/>
      <c r="U347" s="460"/>
      <c r="V347" s="460"/>
      <c r="W347" s="460"/>
      <c r="X347" s="460"/>
      <c r="Y347" s="460"/>
      <c r="Z347" s="460"/>
      <c r="AA347" s="460"/>
      <c r="AB347" s="460"/>
      <c r="AC347" s="460"/>
      <c r="AD347" s="460"/>
      <c r="AE347" s="460"/>
      <c r="AF347" s="460"/>
      <c r="AG347" s="460"/>
      <c r="AH347" s="460"/>
      <c r="AI347" s="460"/>
      <c r="AJ347" s="460"/>
      <c r="AK347" s="553"/>
      <c r="AL347" s="553"/>
      <c r="AM347" s="549"/>
      <c r="AN347" s="460"/>
      <c r="AO347" s="460"/>
      <c r="AP347" s="460"/>
      <c r="AQ347" s="460"/>
      <c r="AR347" s="460"/>
      <c r="AS347" s="460"/>
      <c r="AT347" s="460"/>
      <c r="AU347" s="460"/>
      <c r="AV347" s="460"/>
      <c r="AW347" s="460"/>
      <c r="AX347" s="460"/>
      <c r="AY347" s="460"/>
      <c r="AZ347" s="460"/>
      <c r="BA347" s="460"/>
      <c r="BB347" s="460"/>
      <c r="BC347" s="460"/>
      <c r="BD347" s="460"/>
      <c r="BE347" s="460"/>
      <c r="BF347" s="460"/>
      <c r="BG347" s="460"/>
      <c r="BH347" s="460"/>
      <c r="BI347" s="460"/>
      <c r="BJ347" s="460"/>
      <c r="BK347" s="460"/>
      <c r="BL347" s="460"/>
      <c r="BM347" s="460"/>
      <c r="BN347" s="460"/>
      <c r="BO347" s="460"/>
      <c r="BP347" s="460"/>
      <c r="BQ347" s="460"/>
      <c r="BR347" s="460"/>
      <c r="BS347" s="460"/>
      <c r="BT347" s="460"/>
      <c r="BU347" s="460"/>
      <c r="BV347" s="501"/>
      <c r="BW347" s="453"/>
    </row>
    <row r="348" spans="1:75" ht="15" customHeight="1" x14ac:dyDescent="0.2">
      <c r="A348" s="1752"/>
      <c r="C348" s="453"/>
      <c r="AK348" s="553"/>
      <c r="AL348" s="553"/>
      <c r="AM348" s="549"/>
      <c r="BV348" s="447"/>
      <c r="BW348" s="453"/>
    </row>
    <row r="349" spans="1:75" ht="15" customHeight="1" x14ac:dyDescent="0.2">
      <c r="A349" s="1752"/>
      <c r="C349" s="453"/>
      <c r="AK349" s="553"/>
      <c r="AL349" s="553"/>
      <c r="AM349" s="549"/>
      <c r="BV349" s="447"/>
      <c r="BW349" s="453"/>
    </row>
    <row r="350" spans="1:75" ht="15" customHeight="1" x14ac:dyDescent="0.2">
      <c r="A350" s="1752"/>
      <c r="C350" s="453"/>
      <c r="AK350" s="553"/>
      <c r="AL350" s="553"/>
      <c r="AM350" s="549"/>
      <c r="BV350" s="447"/>
      <c r="BW350" s="453"/>
    </row>
    <row r="351" spans="1:75" ht="15" customHeight="1" x14ac:dyDescent="0.2">
      <c r="A351" s="1752"/>
      <c r="C351" s="453"/>
      <c r="AK351" s="553"/>
      <c r="AL351" s="553"/>
      <c r="AM351" s="549"/>
      <c r="BV351" s="447"/>
      <c r="BW351" s="453"/>
    </row>
    <row r="352" spans="1:75" ht="15" customHeight="1" x14ac:dyDescent="0.2">
      <c r="A352" s="1752"/>
      <c r="C352" s="453"/>
      <c r="AK352" s="553"/>
      <c r="AL352" s="553"/>
      <c r="AM352" s="549"/>
      <c r="BV352" s="447"/>
      <c r="BW352" s="453"/>
    </row>
    <row r="353" spans="1:75" ht="15" customHeight="1" x14ac:dyDescent="0.2">
      <c r="A353" s="1752"/>
      <c r="C353" s="453"/>
      <c r="AK353" s="553"/>
      <c r="AL353" s="553"/>
      <c r="AM353" s="549"/>
      <c r="BV353" s="447"/>
      <c r="BW353" s="453"/>
    </row>
    <row r="354" spans="1:75" ht="15" customHeight="1" x14ac:dyDescent="0.2">
      <c r="A354" s="1752"/>
      <c r="C354" s="453"/>
      <c r="AK354" s="553"/>
      <c r="AL354" s="553"/>
      <c r="AM354" s="549"/>
      <c r="BV354" s="447"/>
      <c r="BW354" s="453"/>
    </row>
    <row r="355" spans="1:75" ht="15" customHeight="1" x14ac:dyDescent="0.2">
      <c r="A355" s="1752"/>
      <c r="C355" s="453"/>
      <c r="AK355" s="553"/>
      <c r="AL355" s="553"/>
      <c r="AM355" s="549"/>
      <c r="BV355" s="447"/>
      <c r="BW355" s="453"/>
    </row>
    <row r="356" spans="1:75" ht="15" customHeight="1" x14ac:dyDescent="0.2">
      <c r="A356" s="1752"/>
      <c r="C356" s="453"/>
      <c r="AK356" s="553"/>
      <c r="AL356" s="553"/>
      <c r="AM356" s="549"/>
      <c r="BV356" s="447"/>
      <c r="BW356" s="453"/>
    </row>
    <row r="357" spans="1:75" ht="15" customHeight="1" x14ac:dyDescent="0.2">
      <c r="A357" s="1752"/>
      <c r="C357" s="453"/>
      <c r="AK357" s="553"/>
      <c r="AL357" s="553"/>
      <c r="AM357" s="549"/>
      <c r="BV357" s="447"/>
      <c r="BW357" s="453"/>
    </row>
    <row r="358" spans="1:75" ht="15" customHeight="1" x14ac:dyDescent="0.2">
      <c r="A358" s="1752"/>
      <c r="C358" s="453"/>
      <c r="AK358" s="553"/>
      <c r="AL358" s="553"/>
      <c r="AM358" s="549"/>
      <c r="BV358" s="447"/>
      <c r="BW358" s="453"/>
    </row>
    <row r="359" spans="1:75" ht="15" customHeight="1" x14ac:dyDescent="0.2">
      <c r="A359" s="1752"/>
      <c r="C359" s="453"/>
      <c r="AK359" s="553"/>
      <c r="AL359" s="553"/>
      <c r="AM359" s="549"/>
      <c r="BV359" s="447"/>
      <c r="BW359" s="453"/>
    </row>
    <row r="360" spans="1:75" ht="15" customHeight="1" x14ac:dyDescent="0.2">
      <c r="A360" s="1752"/>
      <c r="C360" s="453"/>
      <c r="AK360" s="553"/>
      <c r="AL360" s="553"/>
      <c r="AM360" s="549"/>
      <c r="BV360" s="447"/>
      <c r="BW360" s="453"/>
    </row>
    <row r="361" spans="1:75" ht="15" customHeight="1" x14ac:dyDescent="0.2">
      <c r="A361" s="1752"/>
      <c r="C361" s="453"/>
      <c r="AK361" s="553"/>
      <c r="AL361" s="553"/>
      <c r="AM361" s="549"/>
      <c r="BV361" s="447"/>
      <c r="BW361" s="453"/>
    </row>
    <row r="362" spans="1:75" ht="15" customHeight="1" x14ac:dyDescent="0.2">
      <c r="A362" s="1752"/>
      <c r="C362" s="453"/>
      <c r="AK362" s="553"/>
      <c r="AL362" s="553"/>
      <c r="AM362" s="549"/>
      <c r="BV362" s="447"/>
      <c r="BW362" s="453"/>
    </row>
    <row r="363" spans="1:75" ht="15" customHeight="1" x14ac:dyDescent="0.2">
      <c r="A363" s="1752"/>
      <c r="C363" s="453"/>
      <c r="AK363" s="553"/>
      <c r="AL363" s="553"/>
      <c r="AM363" s="549"/>
      <c r="BV363" s="447"/>
      <c r="BW363" s="453"/>
    </row>
    <row r="364" spans="1:75" ht="15" customHeight="1" x14ac:dyDescent="0.2">
      <c r="A364" s="1752"/>
      <c r="C364" s="453"/>
      <c r="AK364" s="553"/>
      <c r="AL364" s="553"/>
      <c r="AM364" s="549"/>
      <c r="BV364" s="447"/>
      <c r="BW364" s="453"/>
    </row>
    <row r="365" spans="1:75" ht="15" customHeight="1" x14ac:dyDescent="0.2">
      <c r="A365" s="1752"/>
      <c r="C365" s="453"/>
      <c r="AK365" s="553"/>
      <c r="AL365" s="553"/>
      <c r="AM365" s="549"/>
      <c r="BV365" s="447"/>
      <c r="BW365" s="453"/>
    </row>
    <row r="366" spans="1:75" ht="15" customHeight="1" x14ac:dyDescent="0.3">
      <c r="A366" s="1752"/>
      <c r="C366" s="1772" t="str">
        <f>'Fotos propiedad (2)'!C64:AK64</f>
        <v xml:space="preserve">living </v>
      </c>
      <c r="D366" s="1773"/>
      <c r="E366" s="1773"/>
      <c r="F366" s="1773"/>
      <c r="G366" s="1773"/>
      <c r="H366" s="1773"/>
      <c r="I366" s="1773"/>
      <c r="J366" s="1773"/>
      <c r="K366" s="1773"/>
      <c r="L366" s="1773"/>
      <c r="M366" s="1773"/>
      <c r="N366" s="1773"/>
      <c r="O366" s="1773"/>
      <c r="P366" s="1773"/>
      <c r="Q366" s="1773"/>
      <c r="R366" s="1773"/>
      <c r="S366" s="1773"/>
      <c r="T366" s="1773"/>
      <c r="U366" s="1773"/>
      <c r="V366" s="1773"/>
      <c r="W366" s="1773"/>
      <c r="X366" s="1773"/>
      <c r="Y366" s="1773"/>
      <c r="Z366" s="1773"/>
      <c r="AA366" s="1773"/>
      <c r="AB366" s="1773"/>
      <c r="AC366" s="1773"/>
      <c r="AD366" s="1773"/>
      <c r="AE366" s="1773"/>
      <c r="AF366" s="1773"/>
      <c r="AG366" s="1773"/>
      <c r="AH366" s="1773"/>
      <c r="AI366" s="1773"/>
      <c r="AJ366" s="1773"/>
      <c r="AK366" s="1773"/>
      <c r="AL366" s="820"/>
      <c r="AM366" s="822"/>
      <c r="AN366" s="1774" t="str">
        <f>'Fotos propiedad (2)'!AN64:BU64</f>
        <v>Quinchos</v>
      </c>
      <c r="AO366" s="1774"/>
      <c r="AP366" s="1774"/>
      <c r="AQ366" s="1774"/>
      <c r="AR366" s="1774"/>
      <c r="AS366" s="1774"/>
      <c r="AT366" s="1774"/>
      <c r="AU366" s="1774"/>
      <c r="AV366" s="1774"/>
      <c r="AW366" s="1774"/>
      <c r="AX366" s="1774"/>
      <c r="AY366" s="1774"/>
      <c r="AZ366" s="1774"/>
      <c r="BA366" s="1774"/>
      <c r="BB366" s="1774"/>
      <c r="BC366" s="1774"/>
      <c r="BD366" s="1774"/>
      <c r="BE366" s="1774"/>
      <c r="BF366" s="1774"/>
      <c r="BG366" s="1774"/>
      <c r="BH366" s="1774"/>
      <c r="BI366" s="1774"/>
      <c r="BJ366" s="1774"/>
      <c r="BK366" s="1774"/>
      <c r="BL366" s="1774"/>
      <c r="BM366" s="1774"/>
      <c r="BN366" s="1774"/>
      <c r="BO366" s="1774"/>
      <c r="BP366" s="1774"/>
      <c r="BQ366" s="1774"/>
      <c r="BR366" s="1774"/>
      <c r="BS366" s="1774"/>
      <c r="BT366" s="1774"/>
      <c r="BU366" s="1774"/>
      <c r="BV366" s="1775"/>
      <c r="BW366" s="453"/>
    </row>
    <row r="367" spans="1:75" ht="15" customHeight="1" x14ac:dyDescent="0.2">
      <c r="A367" s="1752"/>
      <c r="C367" s="453"/>
      <c r="AK367" s="553"/>
      <c r="AL367" s="553"/>
      <c r="AM367" s="549"/>
      <c r="BV367" s="447"/>
      <c r="BW367" s="453"/>
    </row>
    <row r="368" spans="1:75" ht="15" customHeight="1" x14ac:dyDescent="0.2">
      <c r="A368" s="1752"/>
      <c r="C368" s="453"/>
      <c r="AK368" s="553"/>
      <c r="AL368" s="553"/>
      <c r="AM368" s="549"/>
      <c r="BV368" s="447"/>
      <c r="BW368" s="453"/>
    </row>
    <row r="369" spans="1:75" ht="15" customHeight="1" x14ac:dyDescent="0.2">
      <c r="A369" s="1752"/>
      <c r="C369" s="453"/>
      <c r="AK369" s="553"/>
      <c r="AL369" s="553"/>
      <c r="AM369" s="549"/>
      <c r="BV369" s="447"/>
      <c r="BW369" s="453"/>
    </row>
    <row r="370" spans="1:75" ht="15" customHeight="1" x14ac:dyDescent="0.2">
      <c r="A370" s="1752"/>
      <c r="C370" s="453"/>
      <c r="AK370" s="553"/>
      <c r="AL370" s="553"/>
      <c r="AM370" s="549"/>
      <c r="BV370" s="447"/>
      <c r="BW370" s="453"/>
    </row>
    <row r="371" spans="1:75" ht="15" customHeight="1" x14ac:dyDescent="0.2">
      <c r="A371" s="1752"/>
      <c r="C371" s="453"/>
      <c r="AK371" s="553"/>
      <c r="AL371" s="553"/>
      <c r="AM371" s="549"/>
      <c r="BV371" s="447"/>
      <c r="BW371" s="453"/>
    </row>
    <row r="372" spans="1:75" ht="15" customHeight="1" x14ac:dyDescent="0.2">
      <c r="A372" s="1752"/>
      <c r="C372" s="453"/>
      <c r="AK372" s="553"/>
      <c r="AL372" s="553"/>
      <c r="AM372" s="549"/>
      <c r="BV372" s="447"/>
      <c r="BW372" s="453"/>
    </row>
    <row r="373" spans="1:75" ht="15" customHeight="1" x14ac:dyDescent="0.2">
      <c r="A373" s="1752"/>
      <c r="C373" s="453"/>
      <c r="AK373" s="553"/>
      <c r="AL373" s="553"/>
      <c r="AM373" s="549"/>
      <c r="BV373" s="447"/>
      <c r="BW373" s="453"/>
    </row>
    <row r="374" spans="1:75" ht="15" customHeight="1" x14ac:dyDescent="0.2">
      <c r="A374" s="1752"/>
      <c r="C374" s="453"/>
      <c r="AK374" s="553"/>
      <c r="AL374" s="553"/>
      <c r="AM374" s="549"/>
      <c r="BV374" s="447"/>
      <c r="BW374" s="453"/>
    </row>
    <row r="375" spans="1:75" ht="15" customHeight="1" x14ac:dyDescent="0.2">
      <c r="A375" s="1752"/>
      <c r="C375" s="453"/>
      <c r="AK375" s="553"/>
      <c r="AL375" s="553"/>
      <c r="AM375" s="549"/>
      <c r="BV375" s="447"/>
      <c r="BW375" s="453"/>
    </row>
    <row r="376" spans="1:75" ht="15" customHeight="1" x14ac:dyDescent="0.2">
      <c r="A376" s="1752"/>
      <c r="C376" s="453"/>
      <c r="AK376" s="553"/>
      <c r="AL376" s="553"/>
      <c r="AM376" s="549"/>
      <c r="BV376" s="447"/>
      <c r="BW376" s="453"/>
    </row>
    <row r="377" spans="1:75" ht="15" customHeight="1" x14ac:dyDescent="0.2">
      <c r="A377" s="1752"/>
      <c r="C377" s="453"/>
      <c r="AK377" s="553"/>
      <c r="AL377" s="553"/>
      <c r="AM377" s="549"/>
      <c r="BV377" s="447"/>
      <c r="BW377" s="443"/>
    </row>
    <row r="378" spans="1:75" ht="15" customHeight="1" x14ac:dyDescent="0.2">
      <c r="A378" s="1752"/>
      <c r="C378" s="453"/>
      <c r="AK378" s="553"/>
      <c r="AL378" s="553"/>
      <c r="AM378" s="549"/>
      <c r="BV378" s="447"/>
      <c r="BW378" s="443"/>
    </row>
    <row r="379" spans="1:75" ht="15" customHeight="1" x14ac:dyDescent="0.2">
      <c r="A379" s="1752"/>
      <c r="C379" s="453"/>
      <c r="AK379" s="553"/>
      <c r="AL379" s="553"/>
      <c r="AM379" s="549"/>
      <c r="BV379" s="447"/>
      <c r="BW379" s="443"/>
    </row>
    <row r="380" spans="1:75" ht="15" customHeight="1" x14ac:dyDescent="0.2">
      <c r="A380" s="1752"/>
      <c r="C380" s="453"/>
      <c r="AK380" s="553"/>
      <c r="AL380" s="553"/>
      <c r="AM380" s="549"/>
      <c r="BV380" s="447"/>
      <c r="BW380" s="443"/>
    </row>
    <row r="381" spans="1:75" ht="15" customHeight="1" x14ac:dyDescent="0.2">
      <c r="A381" s="1752"/>
      <c r="C381" s="453"/>
      <c r="AK381" s="553"/>
      <c r="AL381" s="553"/>
      <c r="AM381" s="549"/>
      <c r="BV381" s="447"/>
      <c r="BW381" s="443"/>
    </row>
    <row r="382" spans="1:75" ht="15" customHeight="1" x14ac:dyDescent="0.2">
      <c r="A382" s="1752"/>
      <c r="C382" s="453"/>
      <c r="AK382" s="553"/>
      <c r="AL382" s="553"/>
      <c r="AM382" s="549"/>
      <c r="BV382" s="447"/>
      <c r="BW382" s="443"/>
    </row>
    <row r="383" spans="1:75" ht="15" customHeight="1" x14ac:dyDescent="0.2">
      <c r="A383" s="1752"/>
      <c r="C383" s="453"/>
      <c r="AK383" s="553"/>
      <c r="AL383" s="553"/>
      <c r="AM383" s="549"/>
      <c r="BV383" s="447"/>
      <c r="BW383" s="443"/>
    </row>
    <row r="384" spans="1:75" ht="15" customHeight="1" x14ac:dyDescent="0.2">
      <c r="A384" s="1752"/>
      <c r="C384" s="453"/>
      <c r="AK384" s="553"/>
      <c r="AL384" s="553"/>
      <c r="AM384" s="549"/>
      <c r="BV384" s="447"/>
      <c r="BW384" s="443"/>
    </row>
    <row r="385" spans="1:75" ht="15" customHeight="1" x14ac:dyDescent="0.2">
      <c r="A385" s="1752"/>
      <c r="C385" s="453"/>
      <c r="AK385" s="553"/>
      <c r="AL385" s="553"/>
      <c r="AM385" s="549"/>
      <c r="BV385" s="447"/>
      <c r="BW385" s="443"/>
    </row>
    <row r="386" spans="1:75" ht="15" customHeight="1" thickBot="1" x14ac:dyDescent="0.35">
      <c r="A386" s="1752"/>
      <c r="C386" s="1776" t="str">
        <f>'Fotos propiedad (2)'!C84:AK84</f>
        <v>Sala multiuso</v>
      </c>
      <c r="D386" s="1777"/>
      <c r="E386" s="1777"/>
      <c r="F386" s="1777"/>
      <c r="G386" s="1777"/>
      <c r="H386" s="1777"/>
      <c r="I386" s="1777"/>
      <c r="J386" s="1777"/>
      <c r="K386" s="1777"/>
      <c r="L386" s="1777"/>
      <c r="M386" s="1777"/>
      <c r="N386" s="1777"/>
      <c r="O386" s="1777"/>
      <c r="P386" s="1777"/>
      <c r="Q386" s="1777"/>
      <c r="R386" s="1777"/>
      <c r="S386" s="1777"/>
      <c r="T386" s="1777"/>
      <c r="U386" s="1777"/>
      <c r="V386" s="1777"/>
      <c r="W386" s="1777"/>
      <c r="X386" s="1777"/>
      <c r="Y386" s="1777"/>
      <c r="Z386" s="1777"/>
      <c r="AA386" s="1777"/>
      <c r="AB386" s="1777"/>
      <c r="AC386" s="1777"/>
      <c r="AD386" s="1777"/>
      <c r="AE386" s="1777"/>
      <c r="AF386" s="1777"/>
      <c r="AG386" s="1777"/>
      <c r="AH386" s="1777"/>
      <c r="AI386" s="1777"/>
      <c r="AJ386" s="1777"/>
      <c r="AK386" s="1777"/>
      <c r="AL386" s="824"/>
      <c r="AM386" s="825"/>
      <c r="AN386" s="1777" t="str">
        <f>'Fotos propiedad (2)'!AN84:BU84</f>
        <v>Numeración Propiedad y/o Nombre de la calle</v>
      </c>
      <c r="AO386" s="1777"/>
      <c r="AP386" s="1777"/>
      <c r="AQ386" s="1777"/>
      <c r="AR386" s="1777"/>
      <c r="AS386" s="1777"/>
      <c r="AT386" s="1777"/>
      <c r="AU386" s="1777"/>
      <c r="AV386" s="1777"/>
      <c r="AW386" s="1777"/>
      <c r="AX386" s="1777"/>
      <c r="AY386" s="1777"/>
      <c r="AZ386" s="1777"/>
      <c r="BA386" s="1777"/>
      <c r="BB386" s="1777"/>
      <c r="BC386" s="1777"/>
      <c r="BD386" s="1777"/>
      <c r="BE386" s="1777"/>
      <c r="BF386" s="1777"/>
      <c r="BG386" s="1777"/>
      <c r="BH386" s="1777"/>
      <c r="BI386" s="1777"/>
      <c r="BJ386" s="1777"/>
      <c r="BK386" s="1777"/>
      <c r="BL386" s="1777"/>
      <c r="BM386" s="1777"/>
      <c r="BN386" s="1777"/>
      <c r="BO386" s="1777"/>
      <c r="BP386" s="1777"/>
      <c r="BQ386" s="1777"/>
      <c r="BR386" s="1777"/>
      <c r="BS386" s="1777"/>
      <c r="BT386" s="1777"/>
      <c r="BU386" s="1777"/>
      <c r="BV386" s="1778"/>
      <c r="BW386" s="443"/>
    </row>
    <row r="387" spans="1:75" ht="15" customHeight="1" thickBot="1" x14ac:dyDescent="0.25">
      <c r="A387" s="682"/>
      <c r="C387" s="473"/>
      <c r="D387" s="473"/>
      <c r="E387" s="473"/>
      <c r="F387" s="473"/>
      <c r="G387" s="473"/>
      <c r="H387" s="473"/>
      <c r="I387" s="473"/>
      <c r="J387" s="473"/>
      <c r="K387" s="473"/>
      <c r="L387" s="473"/>
      <c r="M387" s="473"/>
      <c r="N387" s="473"/>
      <c r="O387" s="473"/>
      <c r="P387" s="473"/>
      <c r="Q387" s="473"/>
      <c r="R387" s="473"/>
      <c r="S387" s="473"/>
      <c r="T387" s="473"/>
      <c r="U387" s="473"/>
      <c r="V387" s="473"/>
      <c r="W387" s="473"/>
      <c r="X387" s="473"/>
      <c r="Y387" s="473"/>
      <c r="Z387" s="473"/>
      <c r="AA387" s="473"/>
      <c r="AB387" s="473"/>
      <c r="AC387" s="473"/>
      <c r="AD387" s="473"/>
      <c r="AE387" s="473"/>
      <c r="AF387" s="473"/>
      <c r="AG387" s="473"/>
      <c r="AH387" s="473"/>
      <c r="AI387" s="473"/>
      <c r="AJ387" s="473"/>
      <c r="AK387" s="473"/>
      <c r="AL387" s="473"/>
      <c r="AM387" s="473"/>
      <c r="AN387" s="473"/>
      <c r="AO387" s="473"/>
      <c r="AP387" s="473"/>
      <c r="AQ387" s="473"/>
      <c r="AR387" s="473"/>
      <c r="AS387" s="473"/>
      <c r="AT387" s="473"/>
      <c r="AU387" s="473"/>
      <c r="AV387" s="473"/>
      <c r="AW387" s="473"/>
      <c r="AX387" s="473"/>
      <c r="AY387" s="473"/>
      <c r="AZ387" s="473"/>
      <c r="BA387" s="473"/>
      <c r="BB387" s="473"/>
      <c r="BC387" s="473"/>
      <c r="BD387" s="473"/>
      <c r="BE387" s="473"/>
      <c r="BF387" s="473"/>
      <c r="BG387" s="473"/>
      <c r="BH387" s="473"/>
      <c r="BI387" s="473"/>
      <c r="BJ387" s="473"/>
      <c r="BK387" s="473"/>
      <c r="BL387" s="473"/>
      <c r="BM387" s="473"/>
      <c r="BN387" s="473"/>
      <c r="BO387" s="473"/>
      <c r="BP387" s="473"/>
      <c r="BQ387" s="473"/>
      <c r="BR387" s="621" t="s">
        <v>1827</v>
      </c>
      <c r="BT387" s="666"/>
      <c r="BU387" s="666"/>
      <c r="BV387" s="666"/>
      <c r="BW387" s="443"/>
    </row>
    <row r="388" spans="1:75" ht="15" customHeight="1" x14ac:dyDescent="0.25">
      <c r="A388" s="682"/>
      <c r="C388" s="1673" t="s">
        <v>1202</v>
      </c>
      <c r="D388" s="1674"/>
      <c r="E388" s="1674"/>
      <c r="F388" s="1674"/>
      <c r="G388" s="1674"/>
      <c r="H388" s="1674"/>
      <c r="I388" s="1674"/>
      <c r="J388" s="1674"/>
      <c r="K388" s="1745" t="str">
        <f>K87</f>
        <v>Janeth Patricia Cando Arias</v>
      </c>
      <c r="L388" s="1745"/>
      <c r="M388" s="1745"/>
      <c r="N388" s="1745"/>
      <c r="O388" s="1745"/>
      <c r="P388" s="1745"/>
      <c r="Q388" s="1745"/>
      <c r="R388" s="1745"/>
      <c r="S388" s="1745"/>
      <c r="T388" s="1745"/>
      <c r="U388" s="1745"/>
      <c r="V388" s="1745"/>
      <c r="W388" s="1745"/>
      <c r="X388" s="1745"/>
      <c r="Y388" s="1745"/>
      <c r="Z388" s="1745"/>
      <c r="AA388" s="1745"/>
      <c r="AB388" s="1745"/>
      <c r="AC388" s="1745"/>
      <c r="AD388" s="1745"/>
      <c r="AE388" s="1745"/>
      <c r="AF388" s="1745"/>
      <c r="AG388" s="1745"/>
      <c r="AH388" s="1745"/>
      <c r="AI388" s="1745"/>
      <c r="AJ388" s="1745"/>
      <c r="AK388" s="1745"/>
      <c r="AL388" s="1745"/>
      <c r="AM388" s="1745"/>
      <c r="AN388" s="1745"/>
      <c r="AO388" s="1675" t="s">
        <v>466</v>
      </c>
      <c r="AP388" s="1675"/>
      <c r="AQ388" s="1675"/>
      <c r="AR388" s="1675"/>
      <c r="AS388" s="1675"/>
      <c r="AT388" s="1675"/>
      <c r="AU388" s="1675"/>
      <c r="AV388" s="1675"/>
      <c r="AW388" s="1675"/>
      <c r="AX388" s="1637" t="str">
        <f>AX87</f>
        <v>Coronel Souper N° 4060, Departamento: N°2502 B, Edificio Mirador Souper</v>
      </c>
      <c r="AY388" s="1637"/>
      <c r="AZ388" s="1637"/>
      <c r="BA388" s="1637"/>
      <c r="BB388" s="1637"/>
      <c r="BC388" s="1637"/>
      <c r="BD388" s="1637"/>
      <c r="BE388" s="1637"/>
      <c r="BF388" s="1637"/>
      <c r="BG388" s="1637"/>
      <c r="BH388" s="1637"/>
      <c r="BI388" s="1637"/>
      <c r="BJ388" s="1637"/>
      <c r="BK388" s="1637"/>
      <c r="BL388" s="1637"/>
      <c r="BM388" s="1637"/>
      <c r="BN388" s="1637"/>
      <c r="BO388" s="1637"/>
      <c r="BP388" s="1637"/>
      <c r="BQ388" s="1637"/>
      <c r="BR388" s="1637"/>
      <c r="BS388" s="1637"/>
      <c r="BT388" s="1637"/>
      <c r="BU388" s="1637"/>
      <c r="BV388" s="1638"/>
      <c r="BW388" s="443"/>
    </row>
    <row r="389" spans="1:75" ht="15" customHeight="1" thickBot="1" x14ac:dyDescent="0.25">
      <c r="A389" s="682"/>
      <c r="C389" s="1640" t="s">
        <v>1203</v>
      </c>
      <c r="D389" s="1617"/>
      <c r="E389" s="1617"/>
      <c r="F389" s="1617"/>
      <c r="G389" s="1617"/>
      <c r="H389" s="1617"/>
      <c r="I389" s="1617"/>
      <c r="J389" s="1617"/>
      <c r="K389" s="1784" t="str">
        <f>K88</f>
        <v>22.959.221-1</v>
      </c>
      <c r="L389" s="1784"/>
      <c r="M389" s="1784"/>
      <c r="N389" s="1784"/>
      <c r="O389" s="1784"/>
      <c r="P389" s="1784"/>
      <c r="Q389" s="1784"/>
      <c r="R389" s="1784"/>
      <c r="S389" s="1784"/>
      <c r="T389" s="1784"/>
      <c r="U389" s="1784"/>
      <c r="V389" s="1784"/>
      <c r="W389" s="1784"/>
      <c r="X389" s="1784"/>
      <c r="Y389" s="1784"/>
      <c r="Z389" s="1784"/>
      <c r="AA389" s="1784"/>
      <c r="AB389" s="1784"/>
      <c r="AC389" s="1784"/>
      <c r="AD389" s="1784"/>
      <c r="AE389" s="1784"/>
      <c r="AF389" s="1784"/>
      <c r="AG389" s="1784"/>
      <c r="AH389" s="1784"/>
      <c r="AI389" s="1784"/>
      <c r="AJ389" s="1784"/>
      <c r="AK389" s="1784"/>
      <c r="AL389" s="1784"/>
      <c r="AM389" s="1784"/>
      <c r="AN389" s="1784"/>
      <c r="AO389" s="1641" t="s">
        <v>908</v>
      </c>
      <c r="AP389" s="1641"/>
      <c r="AQ389" s="1641"/>
      <c r="AR389" s="1641"/>
      <c r="AS389" s="1641"/>
      <c r="AT389" s="1641"/>
      <c r="AU389" s="1641"/>
      <c r="AV389" s="1641"/>
      <c r="AW389" s="1641"/>
      <c r="AX389" s="1617" t="str">
        <f>AX88</f>
        <v>AGH -1548</v>
      </c>
      <c r="AY389" s="1617"/>
      <c r="AZ389" s="1617"/>
      <c r="BA389" s="1617"/>
      <c r="BB389" s="1617"/>
      <c r="BC389" s="1617"/>
      <c r="BD389" s="1617"/>
      <c r="BE389" s="1617"/>
      <c r="BF389" s="1617"/>
      <c r="BG389" s="1617"/>
      <c r="BH389" s="1617"/>
      <c r="BI389" s="1617"/>
      <c r="BJ389" s="1617"/>
      <c r="BK389" s="1617"/>
      <c r="BL389" s="1617"/>
      <c r="BM389" s="1617"/>
      <c r="BN389" s="1617"/>
      <c r="BO389" s="1617"/>
      <c r="BP389" s="1617"/>
      <c r="BQ389" s="1617"/>
      <c r="BR389" s="1617"/>
      <c r="BS389" s="1617"/>
      <c r="BT389" s="1617"/>
      <c r="BU389" s="1617"/>
      <c r="BV389" s="1618"/>
      <c r="BW389" s="443"/>
    </row>
    <row r="390" spans="1:75" ht="15" customHeight="1" thickBot="1" x14ac:dyDescent="0.25">
      <c r="BW390" s="443"/>
    </row>
    <row r="391" spans="1:75" ht="15" customHeight="1" x14ac:dyDescent="0.2">
      <c r="A391" s="1752" t="s">
        <v>1918</v>
      </c>
      <c r="B391" s="742"/>
      <c r="C391" s="1754" t="s">
        <v>1914</v>
      </c>
      <c r="D391" s="1755"/>
      <c r="E391" s="1755"/>
      <c r="F391" s="1755"/>
      <c r="G391" s="1755"/>
      <c r="H391" s="1755"/>
      <c r="I391" s="1755"/>
      <c r="J391" s="1755"/>
      <c r="K391" s="1755"/>
      <c r="L391" s="1755"/>
      <c r="M391" s="1755"/>
      <c r="N391" s="1755"/>
      <c r="O391" s="1755"/>
      <c r="P391" s="1755"/>
      <c r="Q391" s="1755"/>
      <c r="R391" s="1755"/>
      <c r="S391" s="1755"/>
      <c r="T391" s="1755"/>
      <c r="U391" s="1755"/>
      <c r="V391" s="1755"/>
      <c r="W391" s="1755"/>
      <c r="X391" s="1755"/>
      <c r="Y391" s="1755"/>
      <c r="Z391" s="1755"/>
      <c r="AA391" s="1755"/>
      <c r="AB391" s="1755"/>
      <c r="AC391" s="1755"/>
      <c r="AD391" s="1755"/>
      <c r="AE391" s="1755"/>
      <c r="AF391" s="1755"/>
      <c r="AG391" s="1755"/>
      <c r="AH391" s="1755"/>
      <c r="AI391" s="1755"/>
      <c r="AJ391" s="1755"/>
      <c r="AK391" s="1755"/>
      <c r="AL391" s="1755"/>
      <c r="AM391" s="1755"/>
      <c r="AN391" s="1755"/>
      <c r="AO391" s="1755"/>
      <c r="AP391" s="1755"/>
      <c r="AQ391" s="1755"/>
      <c r="AR391" s="1755"/>
      <c r="AS391" s="1755"/>
      <c r="AT391" s="1755"/>
      <c r="AU391" s="1755"/>
      <c r="AV391" s="1755"/>
      <c r="AW391" s="1755"/>
      <c r="AX391" s="1755"/>
      <c r="AY391" s="1755"/>
      <c r="AZ391" s="1755"/>
      <c r="BA391" s="1755"/>
      <c r="BB391" s="1755"/>
      <c r="BC391" s="1755"/>
      <c r="BD391" s="1755"/>
      <c r="BE391" s="1755"/>
      <c r="BF391" s="1755"/>
      <c r="BG391" s="1755"/>
      <c r="BH391" s="1755"/>
      <c r="BI391" s="1755"/>
      <c r="BJ391" s="1755"/>
      <c r="BK391" s="1755"/>
      <c r="BL391" s="1755"/>
      <c r="BM391" s="1755"/>
      <c r="BN391" s="1755"/>
      <c r="BO391" s="1755"/>
      <c r="BP391" s="1755"/>
      <c r="BQ391" s="1755"/>
      <c r="BR391" s="1755"/>
      <c r="BS391" s="1755"/>
      <c r="BT391" s="1755"/>
      <c r="BU391" s="1755"/>
      <c r="BV391" s="1756"/>
      <c r="BW391" s="443"/>
    </row>
    <row r="392" spans="1:75" ht="15" customHeight="1" x14ac:dyDescent="0.2">
      <c r="A392" s="1752"/>
      <c r="B392" s="742"/>
      <c r="C392" s="1757"/>
      <c r="D392" s="1758"/>
      <c r="E392" s="1758"/>
      <c r="F392" s="1758"/>
      <c r="G392" s="1758"/>
      <c r="H392" s="1758"/>
      <c r="I392" s="1758"/>
      <c r="J392" s="1758"/>
      <c r="K392" s="1758"/>
      <c r="L392" s="1758"/>
      <c r="M392" s="1758"/>
      <c r="N392" s="1758"/>
      <c r="O392" s="1758"/>
      <c r="P392" s="1758"/>
      <c r="Q392" s="1758"/>
      <c r="R392" s="1758"/>
      <c r="S392" s="1758"/>
      <c r="T392" s="1758"/>
      <c r="U392" s="1758"/>
      <c r="V392" s="1758"/>
      <c r="W392" s="1758"/>
      <c r="X392" s="1758"/>
      <c r="Y392" s="1758"/>
      <c r="Z392" s="1758"/>
      <c r="AA392" s="1758"/>
      <c r="AB392" s="1758"/>
      <c r="AC392" s="1758"/>
      <c r="AD392" s="1758"/>
      <c r="AE392" s="1758"/>
      <c r="AF392" s="1758"/>
      <c r="AG392" s="1758"/>
      <c r="AH392" s="1758"/>
      <c r="AI392" s="1758"/>
      <c r="AJ392" s="1758"/>
      <c r="AK392" s="1758"/>
      <c r="AL392" s="1758"/>
      <c r="AM392" s="1758"/>
      <c r="AN392" s="1758"/>
      <c r="AO392" s="1758"/>
      <c r="AP392" s="1758"/>
      <c r="AQ392" s="1758"/>
      <c r="AR392" s="1758"/>
      <c r="AS392" s="1758"/>
      <c r="AT392" s="1758"/>
      <c r="AU392" s="1758"/>
      <c r="AV392" s="1758"/>
      <c r="AW392" s="1758"/>
      <c r="AX392" s="1758"/>
      <c r="AY392" s="1758"/>
      <c r="AZ392" s="1758"/>
      <c r="BA392" s="1758"/>
      <c r="BB392" s="1758"/>
      <c r="BC392" s="1758"/>
      <c r="BD392" s="1758"/>
      <c r="BE392" s="1758"/>
      <c r="BF392" s="1758"/>
      <c r="BG392" s="1758"/>
      <c r="BH392" s="1758"/>
      <c r="BI392" s="1758"/>
      <c r="BJ392" s="1758"/>
      <c r="BK392" s="1758"/>
      <c r="BL392" s="1758"/>
      <c r="BM392" s="1758"/>
      <c r="BN392" s="1758"/>
      <c r="BO392" s="1758"/>
      <c r="BP392" s="1758"/>
      <c r="BQ392" s="1758"/>
      <c r="BR392" s="1758"/>
      <c r="BS392" s="1758"/>
      <c r="BT392" s="1758"/>
      <c r="BU392" s="1758"/>
      <c r="BV392" s="1759"/>
      <c r="BW392" s="443"/>
    </row>
    <row r="393" spans="1:75" ht="15" customHeight="1" thickBot="1" x14ac:dyDescent="0.25">
      <c r="A393" s="1752"/>
      <c r="B393" s="742"/>
      <c r="C393" s="1760"/>
      <c r="D393" s="1761"/>
      <c r="E393" s="1761"/>
      <c r="F393" s="1761"/>
      <c r="G393" s="1761"/>
      <c r="H393" s="1761"/>
      <c r="I393" s="1761"/>
      <c r="J393" s="1761"/>
      <c r="K393" s="1761"/>
      <c r="L393" s="1761"/>
      <c r="M393" s="1761"/>
      <c r="N393" s="1761"/>
      <c r="O393" s="1761"/>
      <c r="P393" s="1761"/>
      <c r="Q393" s="1761"/>
      <c r="R393" s="1761"/>
      <c r="S393" s="1761"/>
      <c r="T393" s="1761"/>
      <c r="U393" s="1761"/>
      <c r="V393" s="1761"/>
      <c r="W393" s="1761"/>
      <c r="X393" s="1761"/>
      <c r="Y393" s="1761"/>
      <c r="Z393" s="1761"/>
      <c r="AA393" s="1761"/>
      <c r="AB393" s="1761"/>
      <c r="AC393" s="1761"/>
      <c r="AD393" s="1761"/>
      <c r="AE393" s="1761"/>
      <c r="AF393" s="1761"/>
      <c r="AG393" s="1761"/>
      <c r="AH393" s="1761"/>
      <c r="AI393" s="1761"/>
      <c r="AJ393" s="1761"/>
      <c r="AK393" s="1761"/>
      <c r="AL393" s="1761"/>
      <c r="AM393" s="1761"/>
      <c r="AN393" s="1761"/>
      <c r="AO393" s="1761"/>
      <c r="AP393" s="1761"/>
      <c r="AQ393" s="1761"/>
      <c r="AR393" s="1761"/>
      <c r="AS393" s="1761"/>
      <c r="AT393" s="1761"/>
      <c r="AU393" s="1761"/>
      <c r="AV393" s="1761"/>
      <c r="AW393" s="1761"/>
      <c r="AX393" s="1761"/>
      <c r="AY393" s="1761"/>
      <c r="AZ393" s="1761"/>
      <c r="BA393" s="1761"/>
      <c r="BB393" s="1761"/>
      <c r="BC393" s="1761"/>
      <c r="BD393" s="1761"/>
      <c r="BE393" s="1761"/>
      <c r="BF393" s="1761"/>
      <c r="BG393" s="1761"/>
      <c r="BH393" s="1761"/>
      <c r="BI393" s="1761"/>
      <c r="BJ393" s="1761"/>
      <c r="BK393" s="1761"/>
      <c r="BL393" s="1761"/>
      <c r="BM393" s="1761"/>
      <c r="BN393" s="1761"/>
      <c r="BO393" s="1761"/>
      <c r="BP393" s="1761"/>
      <c r="BQ393" s="1761"/>
      <c r="BR393" s="1761"/>
      <c r="BS393" s="1761"/>
      <c r="BT393" s="1761"/>
      <c r="BU393" s="1761"/>
      <c r="BV393" s="1762"/>
      <c r="BW393" s="443"/>
    </row>
    <row r="394" spans="1:75" ht="15" customHeight="1" x14ac:dyDescent="0.2">
      <c r="A394" s="1752"/>
      <c r="B394" s="742"/>
      <c r="C394" s="1763">
        <f>Anexo!B7</f>
        <v>0</v>
      </c>
      <c r="D394" s="1764"/>
      <c r="E394" s="1764"/>
      <c r="F394" s="1764"/>
      <c r="G394" s="1764"/>
      <c r="H394" s="1764"/>
      <c r="I394" s="1764"/>
      <c r="J394" s="1764"/>
      <c r="K394" s="1764"/>
      <c r="L394" s="1764"/>
      <c r="M394" s="1764"/>
      <c r="N394" s="1764"/>
      <c r="O394" s="1764"/>
      <c r="P394" s="1764"/>
      <c r="Q394" s="1764"/>
      <c r="R394" s="1764"/>
      <c r="S394" s="1764"/>
      <c r="T394" s="1764"/>
      <c r="U394" s="1764"/>
      <c r="V394" s="1764"/>
      <c r="W394" s="1764"/>
      <c r="X394" s="1764"/>
      <c r="Y394" s="1764"/>
      <c r="Z394" s="1764"/>
      <c r="AA394" s="1764"/>
      <c r="AB394" s="1764"/>
      <c r="AC394" s="1764"/>
      <c r="AD394" s="1764"/>
      <c r="AE394" s="1764"/>
      <c r="AF394" s="1764"/>
      <c r="AG394" s="1764"/>
      <c r="AH394" s="1764"/>
      <c r="AI394" s="1764"/>
      <c r="AJ394" s="1764"/>
      <c r="AK394" s="1764"/>
      <c r="AL394" s="1764"/>
      <c r="AM394" s="1764"/>
      <c r="AN394" s="1764"/>
      <c r="AO394" s="1764"/>
      <c r="AP394" s="1764"/>
      <c r="AQ394" s="1764"/>
      <c r="AR394" s="1764"/>
      <c r="AS394" s="1764"/>
      <c r="AT394" s="1764"/>
      <c r="AU394" s="1764"/>
      <c r="AV394" s="1764"/>
      <c r="AW394" s="1764"/>
      <c r="AX394" s="1764"/>
      <c r="AY394" s="1764"/>
      <c r="AZ394" s="1764"/>
      <c r="BA394" s="1764"/>
      <c r="BB394" s="1764"/>
      <c r="BC394" s="1764"/>
      <c r="BD394" s="1764"/>
      <c r="BE394" s="1764"/>
      <c r="BF394" s="1764"/>
      <c r="BG394" s="1764"/>
      <c r="BH394" s="1764"/>
      <c r="BI394" s="1764"/>
      <c r="BJ394" s="1764"/>
      <c r="BK394" s="1764"/>
      <c r="BL394" s="1764"/>
      <c r="BM394" s="1764"/>
      <c r="BN394" s="1764"/>
      <c r="BO394" s="1764"/>
      <c r="BP394" s="1764"/>
      <c r="BQ394" s="1764"/>
      <c r="BR394" s="1764"/>
      <c r="BS394" s="1764"/>
      <c r="BT394" s="1764"/>
      <c r="BU394" s="1764"/>
      <c r="BV394" s="1765"/>
      <c r="BW394" s="443"/>
    </row>
    <row r="395" spans="1:75" ht="15" customHeight="1" x14ac:dyDescent="0.2">
      <c r="A395" s="1752"/>
      <c r="B395" s="742"/>
      <c r="C395" s="1766"/>
      <c r="D395" s="1767"/>
      <c r="E395" s="1767"/>
      <c r="F395" s="1767"/>
      <c r="G395" s="1767"/>
      <c r="H395" s="1767"/>
      <c r="I395" s="1767"/>
      <c r="J395" s="1767"/>
      <c r="K395" s="1767"/>
      <c r="L395" s="1767"/>
      <c r="M395" s="1767"/>
      <c r="N395" s="1767"/>
      <c r="O395" s="1767"/>
      <c r="P395" s="1767"/>
      <c r="Q395" s="1767"/>
      <c r="R395" s="1767"/>
      <c r="S395" s="1767"/>
      <c r="T395" s="1767"/>
      <c r="U395" s="1767"/>
      <c r="V395" s="1767"/>
      <c r="W395" s="1767"/>
      <c r="X395" s="1767"/>
      <c r="Y395" s="1767"/>
      <c r="Z395" s="1767"/>
      <c r="AA395" s="1767"/>
      <c r="AB395" s="1767"/>
      <c r="AC395" s="1767"/>
      <c r="AD395" s="1767"/>
      <c r="AE395" s="1767"/>
      <c r="AF395" s="1767"/>
      <c r="AG395" s="1767"/>
      <c r="AH395" s="1767"/>
      <c r="AI395" s="1767"/>
      <c r="AJ395" s="1767"/>
      <c r="AK395" s="1767"/>
      <c r="AL395" s="1767"/>
      <c r="AM395" s="1767"/>
      <c r="AN395" s="1767"/>
      <c r="AO395" s="1767"/>
      <c r="AP395" s="1767"/>
      <c r="AQ395" s="1767"/>
      <c r="AR395" s="1767"/>
      <c r="AS395" s="1767"/>
      <c r="AT395" s="1767"/>
      <c r="AU395" s="1767"/>
      <c r="AV395" s="1767"/>
      <c r="AW395" s="1767"/>
      <c r="AX395" s="1767"/>
      <c r="AY395" s="1767"/>
      <c r="AZ395" s="1767"/>
      <c r="BA395" s="1767"/>
      <c r="BB395" s="1767"/>
      <c r="BC395" s="1767"/>
      <c r="BD395" s="1767"/>
      <c r="BE395" s="1767"/>
      <c r="BF395" s="1767"/>
      <c r="BG395" s="1767"/>
      <c r="BH395" s="1767"/>
      <c r="BI395" s="1767"/>
      <c r="BJ395" s="1767"/>
      <c r="BK395" s="1767"/>
      <c r="BL395" s="1767"/>
      <c r="BM395" s="1767"/>
      <c r="BN395" s="1767"/>
      <c r="BO395" s="1767"/>
      <c r="BP395" s="1767"/>
      <c r="BQ395" s="1767"/>
      <c r="BR395" s="1767"/>
      <c r="BS395" s="1767"/>
      <c r="BT395" s="1767"/>
      <c r="BU395" s="1767"/>
      <c r="BV395" s="1768"/>
      <c r="BW395" s="443"/>
    </row>
    <row r="396" spans="1:75" ht="15" customHeight="1" x14ac:dyDescent="0.2">
      <c r="A396" s="1752"/>
      <c r="B396" s="742"/>
      <c r="C396" s="1766"/>
      <c r="D396" s="1767"/>
      <c r="E396" s="1767"/>
      <c r="F396" s="1767"/>
      <c r="G396" s="1767"/>
      <c r="H396" s="1767"/>
      <c r="I396" s="1767"/>
      <c r="J396" s="1767"/>
      <c r="K396" s="1767"/>
      <c r="L396" s="1767"/>
      <c r="M396" s="1767"/>
      <c r="N396" s="1767"/>
      <c r="O396" s="1767"/>
      <c r="P396" s="1767"/>
      <c r="Q396" s="1767"/>
      <c r="R396" s="1767"/>
      <c r="S396" s="1767"/>
      <c r="T396" s="1767"/>
      <c r="U396" s="1767"/>
      <c r="V396" s="1767"/>
      <c r="W396" s="1767"/>
      <c r="X396" s="1767"/>
      <c r="Y396" s="1767"/>
      <c r="Z396" s="1767"/>
      <c r="AA396" s="1767"/>
      <c r="AB396" s="1767"/>
      <c r="AC396" s="1767"/>
      <c r="AD396" s="1767"/>
      <c r="AE396" s="1767"/>
      <c r="AF396" s="1767"/>
      <c r="AG396" s="1767"/>
      <c r="AH396" s="1767"/>
      <c r="AI396" s="1767"/>
      <c r="AJ396" s="1767"/>
      <c r="AK396" s="1767"/>
      <c r="AL396" s="1767"/>
      <c r="AM396" s="1767"/>
      <c r="AN396" s="1767"/>
      <c r="AO396" s="1767"/>
      <c r="AP396" s="1767"/>
      <c r="AQ396" s="1767"/>
      <c r="AR396" s="1767"/>
      <c r="AS396" s="1767"/>
      <c r="AT396" s="1767"/>
      <c r="AU396" s="1767"/>
      <c r="AV396" s="1767"/>
      <c r="AW396" s="1767"/>
      <c r="AX396" s="1767"/>
      <c r="AY396" s="1767"/>
      <c r="AZ396" s="1767"/>
      <c r="BA396" s="1767"/>
      <c r="BB396" s="1767"/>
      <c r="BC396" s="1767"/>
      <c r="BD396" s="1767"/>
      <c r="BE396" s="1767"/>
      <c r="BF396" s="1767"/>
      <c r="BG396" s="1767"/>
      <c r="BH396" s="1767"/>
      <c r="BI396" s="1767"/>
      <c r="BJ396" s="1767"/>
      <c r="BK396" s="1767"/>
      <c r="BL396" s="1767"/>
      <c r="BM396" s="1767"/>
      <c r="BN396" s="1767"/>
      <c r="BO396" s="1767"/>
      <c r="BP396" s="1767"/>
      <c r="BQ396" s="1767"/>
      <c r="BR396" s="1767"/>
      <c r="BS396" s="1767"/>
      <c r="BT396" s="1767"/>
      <c r="BU396" s="1767"/>
      <c r="BV396" s="1768"/>
      <c r="BW396" s="453"/>
    </row>
    <row r="397" spans="1:75" ht="15" customHeight="1" x14ac:dyDescent="0.2">
      <c r="A397" s="1752"/>
      <c r="B397" s="742"/>
      <c r="C397" s="1766"/>
      <c r="D397" s="1767"/>
      <c r="E397" s="1767"/>
      <c r="F397" s="1767"/>
      <c r="G397" s="1767"/>
      <c r="H397" s="1767"/>
      <c r="I397" s="1767"/>
      <c r="J397" s="1767"/>
      <c r="K397" s="1767"/>
      <c r="L397" s="1767"/>
      <c r="M397" s="1767"/>
      <c r="N397" s="1767"/>
      <c r="O397" s="1767"/>
      <c r="P397" s="1767"/>
      <c r="Q397" s="1767"/>
      <c r="R397" s="1767"/>
      <c r="S397" s="1767"/>
      <c r="T397" s="1767"/>
      <c r="U397" s="1767"/>
      <c r="V397" s="1767"/>
      <c r="W397" s="1767"/>
      <c r="X397" s="1767"/>
      <c r="Y397" s="1767"/>
      <c r="Z397" s="1767"/>
      <c r="AA397" s="1767"/>
      <c r="AB397" s="1767"/>
      <c r="AC397" s="1767"/>
      <c r="AD397" s="1767"/>
      <c r="AE397" s="1767"/>
      <c r="AF397" s="1767"/>
      <c r="AG397" s="1767"/>
      <c r="AH397" s="1767"/>
      <c r="AI397" s="1767"/>
      <c r="AJ397" s="1767"/>
      <c r="AK397" s="1767"/>
      <c r="AL397" s="1767"/>
      <c r="AM397" s="1767"/>
      <c r="AN397" s="1767"/>
      <c r="AO397" s="1767"/>
      <c r="AP397" s="1767"/>
      <c r="AQ397" s="1767"/>
      <c r="AR397" s="1767"/>
      <c r="AS397" s="1767"/>
      <c r="AT397" s="1767"/>
      <c r="AU397" s="1767"/>
      <c r="AV397" s="1767"/>
      <c r="AW397" s="1767"/>
      <c r="AX397" s="1767"/>
      <c r="AY397" s="1767"/>
      <c r="AZ397" s="1767"/>
      <c r="BA397" s="1767"/>
      <c r="BB397" s="1767"/>
      <c r="BC397" s="1767"/>
      <c r="BD397" s="1767"/>
      <c r="BE397" s="1767"/>
      <c r="BF397" s="1767"/>
      <c r="BG397" s="1767"/>
      <c r="BH397" s="1767"/>
      <c r="BI397" s="1767"/>
      <c r="BJ397" s="1767"/>
      <c r="BK397" s="1767"/>
      <c r="BL397" s="1767"/>
      <c r="BM397" s="1767"/>
      <c r="BN397" s="1767"/>
      <c r="BO397" s="1767"/>
      <c r="BP397" s="1767"/>
      <c r="BQ397" s="1767"/>
      <c r="BR397" s="1767"/>
      <c r="BS397" s="1767"/>
      <c r="BT397" s="1767"/>
      <c r="BU397" s="1767"/>
      <c r="BV397" s="1768"/>
      <c r="BW397" s="453"/>
    </row>
    <row r="398" spans="1:75" ht="15" customHeight="1" x14ac:dyDescent="0.2">
      <c r="A398" s="1752"/>
      <c r="B398" s="742"/>
      <c r="C398" s="1766"/>
      <c r="D398" s="1767"/>
      <c r="E398" s="1767"/>
      <c r="F398" s="1767"/>
      <c r="G398" s="1767"/>
      <c r="H398" s="1767"/>
      <c r="I398" s="1767"/>
      <c r="J398" s="1767"/>
      <c r="K398" s="1767"/>
      <c r="L398" s="1767"/>
      <c r="M398" s="1767"/>
      <c r="N398" s="1767"/>
      <c r="O398" s="1767"/>
      <c r="P398" s="1767"/>
      <c r="Q398" s="1767"/>
      <c r="R398" s="1767"/>
      <c r="S398" s="1767"/>
      <c r="T398" s="1767"/>
      <c r="U398" s="1767"/>
      <c r="V398" s="1767"/>
      <c r="W398" s="1767"/>
      <c r="X398" s="1767"/>
      <c r="Y398" s="1767"/>
      <c r="Z398" s="1767"/>
      <c r="AA398" s="1767"/>
      <c r="AB398" s="1767"/>
      <c r="AC398" s="1767"/>
      <c r="AD398" s="1767"/>
      <c r="AE398" s="1767"/>
      <c r="AF398" s="1767"/>
      <c r="AG398" s="1767"/>
      <c r="AH398" s="1767"/>
      <c r="AI398" s="1767"/>
      <c r="AJ398" s="1767"/>
      <c r="AK398" s="1767"/>
      <c r="AL398" s="1767"/>
      <c r="AM398" s="1767"/>
      <c r="AN398" s="1767"/>
      <c r="AO398" s="1767"/>
      <c r="AP398" s="1767"/>
      <c r="AQ398" s="1767"/>
      <c r="AR398" s="1767"/>
      <c r="AS398" s="1767"/>
      <c r="AT398" s="1767"/>
      <c r="AU398" s="1767"/>
      <c r="AV398" s="1767"/>
      <c r="AW398" s="1767"/>
      <c r="AX398" s="1767"/>
      <c r="AY398" s="1767"/>
      <c r="AZ398" s="1767"/>
      <c r="BA398" s="1767"/>
      <c r="BB398" s="1767"/>
      <c r="BC398" s="1767"/>
      <c r="BD398" s="1767"/>
      <c r="BE398" s="1767"/>
      <c r="BF398" s="1767"/>
      <c r="BG398" s="1767"/>
      <c r="BH398" s="1767"/>
      <c r="BI398" s="1767"/>
      <c r="BJ398" s="1767"/>
      <c r="BK398" s="1767"/>
      <c r="BL398" s="1767"/>
      <c r="BM398" s="1767"/>
      <c r="BN398" s="1767"/>
      <c r="BO398" s="1767"/>
      <c r="BP398" s="1767"/>
      <c r="BQ398" s="1767"/>
      <c r="BR398" s="1767"/>
      <c r="BS398" s="1767"/>
      <c r="BT398" s="1767"/>
      <c r="BU398" s="1767"/>
      <c r="BV398" s="1768"/>
      <c r="BW398" s="453"/>
    </row>
    <row r="399" spans="1:75" ht="15" customHeight="1" x14ac:dyDescent="0.2">
      <c r="A399" s="1752"/>
      <c r="B399" s="742"/>
      <c r="C399" s="1766"/>
      <c r="D399" s="1767"/>
      <c r="E399" s="1767"/>
      <c r="F399" s="1767"/>
      <c r="G399" s="1767"/>
      <c r="H399" s="1767"/>
      <c r="I399" s="1767"/>
      <c r="J399" s="1767"/>
      <c r="K399" s="1767"/>
      <c r="L399" s="1767"/>
      <c r="M399" s="1767"/>
      <c r="N399" s="1767"/>
      <c r="O399" s="1767"/>
      <c r="P399" s="1767"/>
      <c r="Q399" s="1767"/>
      <c r="R399" s="1767"/>
      <c r="S399" s="1767"/>
      <c r="T399" s="1767"/>
      <c r="U399" s="1767"/>
      <c r="V399" s="1767"/>
      <c r="W399" s="1767"/>
      <c r="X399" s="1767"/>
      <c r="Y399" s="1767"/>
      <c r="Z399" s="1767"/>
      <c r="AA399" s="1767"/>
      <c r="AB399" s="1767"/>
      <c r="AC399" s="1767"/>
      <c r="AD399" s="1767"/>
      <c r="AE399" s="1767"/>
      <c r="AF399" s="1767"/>
      <c r="AG399" s="1767"/>
      <c r="AH399" s="1767"/>
      <c r="AI399" s="1767"/>
      <c r="AJ399" s="1767"/>
      <c r="AK399" s="1767"/>
      <c r="AL399" s="1767"/>
      <c r="AM399" s="1767"/>
      <c r="AN399" s="1767"/>
      <c r="AO399" s="1767"/>
      <c r="AP399" s="1767"/>
      <c r="AQ399" s="1767"/>
      <c r="AR399" s="1767"/>
      <c r="AS399" s="1767"/>
      <c r="AT399" s="1767"/>
      <c r="AU399" s="1767"/>
      <c r="AV399" s="1767"/>
      <c r="AW399" s="1767"/>
      <c r="AX399" s="1767"/>
      <c r="AY399" s="1767"/>
      <c r="AZ399" s="1767"/>
      <c r="BA399" s="1767"/>
      <c r="BB399" s="1767"/>
      <c r="BC399" s="1767"/>
      <c r="BD399" s="1767"/>
      <c r="BE399" s="1767"/>
      <c r="BF399" s="1767"/>
      <c r="BG399" s="1767"/>
      <c r="BH399" s="1767"/>
      <c r="BI399" s="1767"/>
      <c r="BJ399" s="1767"/>
      <c r="BK399" s="1767"/>
      <c r="BL399" s="1767"/>
      <c r="BM399" s="1767"/>
      <c r="BN399" s="1767"/>
      <c r="BO399" s="1767"/>
      <c r="BP399" s="1767"/>
      <c r="BQ399" s="1767"/>
      <c r="BR399" s="1767"/>
      <c r="BS399" s="1767"/>
      <c r="BT399" s="1767"/>
      <c r="BU399" s="1767"/>
      <c r="BV399" s="1768"/>
      <c r="BW399" s="453"/>
    </row>
    <row r="400" spans="1:75" ht="15" customHeight="1" x14ac:dyDescent="0.2">
      <c r="A400" s="1752"/>
      <c r="B400" s="742"/>
      <c r="C400" s="1766"/>
      <c r="D400" s="1767"/>
      <c r="E400" s="1767"/>
      <c r="F400" s="1767"/>
      <c r="G400" s="1767"/>
      <c r="H400" s="1767"/>
      <c r="I400" s="1767"/>
      <c r="J400" s="1767"/>
      <c r="K400" s="1767"/>
      <c r="L400" s="1767"/>
      <c r="M400" s="1767"/>
      <c r="N400" s="1767"/>
      <c r="O400" s="1767"/>
      <c r="P400" s="1767"/>
      <c r="Q400" s="1767"/>
      <c r="R400" s="1767"/>
      <c r="S400" s="1767"/>
      <c r="T400" s="1767"/>
      <c r="U400" s="1767"/>
      <c r="V400" s="1767"/>
      <c r="W400" s="1767"/>
      <c r="X400" s="1767"/>
      <c r="Y400" s="1767"/>
      <c r="Z400" s="1767"/>
      <c r="AA400" s="1767"/>
      <c r="AB400" s="1767"/>
      <c r="AC400" s="1767"/>
      <c r="AD400" s="1767"/>
      <c r="AE400" s="1767"/>
      <c r="AF400" s="1767"/>
      <c r="AG400" s="1767"/>
      <c r="AH400" s="1767"/>
      <c r="AI400" s="1767"/>
      <c r="AJ400" s="1767"/>
      <c r="AK400" s="1767"/>
      <c r="AL400" s="1767"/>
      <c r="AM400" s="1767"/>
      <c r="AN400" s="1767"/>
      <c r="AO400" s="1767"/>
      <c r="AP400" s="1767"/>
      <c r="AQ400" s="1767"/>
      <c r="AR400" s="1767"/>
      <c r="AS400" s="1767"/>
      <c r="AT400" s="1767"/>
      <c r="AU400" s="1767"/>
      <c r="AV400" s="1767"/>
      <c r="AW400" s="1767"/>
      <c r="AX400" s="1767"/>
      <c r="AY400" s="1767"/>
      <c r="AZ400" s="1767"/>
      <c r="BA400" s="1767"/>
      <c r="BB400" s="1767"/>
      <c r="BC400" s="1767"/>
      <c r="BD400" s="1767"/>
      <c r="BE400" s="1767"/>
      <c r="BF400" s="1767"/>
      <c r="BG400" s="1767"/>
      <c r="BH400" s="1767"/>
      <c r="BI400" s="1767"/>
      <c r="BJ400" s="1767"/>
      <c r="BK400" s="1767"/>
      <c r="BL400" s="1767"/>
      <c r="BM400" s="1767"/>
      <c r="BN400" s="1767"/>
      <c r="BO400" s="1767"/>
      <c r="BP400" s="1767"/>
      <c r="BQ400" s="1767"/>
      <c r="BR400" s="1767"/>
      <c r="BS400" s="1767"/>
      <c r="BT400" s="1767"/>
      <c r="BU400" s="1767"/>
      <c r="BV400" s="1768"/>
      <c r="BW400" s="453"/>
    </row>
    <row r="401" spans="1:75" ht="15" customHeight="1" x14ac:dyDescent="0.2">
      <c r="A401" s="1752"/>
      <c r="B401" s="742"/>
      <c r="C401" s="1766"/>
      <c r="D401" s="1767"/>
      <c r="E401" s="1767"/>
      <c r="F401" s="1767"/>
      <c r="G401" s="1767"/>
      <c r="H401" s="1767"/>
      <c r="I401" s="1767"/>
      <c r="J401" s="1767"/>
      <c r="K401" s="1767"/>
      <c r="L401" s="1767"/>
      <c r="M401" s="1767"/>
      <c r="N401" s="1767"/>
      <c r="O401" s="1767"/>
      <c r="P401" s="1767"/>
      <c r="Q401" s="1767"/>
      <c r="R401" s="1767"/>
      <c r="S401" s="1767"/>
      <c r="T401" s="1767"/>
      <c r="U401" s="1767"/>
      <c r="V401" s="1767"/>
      <c r="W401" s="1767"/>
      <c r="X401" s="1767"/>
      <c r="Y401" s="1767"/>
      <c r="Z401" s="1767"/>
      <c r="AA401" s="1767"/>
      <c r="AB401" s="1767"/>
      <c r="AC401" s="1767"/>
      <c r="AD401" s="1767"/>
      <c r="AE401" s="1767"/>
      <c r="AF401" s="1767"/>
      <c r="AG401" s="1767"/>
      <c r="AH401" s="1767"/>
      <c r="AI401" s="1767"/>
      <c r="AJ401" s="1767"/>
      <c r="AK401" s="1767"/>
      <c r="AL401" s="1767"/>
      <c r="AM401" s="1767"/>
      <c r="AN401" s="1767"/>
      <c r="AO401" s="1767"/>
      <c r="AP401" s="1767"/>
      <c r="AQ401" s="1767"/>
      <c r="AR401" s="1767"/>
      <c r="AS401" s="1767"/>
      <c r="AT401" s="1767"/>
      <c r="AU401" s="1767"/>
      <c r="AV401" s="1767"/>
      <c r="AW401" s="1767"/>
      <c r="AX401" s="1767"/>
      <c r="AY401" s="1767"/>
      <c r="AZ401" s="1767"/>
      <c r="BA401" s="1767"/>
      <c r="BB401" s="1767"/>
      <c r="BC401" s="1767"/>
      <c r="BD401" s="1767"/>
      <c r="BE401" s="1767"/>
      <c r="BF401" s="1767"/>
      <c r="BG401" s="1767"/>
      <c r="BH401" s="1767"/>
      <c r="BI401" s="1767"/>
      <c r="BJ401" s="1767"/>
      <c r="BK401" s="1767"/>
      <c r="BL401" s="1767"/>
      <c r="BM401" s="1767"/>
      <c r="BN401" s="1767"/>
      <c r="BO401" s="1767"/>
      <c r="BP401" s="1767"/>
      <c r="BQ401" s="1767"/>
      <c r="BR401" s="1767"/>
      <c r="BS401" s="1767"/>
      <c r="BT401" s="1767"/>
      <c r="BU401" s="1767"/>
      <c r="BV401" s="1768"/>
      <c r="BW401" s="453"/>
    </row>
    <row r="402" spans="1:75" ht="15" customHeight="1" x14ac:dyDescent="0.2">
      <c r="A402" s="1752"/>
      <c r="B402" s="742"/>
      <c r="C402" s="1766"/>
      <c r="D402" s="1767"/>
      <c r="E402" s="1767"/>
      <c r="F402" s="1767"/>
      <c r="G402" s="1767"/>
      <c r="H402" s="1767"/>
      <c r="I402" s="1767"/>
      <c r="J402" s="1767"/>
      <c r="K402" s="1767"/>
      <c r="L402" s="1767"/>
      <c r="M402" s="1767"/>
      <c r="N402" s="1767"/>
      <c r="O402" s="1767"/>
      <c r="P402" s="1767"/>
      <c r="Q402" s="1767"/>
      <c r="R402" s="1767"/>
      <c r="S402" s="1767"/>
      <c r="T402" s="1767"/>
      <c r="U402" s="1767"/>
      <c r="V402" s="1767"/>
      <c r="W402" s="1767"/>
      <c r="X402" s="1767"/>
      <c r="Y402" s="1767"/>
      <c r="Z402" s="1767"/>
      <c r="AA402" s="1767"/>
      <c r="AB402" s="1767"/>
      <c r="AC402" s="1767"/>
      <c r="AD402" s="1767"/>
      <c r="AE402" s="1767"/>
      <c r="AF402" s="1767"/>
      <c r="AG402" s="1767"/>
      <c r="AH402" s="1767"/>
      <c r="AI402" s="1767"/>
      <c r="AJ402" s="1767"/>
      <c r="AK402" s="1767"/>
      <c r="AL402" s="1767"/>
      <c r="AM402" s="1767"/>
      <c r="AN402" s="1767"/>
      <c r="AO402" s="1767"/>
      <c r="AP402" s="1767"/>
      <c r="AQ402" s="1767"/>
      <c r="AR402" s="1767"/>
      <c r="AS402" s="1767"/>
      <c r="AT402" s="1767"/>
      <c r="AU402" s="1767"/>
      <c r="AV402" s="1767"/>
      <c r="AW402" s="1767"/>
      <c r="AX402" s="1767"/>
      <c r="AY402" s="1767"/>
      <c r="AZ402" s="1767"/>
      <c r="BA402" s="1767"/>
      <c r="BB402" s="1767"/>
      <c r="BC402" s="1767"/>
      <c r="BD402" s="1767"/>
      <c r="BE402" s="1767"/>
      <c r="BF402" s="1767"/>
      <c r="BG402" s="1767"/>
      <c r="BH402" s="1767"/>
      <c r="BI402" s="1767"/>
      <c r="BJ402" s="1767"/>
      <c r="BK402" s="1767"/>
      <c r="BL402" s="1767"/>
      <c r="BM402" s="1767"/>
      <c r="BN402" s="1767"/>
      <c r="BO402" s="1767"/>
      <c r="BP402" s="1767"/>
      <c r="BQ402" s="1767"/>
      <c r="BR402" s="1767"/>
      <c r="BS402" s="1767"/>
      <c r="BT402" s="1767"/>
      <c r="BU402" s="1767"/>
      <c r="BV402" s="1768"/>
      <c r="BW402" s="453"/>
    </row>
    <row r="403" spans="1:75" ht="15" customHeight="1" x14ac:dyDescent="0.2">
      <c r="A403" s="1752"/>
      <c r="B403" s="742"/>
      <c r="C403" s="1766"/>
      <c r="D403" s="1767"/>
      <c r="E403" s="1767"/>
      <c r="F403" s="1767"/>
      <c r="G403" s="1767"/>
      <c r="H403" s="1767"/>
      <c r="I403" s="1767"/>
      <c r="J403" s="1767"/>
      <c r="K403" s="1767"/>
      <c r="L403" s="1767"/>
      <c r="M403" s="1767"/>
      <c r="N403" s="1767"/>
      <c r="O403" s="1767"/>
      <c r="P403" s="1767"/>
      <c r="Q403" s="1767"/>
      <c r="R403" s="1767"/>
      <c r="S403" s="1767"/>
      <c r="T403" s="1767"/>
      <c r="U403" s="1767"/>
      <c r="V403" s="1767"/>
      <c r="W403" s="1767"/>
      <c r="X403" s="1767"/>
      <c r="Y403" s="1767"/>
      <c r="Z403" s="1767"/>
      <c r="AA403" s="1767"/>
      <c r="AB403" s="1767"/>
      <c r="AC403" s="1767"/>
      <c r="AD403" s="1767"/>
      <c r="AE403" s="1767"/>
      <c r="AF403" s="1767"/>
      <c r="AG403" s="1767"/>
      <c r="AH403" s="1767"/>
      <c r="AI403" s="1767"/>
      <c r="AJ403" s="1767"/>
      <c r="AK403" s="1767"/>
      <c r="AL403" s="1767"/>
      <c r="AM403" s="1767"/>
      <c r="AN403" s="1767"/>
      <c r="AO403" s="1767"/>
      <c r="AP403" s="1767"/>
      <c r="AQ403" s="1767"/>
      <c r="AR403" s="1767"/>
      <c r="AS403" s="1767"/>
      <c r="AT403" s="1767"/>
      <c r="AU403" s="1767"/>
      <c r="AV403" s="1767"/>
      <c r="AW403" s="1767"/>
      <c r="AX403" s="1767"/>
      <c r="AY403" s="1767"/>
      <c r="AZ403" s="1767"/>
      <c r="BA403" s="1767"/>
      <c r="BB403" s="1767"/>
      <c r="BC403" s="1767"/>
      <c r="BD403" s="1767"/>
      <c r="BE403" s="1767"/>
      <c r="BF403" s="1767"/>
      <c r="BG403" s="1767"/>
      <c r="BH403" s="1767"/>
      <c r="BI403" s="1767"/>
      <c r="BJ403" s="1767"/>
      <c r="BK403" s="1767"/>
      <c r="BL403" s="1767"/>
      <c r="BM403" s="1767"/>
      <c r="BN403" s="1767"/>
      <c r="BO403" s="1767"/>
      <c r="BP403" s="1767"/>
      <c r="BQ403" s="1767"/>
      <c r="BR403" s="1767"/>
      <c r="BS403" s="1767"/>
      <c r="BT403" s="1767"/>
      <c r="BU403" s="1767"/>
      <c r="BV403" s="1768"/>
      <c r="BW403" s="453"/>
    </row>
    <row r="404" spans="1:75" ht="15" customHeight="1" x14ac:dyDescent="0.2">
      <c r="A404" s="1752"/>
      <c r="B404" s="742"/>
      <c r="C404" s="1766"/>
      <c r="D404" s="1767"/>
      <c r="E404" s="1767"/>
      <c r="F404" s="1767"/>
      <c r="G404" s="1767"/>
      <c r="H404" s="1767"/>
      <c r="I404" s="1767"/>
      <c r="J404" s="1767"/>
      <c r="K404" s="1767"/>
      <c r="L404" s="1767"/>
      <c r="M404" s="1767"/>
      <c r="N404" s="1767"/>
      <c r="O404" s="1767"/>
      <c r="P404" s="1767"/>
      <c r="Q404" s="1767"/>
      <c r="R404" s="1767"/>
      <c r="S404" s="1767"/>
      <c r="T404" s="1767"/>
      <c r="U404" s="1767"/>
      <c r="V404" s="1767"/>
      <c r="W404" s="1767"/>
      <c r="X404" s="1767"/>
      <c r="Y404" s="1767"/>
      <c r="Z404" s="1767"/>
      <c r="AA404" s="1767"/>
      <c r="AB404" s="1767"/>
      <c r="AC404" s="1767"/>
      <c r="AD404" s="1767"/>
      <c r="AE404" s="1767"/>
      <c r="AF404" s="1767"/>
      <c r="AG404" s="1767"/>
      <c r="AH404" s="1767"/>
      <c r="AI404" s="1767"/>
      <c r="AJ404" s="1767"/>
      <c r="AK404" s="1767"/>
      <c r="AL404" s="1767"/>
      <c r="AM404" s="1767"/>
      <c r="AN404" s="1767"/>
      <c r="AO404" s="1767"/>
      <c r="AP404" s="1767"/>
      <c r="AQ404" s="1767"/>
      <c r="AR404" s="1767"/>
      <c r="AS404" s="1767"/>
      <c r="AT404" s="1767"/>
      <c r="AU404" s="1767"/>
      <c r="AV404" s="1767"/>
      <c r="AW404" s="1767"/>
      <c r="AX404" s="1767"/>
      <c r="AY404" s="1767"/>
      <c r="AZ404" s="1767"/>
      <c r="BA404" s="1767"/>
      <c r="BB404" s="1767"/>
      <c r="BC404" s="1767"/>
      <c r="BD404" s="1767"/>
      <c r="BE404" s="1767"/>
      <c r="BF404" s="1767"/>
      <c r="BG404" s="1767"/>
      <c r="BH404" s="1767"/>
      <c r="BI404" s="1767"/>
      <c r="BJ404" s="1767"/>
      <c r="BK404" s="1767"/>
      <c r="BL404" s="1767"/>
      <c r="BM404" s="1767"/>
      <c r="BN404" s="1767"/>
      <c r="BO404" s="1767"/>
      <c r="BP404" s="1767"/>
      <c r="BQ404" s="1767"/>
      <c r="BR404" s="1767"/>
      <c r="BS404" s="1767"/>
      <c r="BT404" s="1767"/>
      <c r="BU404" s="1767"/>
      <c r="BV404" s="1768"/>
      <c r="BW404" s="453"/>
    </row>
    <row r="405" spans="1:75" ht="15" customHeight="1" x14ac:dyDescent="0.2">
      <c r="A405" s="1752"/>
      <c r="B405" s="742"/>
      <c r="C405" s="1766"/>
      <c r="D405" s="1767"/>
      <c r="E405" s="1767"/>
      <c r="F405" s="1767"/>
      <c r="G405" s="1767"/>
      <c r="H405" s="1767"/>
      <c r="I405" s="1767"/>
      <c r="J405" s="1767"/>
      <c r="K405" s="1767"/>
      <c r="L405" s="1767"/>
      <c r="M405" s="1767"/>
      <c r="N405" s="1767"/>
      <c r="O405" s="1767"/>
      <c r="P405" s="1767"/>
      <c r="Q405" s="1767"/>
      <c r="R405" s="1767"/>
      <c r="S405" s="1767"/>
      <c r="T405" s="1767"/>
      <c r="U405" s="1767"/>
      <c r="V405" s="1767"/>
      <c r="W405" s="1767"/>
      <c r="X405" s="1767"/>
      <c r="Y405" s="1767"/>
      <c r="Z405" s="1767"/>
      <c r="AA405" s="1767"/>
      <c r="AB405" s="1767"/>
      <c r="AC405" s="1767"/>
      <c r="AD405" s="1767"/>
      <c r="AE405" s="1767"/>
      <c r="AF405" s="1767"/>
      <c r="AG405" s="1767"/>
      <c r="AH405" s="1767"/>
      <c r="AI405" s="1767"/>
      <c r="AJ405" s="1767"/>
      <c r="AK405" s="1767"/>
      <c r="AL405" s="1767"/>
      <c r="AM405" s="1767"/>
      <c r="AN405" s="1767"/>
      <c r="AO405" s="1767"/>
      <c r="AP405" s="1767"/>
      <c r="AQ405" s="1767"/>
      <c r="AR405" s="1767"/>
      <c r="AS405" s="1767"/>
      <c r="AT405" s="1767"/>
      <c r="AU405" s="1767"/>
      <c r="AV405" s="1767"/>
      <c r="AW405" s="1767"/>
      <c r="AX405" s="1767"/>
      <c r="AY405" s="1767"/>
      <c r="AZ405" s="1767"/>
      <c r="BA405" s="1767"/>
      <c r="BB405" s="1767"/>
      <c r="BC405" s="1767"/>
      <c r="BD405" s="1767"/>
      <c r="BE405" s="1767"/>
      <c r="BF405" s="1767"/>
      <c r="BG405" s="1767"/>
      <c r="BH405" s="1767"/>
      <c r="BI405" s="1767"/>
      <c r="BJ405" s="1767"/>
      <c r="BK405" s="1767"/>
      <c r="BL405" s="1767"/>
      <c r="BM405" s="1767"/>
      <c r="BN405" s="1767"/>
      <c r="BO405" s="1767"/>
      <c r="BP405" s="1767"/>
      <c r="BQ405" s="1767"/>
      <c r="BR405" s="1767"/>
      <c r="BS405" s="1767"/>
      <c r="BT405" s="1767"/>
      <c r="BU405" s="1767"/>
      <c r="BV405" s="1768"/>
      <c r="BW405" s="453"/>
    </row>
    <row r="406" spans="1:75" ht="15" customHeight="1" x14ac:dyDescent="0.2">
      <c r="A406" s="1752"/>
      <c r="B406" s="742"/>
      <c r="C406" s="1766"/>
      <c r="D406" s="1767"/>
      <c r="E406" s="1767"/>
      <c r="F406" s="1767"/>
      <c r="G406" s="1767"/>
      <c r="H406" s="1767"/>
      <c r="I406" s="1767"/>
      <c r="J406" s="1767"/>
      <c r="K406" s="1767"/>
      <c r="L406" s="1767"/>
      <c r="M406" s="1767"/>
      <c r="N406" s="1767"/>
      <c r="O406" s="1767"/>
      <c r="P406" s="1767"/>
      <c r="Q406" s="1767"/>
      <c r="R406" s="1767"/>
      <c r="S406" s="1767"/>
      <c r="T406" s="1767"/>
      <c r="U406" s="1767"/>
      <c r="V406" s="1767"/>
      <c r="W406" s="1767"/>
      <c r="X406" s="1767"/>
      <c r="Y406" s="1767"/>
      <c r="Z406" s="1767"/>
      <c r="AA406" s="1767"/>
      <c r="AB406" s="1767"/>
      <c r="AC406" s="1767"/>
      <c r="AD406" s="1767"/>
      <c r="AE406" s="1767"/>
      <c r="AF406" s="1767"/>
      <c r="AG406" s="1767"/>
      <c r="AH406" s="1767"/>
      <c r="AI406" s="1767"/>
      <c r="AJ406" s="1767"/>
      <c r="AK406" s="1767"/>
      <c r="AL406" s="1767"/>
      <c r="AM406" s="1767"/>
      <c r="AN406" s="1767"/>
      <c r="AO406" s="1767"/>
      <c r="AP406" s="1767"/>
      <c r="AQ406" s="1767"/>
      <c r="AR406" s="1767"/>
      <c r="AS406" s="1767"/>
      <c r="AT406" s="1767"/>
      <c r="AU406" s="1767"/>
      <c r="AV406" s="1767"/>
      <c r="AW406" s="1767"/>
      <c r="AX406" s="1767"/>
      <c r="AY406" s="1767"/>
      <c r="AZ406" s="1767"/>
      <c r="BA406" s="1767"/>
      <c r="BB406" s="1767"/>
      <c r="BC406" s="1767"/>
      <c r="BD406" s="1767"/>
      <c r="BE406" s="1767"/>
      <c r="BF406" s="1767"/>
      <c r="BG406" s="1767"/>
      <c r="BH406" s="1767"/>
      <c r="BI406" s="1767"/>
      <c r="BJ406" s="1767"/>
      <c r="BK406" s="1767"/>
      <c r="BL406" s="1767"/>
      <c r="BM406" s="1767"/>
      <c r="BN406" s="1767"/>
      <c r="BO406" s="1767"/>
      <c r="BP406" s="1767"/>
      <c r="BQ406" s="1767"/>
      <c r="BR406" s="1767"/>
      <c r="BS406" s="1767"/>
      <c r="BT406" s="1767"/>
      <c r="BU406" s="1767"/>
      <c r="BV406" s="1768"/>
      <c r="BW406" s="453"/>
    </row>
    <row r="407" spans="1:75" ht="15" customHeight="1" x14ac:dyDescent="0.2">
      <c r="A407" s="1752"/>
      <c r="B407" s="742"/>
      <c r="C407" s="1766"/>
      <c r="D407" s="1767"/>
      <c r="E407" s="1767"/>
      <c r="F407" s="1767"/>
      <c r="G407" s="1767"/>
      <c r="H407" s="1767"/>
      <c r="I407" s="1767"/>
      <c r="J407" s="1767"/>
      <c r="K407" s="1767"/>
      <c r="L407" s="1767"/>
      <c r="M407" s="1767"/>
      <c r="N407" s="1767"/>
      <c r="O407" s="1767"/>
      <c r="P407" s="1767"/>
      <c r="Q407" s="1767"/>
      <c r="R407" s="1767"/>
      <c r="S407" s="1767"/>
      <c r="T407" s="1767"/>
      <c r="U407" s="1767"/>
      <c r="V407" s="1767"/>
      <c r="W407" s="1767"/>
      <c r="X407" s="1767"/>
      <c r="Y407" s="1767"/>
      <c r="Z407" s="1767"/>
      <c r="AA407" s="1767"/>
      <c r="AB407" s="1767"/>
      <c r="AC407" s="1767"/>
      <c r="AD407" s="1767"/>
      <c r="AE407" s="1767"/>
      <c r="AF407" s="1767"/>
      <c r="AG407" s="1767"/>
      <c r="AH407" s="1767"/>
      <c r="AI407" s="1767"/>
      <c r="AJ407" s="1767"/>
      <c r="AK407" s="1767"/>
      <c r="AL407" s="1767"/>
      <c r="AM407" s="1767"/>
      <c r="AN407" s="1767"/>
      <c r="AO407" s="1767"/>
      <c r="AP407" s="1767"/>
      <c r="AQ407" s="1767"/>
      <c r="AR407" s="1767"/>
      <c r="AS407" s="1767"/>
      <c r="AT407" s="1767"/>
      <c r="AU407" s="1767"/>
      <c r="AV407" s="1767"/>
      <c r="AW407" s="1767"/>
      <c r="AX407" s="1767"/>
      <c r="AY407" s="1767"/>
      <c r="AZ407" s="1767"/>
      <c r="BA407" s="1767"/>
      <c r="BB407" s="1767"/>
      <c r="BC407" s="1767"/>
      <c r="BD407" s="1767"/>
      <c r="BE407" s="1767"/>
      <c r="BF407" s="1767"/>
      <c r="BG407" s="1767"/>
      <c r="BH407" s="1767"/>
      <c r="BI407" s="1767"/>
      <c r="BJ407" s="1767"/>
      <c r="BK407" s="1767"/>
      <c r="BL407" s="1767"/>
      <c r="BM407" s="1767"/>
      <c r="BN407" s="1767"/>
      <c r="BO407" s="1767"/>
      <c r="BP407" s="1767"/>
      <c r="BQ407" s="1767"/>
      <c r="BR407" s="1767"/>
      <c r="BS407" s="1767"/>
      <c r="BT407" s="1767"/>
      <c r="BU407" s="1767"/>
      <c r="BV407" s="1768"/>
      <c r="BW407" s="453"/>
    </row>
    <row r="408" spans="1:75" ht="15" customHeight="1" x14ac:dyDescent="0.2">
      <c r="A408" s="1752"/>
      <c r="B408" s="742"/>
      <c r="C408" s="1766"/>
      <c r="D408" s="1767"/>
      <c r="E408" s="1767"/>
      <c r="F408" s="1767"/>
      <c r="G408" s="1767"/>
      <c r="H408" s="1767"/>
      <c r="I408" s="1767"/>
      <c r="J408" s="1767"/>
      <c r="K408" s="1767"/>
      <c r="L408" s="1767"/>
      <c r="M408" s="1767"/>
      <c r="N408" s="1767"/>
      <c r="O408" s="1767"/>
      <c r="P408" s="1767"/>
      <c r="Q408" s="1767"/>
      <c r="R408" s="1767"/>
      <c r="S408" s="1767"/>
      <c r="T408" s="1767"/>
      <c r="U408" s="1767"/>
      <c r="V408" s="1767"/>
      <c r="W408" s="1767"/>
      <c r="X408" s="1767"/>
      <c r="Y408" s="1767"/>
      <c r="Z408" s="1767"/>
      <c r="AA408" s="1767"/>
      <c r="AB408" s="1767"/>
      <c r="AC408" s="1767"/>
      <c r="AD408" s="1767"/>
      <c r="AE408" s="1767"/>
      <c r="AF408" s="1767"/>
      <c r="AG408" s="1767"/>
      <c r="AH408" s="1767"/>
      <c r="AI408" s="1767"/>
      <c r="AJ408" s="1767"/>
      <c r="AK408" s="1767"/>
      <c r="AL408" s="1767"/>
      <c r="AM408" s="1767"/>
      <c r="AN408" s="1767"/>
      <c r="AO408" s="1767"/>
      <c r="AP408" s="1767"/>
      <c r="AQ408" s="1767"/>
      <c r="AR408" s="1767"/>
      <c r="AS408" s="1767"/>
      <c r="AT408" s="1767"/>
      <c r="AU408" s="1767"/>
      <c r="AV408" s="1767"/>
      <c r="AW408" s="1767"/>
      <c r="AX408" s="1767"/>
      <c r="AY408" s="1767"/>
      <c r="AZ408" s="1767"/>
      <c r="BA408" s="1767"/>
      <c r="BB408" s="1767"/>
      <c r="BC408" s="1767"/>
      <c r="BD408" s="1767"/>
      <c r="BE408" s="1767"/>
      <c r="BF408" s="1767"/>
      <c r="BG408" s="1767"/>
      <c r="BH408" s="1767"/>
      <c r="BI408" s="1767"/>
      <c r="BJ408" s="1767"/>
      <c r="BK408" s="1767"/>
      <c r="BL408" s="1767"/>
      <c r="BM408" s="1767"/>
      <c r="BN408" s="1767"/>
      <c r="BO408" s="1767"/>
      <c r="BP408" s="1767"/>
      <c r="BQ408" s="1767"/>
      <c r="BR408" s="1767"/>
      <c r="BS408" s="1767"/>
      <c r="BT408" s="1767"/>
      <c r="BU408" s="1767"/>
      <c r="BV408" s="1768"/>
      <c r="BW408" s="453"/>
    </row>
    <row r="409" spans="1:75" ht="15" customHeight="1" x14ac:dyDescent="0.2">
      <c r="A409" s="1752"/>
      <c r="B409" s="742"/>
      <c r="C409" s="1766"/>
      <c r="D409" s="1767"/>
      <c r="E409" s="1767"/>
      <c r="F409" s="1767"/>
      <c r="G409" s="1767"/>
      <c r="H409" s="1767"/>
      <c r="I409" s="1767"/>
      <c r="J409" s="1767"/>
      <c r="K409" s="1767"/>
      <c r="L409" s="1767"/>
      <c r="M409" s="1767"/>
      <c r="N409" s="1767"/>
      <c r="O409" s="1767"/>
      <c r="P409" s="1767"/>
      <c r="Q409" s="1767"/>
      <c r="R409" s="1767"/>
      <c r="S409" s="1767"/>
      <c r="T409" s="1767"/>
      <c r="U409" s="1767"/>
      <c r="V409" s="1767"/>
      <c r="W409" s="1767"/>
      <c r="X409" s="1767"/>
      <c r="Y409" s="1767"/>
      <c r="Z409" s="1767"/>
      <c r="AA409" s="1767"/>
      <c r="AB409" s="1767"/>
      <c r="AC409" s="1767"/>
      <c r="AD409" s="1767"/>
      <c r="AE409" s="1767"/>
      <c r="AF409" s="1767"/>
      <c r="AG409" s="1767"/>
      <c r="AH409" s="1767"/>
      <c r="AI409" s="1767"/>
      <c r="AJ409" s="1767"/>
      <c r="AK409" s="1767"/>
      <c r="AL409" s="1767"/>
      <c r="AM409" s="1767"/>
      <c r="AN409" s="1767"/>
      <c r="AO409" s="1767"/>
      <c r="AP409" s="1767"/>
      <c r="AQ409" s="1767"/>
      <c r="AR409" s="1767"/>
      <c r="AS409" s="1767"/>
      <c r="AT409" s="1767"/>
      <c r="AU409" s="1767"/>
      <c r="AV409" s="1767"/>
      <c r="AW409" s="1767"/>
      <c r="AX409" s="1767"/>
      <c r="AY409" s="1767"/>
      <c r="AZ409" s="1767"/>
      <c r="BA409" s="1767"/>
      <c r="BB409" s="1767"/>
      <c r="BC409" s="1767"/>
      <c r="BD409" s="1767"/>
      <c r="BE409" s="1767"/>
      <c r="BF409" s="1767"/>
      <c r="BG409" s="1767"/>
      <c r="BH409" s="1767"/>
      <c r="BI409" s="1767"/>
      <c r="BJ409" s="1767"/>
      <c r="BK409" s="1767"/>
      <c r="BL409" s="1767"/>
      <c r="BM409" s="1767"/>
      <c r="BN409" s="1767"/>
      <c r="BO409" s="1767"/>
      <c r="BP409" s="1767"/>
      <c r="BQ409" s="1767"/>
      <c r="BR409" s="1767"/>
      <c r="BS409" s="1767"/>
      <c r="BT409" s="1767"/>
      <c r="BU409" s="1767"/>
      <c r="BV409" s="1768"/>
      <c r="BW409" s="453"/>
    </row>
    <row r="410" spans="1:75" ht="15" customHeight="1" x14ac:dyDescent="0.2">
      <c r="A410" s="1752"/>
      <c r="B410" s="742"/>
      <c r="C410" s="1766"/>
      <c r="D410" s="1767"/>
      <c r="E410" s="1767"/>
      <c r="F410" s="1767"/>
      <c r="G410" s="1767"/>
      <c r="H410" s="1767"/>
      <c r="I410" s="1767"/>
      <c r="J410" s="1767"/>
      <c r="K410" s="1767"/>
      <c r="L410" s="1767"/>
      <c r="M410" s="1767"/>
      <c r="N410" s="1767"/>
      <c r="O410" s="1767"/>
      <c r="P410" s="1767"/>
      <c r="Q410" s="1767"/>
      <c r="R410" s="1767"/>
      <c r="S410" s="1767"/>
      <c r="T410" s="1767"/>
      <c r="U410" s="1767"/>
      <c r="V410" s="1767"/>
      <c r="W410" s="1767"/>
      <c r="X410" s="1767"/>
      <c r="Y410" s="1767"/>
      <c r="Z410" s="1767"/>
      <c r="AA410" s="1767"/>
      <c r="AB410" s="1767"/>
      <c r="AC410" s="1767"/>
      <c r="AD410" s="1767"/>
      <c r="AE410" s="1767"/>
      <c r="AF410" s="1767"/>
      <c r="AG410" s="1767"/>
      <c r="AH410" s="1767"/>
      <c r="AI410" s="1767"/>
      <c r="AJ410" s="1767"/>
      <c r="AK410" s="1767"/>
      <c r="AL410" s="1767"/>
      <c r="AM410" s="1767"/>
      <c r="AN410" s="1767"/>
      <c r="AO410" s="1767"/>
      <c r="AP410" s="1767"/>
      <c r="AQ410" s="1767"/>
      <c r="AR410" s="1767"/>
      <c r="AS410" s="1767"/>
      <c r="AT410" s="1767"/>
      <c r="AU410" s="1767"/>
      <c r="AV410" s="1767"/>
      <c r="AW410" s="1767"/>
      <c r="AX410" s="1767"/>
      <c r="AY410" s="1767"/>
      <c r="AZ410" s="1767"/>
      <c r="BA410" s="1767"/>
      <c r="BB410" s="1767"/>
      <c r="BC410" s="1767"/>
      <c r="BD410" s="1767"/>
      <c r="BE410" s="1767"/>
      <c r="BF410" s="1767"/>
      <c r="BG410" s="1767"/>
      <c r="BH410" s="1767"/>
      <c r="BI410" s="1767"/>
      <c r="BJ410" s="1767"/>
      <c r="BK410" s="1767"/>
      <c r="BL410" s="1767"/>
      <c r="BM410" s="1767"/>
      <c r="BN410" s="1767"/>
      <c r="BO410" s="1767"/>
      <c r="BP410" s="1767"/>
      <c r="BQ410" s="1767"/>
      <c r="BR410" s="1767"/>
      <c r="BS410" s="1767"/>
      <c r="BT410" s="1767"/>
      <c r="BU410" s="1767"/>
      <c r="BV410" s="1768"/>
      <c r="BW410" s="453"/>
    </row>
    <row r="411" spans="1:75" ht="15" customHeight="1" x14ac:dyDescent="0.2">
      <c r="A411" s="1752"/>
      <c r="B411" s="742"/>
      <c r="C411" s="1766"/>
      <c r="D411" s="1767"/>
      <c r="E411" s="1767"/>
      <c r="F411" s="1767"/>
      <c r="G411" s="1767"/>
      <c r="H411" s="1767"/>
      <c r="I411" s="1767"/>
      <c r="J411" s="1767"/>
      <c r="K411" s="1767"/>
      <c r="L411" s="1767"/>
      <c r="M411" s="1767"/>
      <c r="N411" s="1767"/>
      <c r="O411" s="1767"/>
      <c r="P411" s="1767"/>
      <c r="Q411" s="1767"/>
      <c r="R411" s="1767"/>
      <c r="S411" s="1767"/>
      <c r="T411" s="1767"/>
      <c r="U411" s="1767"/>
      <c r="V411" s="1767"/>
      <c r="W411" s="1767"/>
      <c r="X411" s="1767"/>
      <c r="Y411" s="1767"/>
      <c r="Z411" s="1767"/>
      <c r="AA411" s="1767"/>
      <c r="AB411" s="1767"/>
      <c r="AC411" s="1767"/>
      <c r="AD411" s="1767"/>
      <c r="AE411" s="1767"/>
      <c r="AF411" s="1767"/>
      <c r="AG411" s="1767"/>
      <c r="AH411" s="1767"/>
      <c r="AI411" s="1767"/>
      <c r="AJ411" s="1767"/>
      <c r="AK411" s="1767"/>
      <c r="AL411" s="1767"/>
      <c r="AM411" s="1767"/>
      <c r="AN411" s="1767"/>
      <c r="AO411" s="1767"/>
      <c r="AP411" s="1767"/>
      <c r="AQ411" s="1767"/>
      <c r="AR411" s="1767"/>
      <c r="AS411" s="1767"/>
      <c r="AT411" s="1767"/>
      <c r="AU411" s="1767"/>
      <c r="AV411" s="1767"/>
      <c r="AW411" s="1767"/>
      <c r="AX411" s="1767"/>
      <c r="AY411" s="1767"/>
      <c r="AZ411" s="1767"/>
      <c r="BA411" s="1767"/>
      <c r="BB411" s="1767"/>
      <c r="BC411" s="1767"/>
      <c r="BD411" s="1767"/>
      <c r="BE411" s="1767"/>
      <c r="BF411" s="1767"/>
      <c r="BG411" s="1767"/>
      <c r="BH411" s="1767"/>
      <c r="BI411" s="1767"/>
      <c r="BJ411" s="1767"/>
      <c r="BK411" s="1767"/>
      <c r="BL411" s="1767"/>
      <c r="BM411" s="1767"/>
      <c r="BN411" s="1767"/>
      <c r="BO411" s="1767"/>
      <c r="BP411" s="1767"/>
      <c r="BQ411" s="1767"/>
      <c r="BR411" s="1767"/>
      <c r="BS411" s="1767"/>
      <c r="BT411" s="1767"/>
      <c r="BU411" s="1767"/>
      <c r="BV411" s="1768"/>
      <c r="BW411" s="453"/>
    </row>
    <row r="412" spans="1:75" ht="15" customHeight="1" x14ac:dyDescent="0.2">
      <c r="A412" s="1752"/>
      <c r="B412" s="742"/>
      <c r="C412" s="1766"/>
      <c r="D412" s="1767"/>
      <c r="E412" s="1767"/>
      <c r="F412" s="1767"/>
      <c r="G412" s="1767"/>
      <c r="H412" s="1767"/>
      <c r="I412" s="1767"/>
      <c r="J412" s="1767"/>
      <c r="K412" s="1767"/>
      <c r="L412" s="1767"/>
      <c r="M412" s="1767"/>
      <c r="N412" s="1767"/>
      <c r="O412" s="1767"/>
      <c r="P412" s="1767"/>
      <c r="Q412" s="1767"/>
      <c r="R412" s="1767"/>
      <c r="S412" s="1767"/>
      <c r="T412" s="1767"/>
      <c r="U412" s="1767"/>
      <c r="V412" s="1767"/>
      <c r="W412" s="1767"/>
      <c r="X412" s="1767"/>
      <c r="Y412" s="1767"/>
      <c r="Z412" s="1767"/>
      <c r="AA412" s="1767"/>
      <c r="AB412" s="1767"/>
      <c r="AC412" s="1767"/>
      <c r="AD412" s="1767"/>
      <c r="AE412" s="1767"/>
      <c r="AF412" s="1767"/>
      <c r="AG412" s="1767"/>
      <c r="AH412" s="1767"/>
      <c r="AI412" s="1767"/>
      <c r="AJ412" s="1767"/>
      <c r="AK412" s="1767"/>
      <c r="AL412" s="1767"/>
      <c r="AM412" s="1767"/>
      <c r="AN412" s="1767"/>
      <c r="AO412" s="1767"/>
      <c r="AP412" s="1767"/>
      <c r="AQ412" s="1767"/>
      <c r="AR412" s="1767"/>
      <c r="AS412" s="1767"/>
      <c r="AT412" s="1767"/>
      <c r="AU412" s="1767"/>
      <c r="AV412" s="1767"/>
      <c r="AW412" s="1767"/>
      <c r="AX412" s="1767"/>
      <c r="AY412" s="1767"/>
      <c r="AZ412" s="1767"/>
      <c r="BA412" s="1767"/>
      <c r="BB412" s="1767"/>
      <c r="BC412" s="1767"/>
      <c r="BD412" s="1767"/>
      <c r="BE412" s="1767"/>
      <c r="BF412" s="1767"/>
      <c r="BG412" s="1767"/>
      <c r="BH412" s="1767"/>
      <c r="BI412" s="1767"/>
      <c r="BJ412" s="1767"/>
      <c r="BK412" s="1767"/>
      <c r="BL412" s="1767"/>
      <c r="BM412" s="1767"/>
      <c r="BN412" s="1767"/>
      <c r="BO412" s="1767"/>
      <c r="BP412" s="1767"/>
      <c r="BQ412" s="1767"/>
      <c r="BR412" s="1767"/>
      <c r="BS412" s="1767"/>
      <c r="BT412" s="1767"/>
      <c r="BU412" s="1767"/>
      <c r="BV412" s="1768"/>
      <c r="BW412" s="453"/>
    </row>
    <row r="413" spans="1:75" ht="15" customHeight="1" x14ac:dyDescent="0.2">
      <c r="A413" s="1752"/>
      <c r="B413" s="742"/>
      <c r="C413" s="1766"/>
      <c r="D413" s="1767"/>
      <c r="E413" s="1767"/>
      <c r="F413" s="1767"/>
      <c r="G413" s="1767"/>
      <c r="H413" s="1767"/>
      <c r="I413" s="1767"/>
      <c r="J413" s="1767"/>
      <c r="K413" s="1767"/>
      <c r="L413" s="1767"/>
      <c r="M413" s="1767"/>
      <c r="N413" s="1767"/>
      <c r="O413" s="1767"/>
      <c r="P413" s="1767"/>
      <c r="Q413" s="1767"/>
      <c r="R413" s="1767"/>
      <c r="S413" s="1767"/>
      <c r="T413" s="1767"/>
      <c r="U413" s="1767"/>
      <c r="V413" s="1767"/>
      <c r="W413" s="1767"/>
      <c r="X413" s="1767"/>
      <c r="Y413" s="1767"/>
      <c r="Z413" s="1767"/>
      <c r="AA413" s="1767"/>
      <c r="AB413" s="1767"/>
      <c r="AC413" s="1767"/>
      <c r="AD413" s="1767"/>
      <c r="AE413" s="1767"/>
      <c r="AF413" s="1767"/>
      <c r="AG413" s="1767"/>
      <c r="AH413" s="1767"/>
      <c r="AI413" s="1767"/>
      <c r="AJ413" s="1767"/>
      <c r="AK413" s="1767"/>
      <c r="AL413" s="1767"/>
      <c r="AM413" s="1767"/>
      <c r="AN413" s="1767"/>
      <c r="AO413" s="1767"/>
      <c r="AP413" s="1767"/>
      <c r="AQ413" s="1767"/>
      <c r="AR413" s="1767"/>
      <c r="AS413" s="1767"/>
      <c r="AT413" s="1767"/>
      <c r="AU413" s="1767"/>
      <c r="AV413" s="1767"/>
      <c r="AW413" s="1767"/>
      <c r="AX413" s="1767"/>
      <c r="AY413" s="1767"/>
      <c r="AZ413" s="1767"/>
      <c r="BA413" s="1767"/>
      <c r="BB413" s="1767"/>
      <c r="BC413" s="1767"/>
      <c r="BD413" s="1767"/>
      <c r="BE413" s="1767"/>
      <c r="BF413" s="1767"/>
      <c r="BG413" s="1767"/>
      <c r="BH413" s="1767"/>
      <c r="BI413" s="1767"/>
      <c r="BJ413" s="1767"/>
      <c r="BK413" s="1767"/>
      <c r="BL413" s="1767"/>
      <c r="BM413" s="1767"/>
      <c r="BN413" s="1767"/>
      <c r="BO413" s="1767"/>
      <c r="BP413" s="1767"/>
      <c r="BQ413" s="1767"/>
      <c r="BR413" s="1767"/>
      <c r="BS413" s="1767"/>
      <c r="BT413" s="1767"/>
      <c r="BU413" s="1767"/>
      <c r="BV413" s="1768"/>
      <c r="BW413" s="453"/>
    </row>
    <row r="414" spans="1:75" ht="15" customHeight="1" x14ac:dyDescent="0.2">
      <c r="A414" s="1752"/>
      <c r="B414" s="742"/>
      <c r="C414" s="1766"/>
      <c r="D414" s="1767"/>
      <c r="E414" s="1767"/>
      <c r="F414" s="1767"/>
      <c r="G414" s="1767"/>
      <c r="H414" s="1767"/>
      <c r="I414" s="1767"/>
      <c r="J414" s="1767"/>
      <c r="K414" s="1767"/>
      <c r="L414" s="1767"/>
      <c r="M414" s="1767"/>
      <c r="N414" s="1767"/>
      <c r="O414" s="1767"/>
      <c r="P414" s="1767"/>
      <c r="Q414" s="1767"/>
      <c r="R414" s="1767"/>
      <c r="S414" s="1767"/>
      <c r="T414" s="1767"/>
      <c r="U414" s="1767"/>
      <c r="V414" s="1767"/>
      <c r="W414" s="1767"/>
      <c r="X414" s="1767"/>
      <c r="Y414" s="1767"/>
      <c r="Z414" s="1767"/>
      <c r="AA414" s="1767"/>
      <c r="AB414" s="1767"/>
      <c r="AC414" s="1767"/>
      <c r="AD414" s="1767"/>
      <c r="AE414" s="1767"/>
      <c r="AF414" s="1767"/>
      <c r="AG414" s="1767"/>
      <c r="AH414" s="1767"/>
      <c r="AI414" s="1767"/>
      <c r="AJ414" s="1767"/>
      <c r="AK414" s="1767"/>
      <c r="AL414" s="1767"/>
      <c r="AM414" s="1767"/>
      <c r="AN414" s="1767"/>
      <c r="AO414" s="1767"/>
      <c r="AP414" s="1767"/>
      <c r="AQ414" s="1767"/>
      <c r="AR414" s="1767"/>
      <c r="AS414" s="1767"/>
      <c r="AT414" s="1767"/>
      <c r="AU414" s="1767"/>
      <c r="AV414" s="1767"/>
      <c r="AW414" s="1767"/>
      <c r="AX414" s="1767"/>
      <c r="AY414" s="1767"/>
      <c r="AZ414" s="1767"/>
      <c r="BA414" s="1767"/>
      <c r="BB414" s="1767"/>
      <c r="BC414" s="1767"/>
      <c r="BD414" s="1767"/>
      <c r="BE414" s="1767"/>
      <c r="BF414" s="1767"/>
      <c r="BG414" s="1767"/>
      <c r="BH414" s="1767"/>
      <c r="BI414" s="1767"/>
      <c r="BJ414" s="1767"/>
      <c r="BK414" s="1767"/>
      <c r="BL414" s="1767"/>
      <c r="BM414" s="1767"/>
      <c r="BN414" s="1767"/>
      <c r="BO414" s="1767"/>
      <c r="BP414" s="1767"/>
      <c r="BQ414" s="1767"/>
      <c r="BR414" s="1767"/>
      <c r="BS414" s="1767"/>
      <c r="BT414" s="1767"/>
      <c r="BU414" s="1767"/>
      <c r="BV414" s="1768"/>
      <c r="BW414" s="453"/>
    </row>
    <row r="415" spans="1:75" ht="15" customHeight="1" x14ac:dyDescent="0.2">
      <c r="A415" s="1752"/>
      <c r="B415" s="742"/>
      <c r="C415" s="1766"/>
      <c r="D415" s="1767"/>
      <c r="E415" s="1767"/>
      <c r="F415" s="1767"/>
      <c r="G415" s="1767"/>
      <c r="H415" s="1767"/>
      <c r="I415" s="1767"/>
      <c r="J415" s="1767"/>
      <c r="K415" s="1767"/>
      <c r="L415" s="1767"/>
      <c r="M415" s="1767"/>
      <c r="N415" s="1767"/>
      <c r="O415" s="1767"/>
      <c r="P415" s="1767"/>
      <c r="Q415" s="1767"/>
      <c r="R415" s="1767"/>
      <c r="S415" s="1767"/>
      <c r="T415" s="1767"/>
      <c r="U415" s="1767"/>
      <c r="V415" s="1767"/>
      <c r="W415" s="1767"/>
      <c r="X415" s="1767"/>
      <c r="Y415" s="1767"/>
      <c r="Z415" s="1767"/>
      <c r="AA415" s="1767"/>
      <c r="AB415" s="1767"/>
      <c r="AC415" s="1767"/>
      <c r="AD415" s="1767"/>
      <c r="AE415" s="1767"/>
      <c r="AF415" s="1767"/>
      <c r="AG415" s="1767"/>
      <c r="AH415" s="1767"/>
      <c r="AI415" s="1767"/>
      <c r="AJ415" s="1767"/>
      <c r="AK415" s="1767"/>
      <c r="AL415" s="1767"/>
      <c r="AM415" s="1767"/>
      <c r="AN415" s="1767"/>
      <c r="AO415" s="1767"/>
      <c r="AP415" s="1767"/>
      <c r="AQ415" s="1767"/>
      <c r="AR415" s="1767"/>
      <c r="AS415" s="1767"/>
      <c r="AT415" s="1767"/>
      <c r="AU415" s="1767"/>
      <c r="AV415" s="1767"/>
      <c r="AW415" s="1767"/>
      <c r="AX415" s="1767"/>
      <c r="AY415" s="1767"/>
      <c r="AZ415" s="1767"/>
      <c r="BA415" s="1767"/>
      <c r="BB415" s="1767"/>
      <c r="BC415" s="1767"/>
      <c r="BD415" s="1767"/>
      <c r="BE415" s="1767"/>
      <c r="BF415" s="1767"/>
      <c r="BG415" s="1767"/>
      <c r="BH415" s="1767"/>
      <c r="BI415" s="1767"/>
      <c r="BJ415" s="1767"/>
      <c r="BK415" s="1767"/>
      <c r="BL415" s="1767"/>
      <c r="BM415" s="1767"/>
      <c r="BN415" s="1767"/>
      <c r="BO415" s="1767"/>
      <c r="BP415" s="1767"/>
      <c r="BQ415" s="1767"/>
      <c r="BR415" s="1767"/>
      <c r="BS415" s="1767"/>
      <c r="BT415" s="1767"/>
      <c r="BU415" s="1767"/>
      <c r="BV415" s="1768"/>
      <c r="BW415" s="453"/>
    </row>
    <row r="416" spans="1:75" ht="15" customHeight="1" x14ac:dyDescent="0.2">
      <c r="A416" s="1752"/>
      <c r="B416" s="742"/>
      <c r="C416" s="1766"/>
      <c r="D416" s="1767"/>
      <c r="E416" s="1767"/>
      <c r="F416" s="1767"/>
      <c r="G416" s="1767"/>
      <c r="H416" s="1767"/>
      <c r="I416" s="1767"/>
      <c r="J416" s="1767"/>
      <c r="K416" s="1767"/>
      <c r="L416" s="1767"/>
      <c r="M416" s="1767"/>
      <c r="N416" s="1767"/>
      <c r="O416" s="1767"/>
      <c r="P416" s="1767"/>
      <c r="Q416" s="1767"/>
      <c r="R416" s="1767"/>
      <c r="S416" s="1767"/>
      <c r="T416" s="1767"/>
      <c r="U416" s="1767"/>
      <c r="V416" s="1767"/>
      <c r="W416" s="1767"/>
      <c r="X416" s="1767"/>
      <c r="Y416" s="1767"/>
      <c r="Z416" s="1767"/>
      <c r="AA416" s="1767"/>
      <c r="AB416" s="1767"/>
      <c r="AC416" s="1767"/>
      <c r="AD416" s="1767"/>
      <c r="AE416" s="1767"/>
      <c r="AF416" s="1767"/>
      <c r="AG416" s="1767"/>
      <c r="AH416" s="1767"/>
      <c r="AI416" s="1767"/>
      <c r="AJ416" s="1767"/>
      <c r="AK416" s="1767"/>
      <c r="AL416" s="1767"/>
      <c r="AM416" s="1767"/>
      <c r="AN416" s="1767"/>
      <c r="AO416" s="1767"/>
      <c r="AP416" s="1767"/>
      <c r="AQ416" s="1767"/>
      <c r="AR416" s="1767"/>
      <c r="AS416" s="1767"/>
      <c r="AT416" s="1767"/>
      <c r="AU416" s="1767"/>
      <c r="AV416" s="1767"/>
      <c r="AW416" s="1767"/>
      <c r="AX416" s="1767"/>
      <c r="AY416" s="1767"/>
      <c r="AZ416" s="1767"/>
      <c r="BA416" s="1767"/>
      <c r="BB416" s="1767"/>
      <c r="BC416" s="1767"/>
      <c r="BD416" s="1767"/>
      <c r="BE416" s="1767"/>
      <c r="BF416" s="1767"/>
      <c r="BG416" s="1767"/>
      <c r="BH416" s="1767"/>
      <c r="BI416" s="1767"/>
      <c r="BJ416" s="1767"/>
      <c r="BK416" s="1767"/>
      <c r="BL416" s="1767"/>
      <c r="BM416" s="1767"/>
      <c r="BN416" s="1767"/>
      <c r="BO416" s="1767"/>
      <c r="BP416" s="1767"/>
      <c r="BQ416" s="1767"/>
      <c r="BR416" s="1767"/>
      <c r="BS416" s="1767"/>
      <c r="BT416" s="1767"/>
      <c r="BU416" s="1767"/>
      <c r="BV416" s="1768"/>
      <c r="BW416" s="453"/>
    </row>
    <row r="417" spans="1:75" ht="15" customHeight="1" x14ac:dyDescent="0.2">
      <c r="A417" s="1752"/>
      <c r="B417" s="742"/>
      <c r="C417" s="1766"/>
      <c r="D417" s="1767"/>
      <c r="E417" s="1767"/>
      <c r="F417" s="1767"/>
      <c r="G417" s="1767"/>
      <c r="H417" s="1767"/>
      <c r="I417" s="1767"/>
      <c r="J417" s="1767"/>
      <c r="K417" s="1767"/>
      <c r="L417" s="1767"/>
      <c r="M417" s="1767"/>
      <c r="N417" s="1767"/>
      <c r="O417" s="1767"/>
      <c r="P417" s="1767"/>
      <c r="Q417" s="1767"/>
      <c r="R417" s="1767"/>
      <c r="S417" s="1767"/>
      <c r="T417" s="1767"/>
      <c r="U417" s="1767"/>
      <c r="V417" s="1767"/>
      <c r="W417" s="1767"/>
      <c r="X417" s="1767"/>
      <c r="Y417" s="1767"/>
      <c r="Z417" s="1767"/>
      <c r="AA417" s="1767"/>
      <c r="AB417" s="1767"/>
      <c r="AC417" s="1767"/>
      <c r="AD417" s="1767"/>
      <c r="AE417" s="1767"/>
      <c r="AF417" s="1767"/>
      <c r="AG417" s="1767"/>
      <c r="AH417" s="1767"/>
      <c r="AI417" s="1767"/>
      <c r="AJ417" s="1767"/>
      <c r="AK417" s="1767"/>
      <c r="AL417" s="1767"/>
      <c r="AM417" s="1767"/>
      <c r="AN417" s="1767"/>
      <c r="AO417" s="1767"/>
      <c r="AP417" s="1767"/>
      <c r="AQ417" s="1767"/>
      <c r="AR417" s="1767"/>
      <c r="AS417" s="1767"/>
      <c r="AT417" s="1767"/>
      <c r="AU417" s="1767"/>
      <c r="AV417" s="1767"/>
      <c r="AW417" s="1767"/>
      <c r="AX417" s="1767"/>
      <c r="AY417" s="1767"/>
      <c r="AZ417" s="1767"/>
      <c r="BA417" s="1767"/>
      <c r="BB417" s="1767"/>
      <c r="BC417" s="1767"/>
      <c r="BD417" s="1767"/>
      <c r="BE417" s="1767"/>
      <c r="BF417" s="1767"/>
      <c r="BG417" s="1767"/>
      <c r="BH417" s="1767"/>
      <c r="BI417" s="1767"/>
      <c r="BJ417" s="1767"/>
      <c r="BK417" s="1767"/>
      <c r="BL417" s="1767"/>
      <c r="BM417" s="1767"/>
      <c r="BN417" s="1767"/>
      <c r="BO417" s="1767"/>
      <c r="BP417" s="1767"/>
      <c r="BQ417" s="1767"/>
      <c r="BR417" s="1767"/>
      <c r="BS417" s="1767"/>
      <c r="BT417" s="1767"/>
      <c r="BU417" s="1767"/>
      <c r="BV417" s="1768"/>
      <c r="BW417" s="453"/>
    </row>
    <row r="418" spans="1:75" ht="15" customHeight="1" x14ac:dyDescent="0.2">
      <c r="A418" s="1752"/>
      <c r="B418" s="742"/>
      <c r="C418" s="1766"/>
      <c r="D418" s="1767"/>
      <c r="E418" s="1767"/>
      <c r="F418" s="1767"/>
      <c r="G418" s="1767"/>
      <c r="H418" s="1767"/>
      <c r="I418" s="1767"/>
      <c r="J418" s="1767"/>
      <c r="K418" s="1767"/>
      <c r="L418" s="1767"/>
      <c r="M418" s="1767"/>
      <c r="N418" s="1767"/>
      <c r="O418" s="1767"/>
      <c r="P418" s="1767"/>
      <c r="Q418" s="1767"/>
      <c r="R418" s="1767"/>
      <c r="S418" s="1767"/>
      <c r="T418" s="1767"/>
      <c r="U418" s="1767"/>
      <c r="V418" s="1767"/>
      <c r="W418" s="1767"/>
      <c r="X418" s="1767"/>
      <c r="Y418" s="1767"/>
      <c r="Z418" s="1767"/>
      <c r="AA418" s="1767"/>
      <c r="AB418" s="1767"/>
      <c r="AC418" s="1767"/>
      <c r="AD418" s="1767"/>
      <c r="AE418" s="1767"/>
      <c r="AF418" s="1767"/>
      <c r="AG418" s="1767"/>
      <c r="AH418" s="1767"/>
      <c r="AI418" s="1767"/>
      <c r="AJ418" s="1767"/>
      <c r="AK418" s="1767"/>
      <c r="AL418" s="1767"/>
      <c r="AM418" s="1767"/>
      <c r="AN418" s="1767"/>
      <c r="AO418" s="1767"/>
      <c r="AP418" s="1767"/>
      <c r="AQ418" s="1767"/>
      <c r="AR418" s="1767"/>
      <c r="AS418" s="1767"/>
      <c r="AT418" s="1767"/>
      <c r="AU418" s="1767"/>
      <c r="AV418" s="1767"/>
      <c r="AW418" s="1767"/>
      <c r="AX418" s="1767"/>
      <c r="AY418" s="1767"/>
      <c r="AZ418" s="1767"/>
      <c r="BA418" s="1767"/>
      <c r="BB418" s="1767"/>
      <c r="BC418" s="1767"/>
      <c r="BD418" s="1767"/>
      <c r="BE418" s="1767"/>
      <c r="BF418" s="1767"/>
      <c r="BG418" s="1767"/>
      <c r="BH418" s="1767"/>
      <c r="BI418" s="1767"/>
      <c r="BJ418" s="1767"/>
      <c r="BK418" s="1767"/>
      <c r="BL418" s="1767"/>
      <c r="BM418" s="1767"/>
      <c r="BN418" s="1767"/>
      <c r="BO418" s="1767"/>
      <c r="BP418" s="1767"/>
      <c r="BQ418" s="1767"/>
      <c r="BR418" s="1767"/>
      <c r="BS418" s="1767"/>
      <c r="BT418" s="1767"/>
      <c r="BU418" s="1767"/>
      <c r="BV418" s="1768"/>
      <c r="BW418" s="443"/>
    </row>
    <row r="419" spans="1:75" ht="15" customHeight="1" x14ac:dyDescent="0.2">
      <c r="A419" s="1752"/>
      <c r="B419" s="742"/>
      <c r="C419" s="1766"/>
      <c r="D419" s="1767"/>
      <c r="E419" s="1767"/>
      <c r="F419" s="1767"/>
      <c r="G419" s="1767"/>
      <c r="H419" s="1767"/>
      <c r="I419" s="1767"/>
      <c r="J419" s="1767"/>
      <c r="K419" s="1767"/>
      <c r="L419" s="1767"/>
      <c r="M419" s="1767"/>
      <c r="N419" s="1767"/>
      <c r="O419" s="1767"/>
      <c r="P419" s="1767"/>
      <c r="Q419" s="1767"/>
      <c r="R419" s="1767"/>
      <c r="S419" s="1767"/>
      <c r="T419" s="1767"/>
      <c r="U419" s="1767"/>
      <c r="V419" s="1767"/>
      <c r="W419" s="1767"/>
      <c r="X419" s="1767"/>
      <c r="Y419" s="1767"/>
      <c r="Z419" s="1767"/>
      <c r="AA419" s="1767"/>
      <c r="AB419" s="1767"/>
      <c r="AC419" s="1767"/>
      <c r="AD419" s="1767"/>
      <c r="AE419" s="1767"/>
      <c r="AF419" s="1767"/>
      <c r="AG419" s="1767"/>
      <c r="AH419" s="1767"/>
      <c r="AI419" s="1767"/>
      <c r="AJ419" s="1767"/>
      <c r="AK419" s="1767"/>
      <c r="AL419" s="1767"/>
      <c r="AM419" s="1767"/>
      <c r="AN419" s="1767"/>
      <c r="AO419" s="1767"/>
      <c r="AP419" s="1767"/>
      <c r="AQ419" s="1767"/>
      <c r="AR419" s="1767"/>
      <c r="AS419" s="1767"/>
      <c r="AT419" s="1767"/>
      <c r="AU419" s="1767"/>
      <c r="AV419" s="1767"/>
      <c r="AW419" s="1767"/>
      <c r="AX419" s="1767"/>
      <c r="AY419" s="1767"/>
      <c r="AZ419" s="1767"/>
      <c r="BA419" s="1767"/>
      <c r="BB419" s="1767"/>
      <c r="BC419" s="1767"/>
      <c r="BD419" s="1767"/>
      <c r="BE419" s="1767"/>
      <c r="BF419" s="1767"/>
      <c r="BG419" s="1767"/>
      <c r="BH419" s="1767"/>
      <c r="BI419" s="1767"/>
      <c r="BJ419" s="1767"/>
      <c r="BK419" s="1767"/>
      <c r="BL419" s="1767"/>
      <c r="BM419" s="1767"/>
      <c r="BN419" s="1767"/>
      <c r="BO419" s="1767"/>
      <c r="BP419" s="1767"/>
      <c r="BQ419" s="1767"/>
      <c r="BR419" s="1767"/>
      <c r="BS419" s="1767"/>
      <c r="BT419" s="1767"/>
      <c r="BU419" s="1767"/>
      <c r="BV419" s="1768"/>
      <c r="BW419" s="443"/>
    </row>
    <row r="420" spans="1:75" ht="15" customHeight="1" x14ac:dyDescent="0.2">
      <c r="A420" s="1752"/>
      <c r="B420" s="742"/>
      <c r="C420" s="1766"/>
      <c r="D420" s="1767"/>
      <c r="E420" s="1767"/>
      <c r="F420" s="1767"/>
      <c r="G420" s="1767"/>
      <c r="H420" s="1767"/>
      <c r="I420" s="1767"/>
      <c r="J420" s="1767"/>
      <c r="K420" s="1767"/>
      <c r="L420" s="1767"/>
      <c r="M420" s="1767"/>
      <c r="N420" s="1767"/>
      <c r="O420" s="1767"/>
      <c r="P420" s="1767"/>
      <c r="Q420" s="1767"/>
      <c r="R420" s="1767"/>
      <c r="S420" s="1767"/>
      <c r="T420" s="1767"/>
      <c r="U420" s="1767"/>
      <c r="V420" s="1767"/>
      <c r="W420" s="1767"/>
      <c r="X420" s="1767"/>
      <c r="Y420" s="1767"/>
      <c r="Z420" s="1767"/>
      <c r="AA420" s="1767"/>
      <c r="AB420" s="1767"/>
      <c r="AC420" s="1767"/>
      <c r="AD420" s="1767"/>
      <c r="AE420" s="1767"/>
      <c r="AF420" s="1767"/>
      <c r="AG420" s="1767"/>
      <c r="AH420" s="1767"/>
      <c r="AI420" s="1767"/>
      <c r="AJ420" s="1767"/>
      <c r="AK420" s="1767"/>
      <c r="AL420" s="1767"/>
      <c r="AM420" s="1767"/>
      <c r="AN420" s="1767"/>
      <c r="AO420" s="1767"/>
      <c r="AP420" s="1767"/>
      <c r="AQ420" s="1767"/>
      <c r="AR420" s="1767"/>
      <c r="AS420" s="1767"/>
      <c r="AT420" s="1767"/>
      <c r="AU420" s="1767"/>
      <c r="AV420" s="1767"/>
      <c r="AW420" s="1767"/>
      <c r="AX420" s="1767"/>
      <c r="AY420" s="1767"/>
      <c r="AZ420" s="1767"/>
      <c r="BA420" s="1767"/>
      <c r="BB420" s="1767"/>
      <c r="BC420" s="1767"/>
      <c r="BD420" s="1767"/>
      <c r="BE420" s="1767"/>
      <c r="BF420" s="1767"/>
      <c r="BG420" s="1767"/>
      <c r="BH420" s="1767"/>
      <c r="BI420" s="1767"/>
      <c r="BJ420" s="1767"/>
      <c r="BK420" s="1767"/>
      <c r="BL420" s="1767"/>
      <c r="BM420" s="1767"/>
      <c r="BN420" s="1767"/>
      <c r="BO420" s="1767"/>
      <c r="BP420" s="1767"/>
      <c r="BQ420" s="1767"/>
      <c r="BR420" s="1767"/>
      <c r="BS420" s="1767"/>
      <c r="BT420" s="1767"/>
      <c r="BU420" s="1767"/>
      <c r="BV420" s="1768"/>
      <c r="BW420" s="443"/>
    </row>
    <row r="421" spans="1:75" ht="15" customHeight="1" x14ac:dyDescent="0.2">
      <c r="A421" s="1752"/>
      <c r="B421" s="742"/>
      <c r="C421" s="1766"/>
      <c r="D421" s="1767"/>
      <c r="E421" s="1767"/>
      <c r="F421" s="1767"/>
      <c r="G421" s="1767"/>
      <c r="H421" s="1767"/>
      <c r="I421" s="1767"/>
      <c r="J421" s="1767"/>
      <c r="K421" s="1767"/>
      <c r="L421" s="1767"/>
      <c r="M421" s="1767"/>
      <c r="N421" s="1767"/>
      <c r="O421" s="1767"/>
      <c r="P421" s="1767"/>
      <c r="Q421" s="1767"/>
      <c r="R421" s="1767"/>
      <c r="S421" s="1767"/>
      <c r="T421" s="1767"/>
      <c r="U421" s="1767"/>
      <c r="V421" s="1767"/>
      <c r="W421" s="1767"/>
      <c r="X421" s="1767"/>
      <c r="Y421" s="1767"/>
      <c r="Z421" s="1767"/>
      <c r="AA421" s="1767"/>
      <c r="AB421" s="1767"/>
      <c r="AC421" s="1767"/>
      <c r="AD421" s="1767"/>
      <c r="AE421" s="1767"/>
      <c r="AF421" s="1767"/>
      <c r="AG421" s="1767"/>
      <c r="AH421" s="1767"/>
      <c r="AI421" s="1767"/>
      <c r="AJ421" s="1767"/>
      <c r="AK421" s="1767"/>
      <c r="AL421" s="1767"/>
      <c r="AM421" s="1767"/>
      <c r="AN421" s="1767"/>
      <c r="AO421" s="1767"/>
      <c r="AP421" s="1767"/>
      <c r="AQ421" s="1767"/>
      <c r="AR421" s="1767"/>
      <c r="AS421" s="1767"/>
      <c r="AT421" s="1767"/>
      <c r="AU421" s="1767"/>
      <c r="AV421" s="1767"/>
      <c r="AW421" s="1767"/>
      <c r="AX421" s="1767"/>
      <c r="AY421" s="1767"/>
      <c r="AZ421" s="1767"/>
      <c r="BA421" s="1767"/>
      <c r="BB421" s="1767"/>
      <c r="BC421" s="1767"/>
      <c r="BD421" s="1767"/>
      <c r="BE421" s="1767"/>
      <c r="BF421" s="1767"/>
      <c r="BG421" s="1767"/>
      <c r="BH421" s="1767"/>
      <c r="BI421" s="1767"/>
      <c r="BJ421" s="1767"/>
      <c r="BK421" s="1767"/>
      <c r="BL421" s="1767"/>
      <c r="BM421" s="1767"/>
      <c r="BN421" s="1767"/>
      <c r="BO421" s="1767"/>
      <c r="BP421" s="1767"/>
      <c r="BQ421" s="1767"/>
      <c r="BR421" s="1767"/>
      <c r="BS421" s="1767"/>
      <c r="BT421" s="1767"/>
      <c r="BU421" s="1767"/>
      <c r="BV421" s="1768"/>
      <c r="BW421" s="443"/>
    </row>
    <row r="422" spans="1:75" ht="15" customHeight="1" x14ac:dyDescent="0.2">
      <c r="A422" s="1752"/>
      <c r="B422" s="742"/>
      <c r="C422" s="1766"/>
      <c r="D422" s="1767"/>
      <c r="E422" s="1767"/>
      <c r="F422" s="1767"/>
      <c r="G422" s="1767"/>
      <c r="H422" s="1767"/>
      <c r="I422" s="1767"/>
      <c r="J422" s="1767"/>
      <c r="K422" s="1767"/>
      <c r="L422" s="1767"/>
      <c r="M422" s="1767"/>
      <c r="N422" s="1767"/>
      <c r="O422" s="1767"/>
      <c r="P422" s="1767"/>
      <c r="Q422" s="1767"/>
      <c r="R422" s="1767"/>
      <c r="S422" s="1767"/>
      <c r="T422" s="1767"/>
      <c r="U422" s="1767"/>
      <c r="V422" s="1767"/>
      <c r="W422" s="1767"/>
      <c r="X422" s="1767"/>
      <c r="Y422" s="1767"/>
      <c r="Z422" s="1767"/>
      <c r="AA422" s="1767"/>
      <c r="AB422" s="1767"/>
      <c r="AC422" s="1767"/>
      <c r="AD422" s="1767"/>
      <c r="AE422" s="1767"/>
      <c r="AF422" s="1767"/>
      <c r="AG422" s="1767"/>
      <c r="AH422" s="1767"/>
      <c r="AI422" s="1767"/>
      <c r="AJ422" s="1767"/>
      <c r="AK422" s="1767"/>
      <c r="AL422" s="1767"/>
      <c r="AM422" s="1767"/>
      <c r="AN422" s="1767"/>
      <c r="AO422" s="1767"/>
      <c r="AP422" s="1767"/>
      <c r="AQ422" s="1767"/>
      <c r="AR422" s="1767"/>
      <c r="AS422" s="1767"/>
      <c r="AT422" s="1767"/>
      <c r="AU422" s="1767"/>
      <c r="AV422" s="1767"/>
      <c r="AW422" s="1767"/>
      <c r="AX422" s="1767"/>
      <c r="AY422" s="1767"/>
      <c r="AZ422" s="1767"/>
      <c r="BA422" s="1767"/>
      <c r="BB422" s="1767"/>
      <c r="BC422" s="1767"/>
      <c r="BD422" s="1767"/>
      <c r="BE422" s="1767"/>
      <c r="BF422" s="1767"/>
      <c r="BG422" s="1767"/>
      <c r="BH422" s="1767"/>
      <c r="BI422" s="1767"/>
      <c r="BJ422" s="1767"/>
      <c r="BK422" s="1767"/>
      <c r="BL422" s="1767"/>
      <c r="BM422" s="1767"/>
      <c r="BN422" s="1767"/>
      <c r="BO422" s="1767"/>
      <c r="BP422" s="1767"/>
      <c r="BQ422" s="1767"/>
      <c r="BR422" s="1767"/>
      <c r="BS422" s="1767"/>
      <c r="BT422" s="1767"/>
      <c r="BU422" s="1767"/>
      <c r="BV422" s="1768"/>
      <c r="BW422" s="443"/>
    </row>
    <row r="423" spans="1:75" ht="15" customHeight="1" x14ac:dyDescent="0.2">
      <c r="A423" s="1752"/>
      <c r="B423" s="742"/>
      <c r="C423" s="1766"/>
      <c r="D423" s="1767"/>
      <c r="E423" s="1767"/>
      <c r="F423" s="1767"/>
      <c r="G423" s="1767"/>
      <c r="H423" s="1767"/>
      <c r="I423" s="1767"/>
      <c r="J423" s="1767"/>
      <c r="K423" s="1767"/>
      <c r="L423" s="1767"/>
      <c r="M423" s="1767"/>
      <c r="N423" s="1767"/>
      <c r="O423" s="1767"/>
      <c r="P423" s="1767"/>
      <c r="Q423" s="1767"/>
      <c r="R423" s="1767"/>
      <c r="S423" s="1767"/>
      <c r="T423" s="1767"/>
      <c r="U423" s="1767"/>
      <c r="V423" s="1767"/>
      <c r="W423" s="1767"/>
      <c r="X423" s="1767"/>
      <c r="Y423" s="1767"/>
      <c r="Z423" s="1767"/>
      <c r="AA423" s="1767"/>
      <c r="AB423" s="1767"/>
      <c r="AC423" s="1767"/>
      <c r="AD423" s="1767"/>
      <c r="AE423" s="1767"/>
      <c r="AF423" s="1767"/>
      <c r="AG423" s="1767"/>
      <c r="AH423" s="1767"/>
      <c r="AI423" s="1767"/>
      <c r="AJ423" s="1767"/>
      <c r="AK423" s="1767"/>
      <c r="AL423" s="1767"/>
      <c r="AM423" s="1767"/>
      <c r="AN423" s="1767"/>
      <c r="AO423" s="1767"/>
      <c r="AP423" s="1767"/>
      <c r="AQ423" s="1767"/>
      <c r="AR423" s="1767"/>
      <c r="AS423" s="1767"/>
      <c r="AT423" s="1767"/>
      <c r="AU423" s="1767"/>
      <c r="AV423" s="1767"/>
      <c r="AW423" s="1767"/>
      <c r="AX423" s="1767"/>
      <c r="AY423" s="1767"/>
      <c r="AZ423" s="1767"/>
      <c r="BA423" s="1767"/>
      <c r="BB423" s="1767"/>
      <c r="BC423" s="1767"/>
      <c r="BD423" s="1767"/>
      <c r="BE423" s="1767"/>
      <c r="BF423" s="1767"/>
      <c r="BG423" s="1767"/>
      <c r="BH423" s="1767"/>
      <c r="BI423" s="1767"/>
      <c r="BJ423" s="1767"/>
      <c r="BK423" s="1767"/>
      <c r="BL423" s="1767"/>
      <c r="BM423" s="1767"/>
      <c r="BN423" s="1767"/>
      <c r="BO423" s="1767"/>
      <c r="BP423" s="1767"/>
      <c r="BQ423" s="1767"/>
      <c r="BR423" s="1767"/>
      <c r="BS423" s="1767"/>
      <c r="BT423" s="1767"/>
      <c r="BU423" s="1767"/>
      <c r="BV423" s="1768"/>
      <c r="BW423" s="443"/>
    </row>
    <row r="424" spans="1:75" ht="15" customHeight="1" x14ac:dyDescent="0.2">
      <c r="A424" s="1752"/>
      <c r="B424" s="742"/>
      <c r="C424" s="1766"/>
      <c r="D424" s="1767"/>
      <c r="E424" s="1767"/>
      <c r="F424" s="1767"/>
      <c r="G424" s="1767"/>
      <c r="H424" s="1767"/>
      <c r="I424" s="1767"/>
      <c r="J424" s="1767"/>
      <c r="K424" s="1767"/>
      <c r="L424" s="1767"/>
      <c r="M424" s="1767"/>
      <c r="N424" s="1767"/>
      <c r="O424" s="1767"/>
      <c r="P424" s="1767"/>
      <c r="Q424" s="1767"/>
      <c r="R424" s="1767"/>
      <c r="S424" s="1767"/>
      <c r="T424" s="1767"/>
      <c r="U424" s="1767"/>
      <c r="V424" s="1767"/>
      <c r="W424" s="1767"/>
      <c r="X424" s="1767"/>
      <c r="Y424" s="1767"/>
      <c r="Z424" s="1767"/>
      <c r="AA424" s="1767"/>
      <c r="AB424" s="1767"/>
      <c r="AC424" s="1767"/>
      <c r="AD424" s="1767"/>
      <c r="AE424" s="1767"/>
      <c r="AF424" s="1767"/>
      <c r="AG424" s="1767"/>
      <c r="AH424" s="1767"/>
      <c r="AI424" s="1767"/>
      <c r="AJ424" s="1767"/>
      <c r="AK424" s="1767"/>
      <c r="AL424" s="1767"/>
      <c r="AM424" s="1767"/>
      <c r="AN424" s="1767"/>
      <c r="AO424" s="1767"/>
      <c r="AP424" s="1767"/>
      <c r="AQ424" s="1767"/>
      <c r="AR424" s="1767"/>
      <c r="AS424" s="1767"/>
      <c r="AT424" s="1767"/>
      <c r="AU424" s="1767"/>
      <c r="AV424" s="1767"/>
      <c r="AW424" s="1767"/>
      <c r="AX424" s="1767"/>
      <c r="AY424" s="1767"/>
      <c r="AZ424" s="1767"/>
      <c r="BA424" s="1767"/>
      <c r="BB424" s="1767"/>
      <c r="BC424" s="1767"/>
      <c r="BD424" s="1767"/>
      <c r="BE424" s="1767"/>
      <c r="BF424" s="1767"/>
      <c r="BG424" s="1767"/>
      <c r="BH424" s="1767"/>
      <c r="BI424" s="1767"/>
      <c r="BJ424" s="1767"/>
      <c r="BK424" s="1767"/>
      <c r="BL424" s="1767"/>
      <c r="BM424" s="1767"/>
      <c r="BN424" s="1767"/>
      <c r="BO424" s="1767"/>
      <c r="BP424" s="1767"/>
      <c r="BQ424" s="1767"/>
      <c r="BR424" s="1767"/>
      <c r="BS424" s="1767"/>
      <c r="BT424" s="1767"/>
      <c r="BU424" s="1767"/>
      <c r="BV424" s="1768"/>
      <c r="BW424" s="443"/>
    </row>
    <row r="425" spans="1:75" ht="15" customHeight="1" x14ac:dyDescent="0.2">
      <c r="A425" s="1752"/>
      <c r="B425" s="742"/>
      <c r="C425" s="1766"/>
      <c r="D425" s="1767"/>
      <c r="E425" s="1767"/>
      <c r="F425" s="1767"/>
      <c r="G425" s="1767"/>
      <c r="H425" s="1767"/>
      <c r="I425" s="1767"/>
      <c r="J425" s="1767"/>
      <c r="K425" s="1767"/>
      <c r="L425" s="1767"/>
      <c r="M425" s="1767"/>
      <c r="N425" s="1767"/>
      <c r="O425" s="1767"/>
      <c r="P425" s="1767"/>
      <c r="Q425" s="1767"/>
      <c r="R425" s="1767"/>
      <c r="S425" s="1767"/>
      <c r="T425" s="1767"/>
      <c r="U425" s="1767"/>
      <c r="V425" s="1767"/>
      <c r="W425" s="1767"/>
      <c r="X425" s="1767"/>
      <c r="Y425" s="1767"/>
      <c r="Z425" s="1767"/>
      <c r="AA425" s="1767"/>
      <c r="AB425" s="1767"/>
      <c r="AC425" s="1767"/>
      <c r="AD425" s="1767"/>
      <c r="AE425" s="1767"/>
      <c r="AF425" s="1767"/>
      <c r="AG425" s="1767"/>
      <c r="AH425" s="1767"/>
      <c r="AI425" s="1767"/>
      <c r="AJ425" s="1767"/>
      <c r="AK425" s="1767"/>
      <c r="AL425" s="1767"/>
      <c r="AM425" s="1767"/>
      <c r="AN425" s="1767"/>
      <c r="AO425" s="1767"/>
      <c r="AP425" s="1767"/>
      <c r="AQ425" s="1767"/>
      <c r="AR425" s="1767"/>
      <c r="AS425" s="1767"/>
      <c r="AT425" s="1767"/>
      <c r="AU425" s="1767"/>
      <c r="AV425" s="1767"/>
      <c r="AW425" s="1767"/>
      <c r="AX425" s="1767"/>
      <c r="AY425" s="1767"/>
      <c r="AZ425" s="1767"/>
      <c r="BA425" s="1767"/>
      <c r="BB425" s="1767"/>
      <c r="BC425" s="1767"/>
      <c r="BD425" s="1767"/>
      <c r="BE425" s="1767"/>
      <c r="BF425" s="1767"/>
      <c r="BG425" s="1767"/>
      <c r="BH425" s="1767"/>
      <c r="BI425" s="1767"/>
      <c r="BJ425" s="1767"/>
      <c r="BK425" s="1767"/>
      <c r="BL425" s="1767"/>
      <c r="BM425" s="1767"/>
      <c r="BN425" s="1767"/>
      <c r="BO425" s="1767"/>
      <c r="BP425" s="1767"/>
      <c r="BQ425" s="1767"/>
      <c r="BR425" s="1767"/>
      <c r="BS425" s="1767"/>
      <c r="BT425" s="1767"/>
      <c r="BU425" s="1767"/>
      <c r="BV425" s="1768"/>
      <c r="BW425" s="443"/>
    </row>
    <row r="426" spans="1:75" ht="15" customHeight="1" x14ac:dyDescent="0.2">
      <c r="A426" s="1752"/>
      <c r="B426" s="742"/>
      <c r="C426" s="1766"/>
      <c r="D426" s="1767"/>
      <c r="E426" s="1767"/>
      <c r="F426" s="1767"/>
      <c r="G426" s="1767"/>
      <c r="H426" s="1767"/>
      <c r="I426" s="1767"/>
      <c r="J426" s="1767"/>
      <c r="K426" s="1767"/>
      <c r="L426" s="1767"/>
      <c r="M426" s="1767"/>
      <c r="N426" s="1767"/>
      <c r="O426" s="1767"/>
      <c r="P426" s="1767"/>
      <c r="Q426" s="1767"/>
      <c r="R426" s="1767"/>
      <c r="S426" s="1767"/>
      <c r="T426" s="1767"/>
      <c r="U426" s="1767"/>
      <c r="V426" s="1767"/>
      <c r="W426" s="1767"/>
      <c r="X426" s="1767"/>
      <c r="Y426" s="1767"/>
      <c r="Z426" s="1767"/>
      <c r="AA426" s="1767"/>
      <c r="AB426" s="1767"/>
      <c r="AC426" s="1767"/>
      <c r="AD426" s="1767"/>
      <c r="AE426" s="1767"/>
      <c r="AF426" s="1767"/>
      <c r="AG426" s="1767"/>
      <c r="AH426" s="1767"/>
      <c r="AI426" s="1767"/>
      <c r="AJ426" s="1767"/>
      <c r="AK426" s="1767"/>
      <c r="AL426" s="1767"/>
      <c r="AM426" s="1767"/>
      <c r="AN426" s="1767"/>
      <c r="AO426" s="1767"/>
      <c r="AP426" s="1767"/>
      <c r="AQ426" s="1767"/>
      <c r="AR426" s="1767"/>
      <c r="AS426" s="1767"/>
      <c r="AT426" s="1767"/>
      <c r="AU426" s="1767"/>
      <c r="AV426" s="1767"/>
      <c r="AW426" s="1767"/>
      <c r="AX426" s="1767"/>
      <c r="AY426" s="1767"/>
      <c r="AZ426" s="1767"/>
      <c r="BA426" s="1767"/>
      <c r="BB426" s="1767"/>
      <c r="BC426" s="1767"/>
      <c r="BD426" s="1767"/>
      <c r="BE426" s="1767"/>
      <c r="BF426" s="1767"/>
      <c r="BG426" s="1767"/>
      <c r="BH426" s="1767"/>
      <c r="BI426" s="1767"/>
      <c r="BJ426" s="1767"/>
      <c r="BK426" s="1767"/>
      <c r="BL426" s="1767"/>
      <c r="BM426" s="1767"/>
      <c r="BN426" s="1767"/>
      <c r="BO426" s="1767"/>
      <c r="BP426" s="1767"/>
      <c r="BQ426" s="1767"/>
      <c r="BR426" s="1767"/>
      <c r="BS426" s="1767"/>
      <c r="BT426" s="1767"/>
      <c r="BU426" s="1767"/>
      <c r="BV426" s="1768"/>
      <c r="BW426" s="443"/>
    </row>
    <row r="427" spans="1:75" ht="15" customHeight="1" x14ac:dyDescent="0.2">
      <c r="A427" s="1752"/>
      <c r="B427" s="742"/>
      <c r="C427" s="1766"/>
      <c r="D427" s="1767"/>
      <c r="E427" s="1767"/>
      <c r="F427" s="1767"/>
      <c r="G427" s="1767"/>
      <c r="H427" s="1767"/>
      <c r="I427" s="1767"/>
      <c r="J427" s="1767"/>
      <c r="K427" s="1767"/>
      <c r="L427" s="1767"/>
      <c r="M427" s="1767"/>
      <c r="N427" s="1767"/>
      <c r="O427" s="1767"/>
      <c r="P427" s="1767"/>
      <c r="Q427" s="1767"/>
      <c r="R427" s="1767"/>
      <c r="S427" s="1767"/>
      <c r="T427" s="1767"/>
      <c r="U427" s="1767"/>
      <c r="V427" s="1767"/>
      <c r="W427" s="1767"/>
      <c r="X427" s="1767"/>
      <c r="Y427" s="1767"/>
      <c r="Z427" s="1767"/>
      <c r="AA427" s="1767"/>
      <c r="AB427" s="1767"/>
      <c r="AC427" s="1767"/>
      <c r="AD427" s="1767"/>
      <c r="AE427" s="1767"/>
      <c r="AF427" s="1767"/>
      <c r="AG427" s="1767"/>
      <c r="AH427" s="1767"/>
      <c r="AI427" s="1767"/>
      <c r="AJ427" s="1767"/>
      <c r="AK427" s="1767"/>
      <c r="AL427" s="1767"/>
      <c r="AM427" s="1767"/>
      <c r="AN427" s="1767"/>
      <c r="AO427" s="1767"/>
      <c r="AP427" s="1767"/>
      <c r="AQ427" s="1767"/>
      <c r="AR427" s="1767"/>
      <c r="AS427" s="1767"/>
      <c r="AT427" s="1767"/>
      <c r="AU427" s="1767"/>
      <c r="AV427" s="1767"/>
      <c r="AW427" s="1767"/>
      <c r="AX427" s="1767"/>
      <c r="AY427" s="1767"/>
      <c r="AZ427" s="1767"/>
      <c r="BA427" s="1767"/>
      <c r="BB427" s="1767"/>
      <c r="BC427" s="1767"/>
      <c r="BD427" s="1767"/>
      <c r="BE427" s="1767"/>
      <c r="BF427" s="1767"/>
      <c r="BG427" s="1767"/>
      <c r="BH427" s="1767"/>
      <c r="BI427" s="1767"/>
      <c r="BJ427" s="1767"/>
      <c r="BK427" s="1767"/>
      <c r="BL427" s="1767"/>
      <c r="BM427" s="1767"/>
      <c r="BN427" s="1767"/>
      <c r="BO427" s="1767"/>
      <c r="BP427" s="1767"/>
      <c r="BQ427" s="1767"/>
      <c r="BR427" s="1767"/>
      <c r="BS427" s="1767"/>
      <c r="BT427" s="1767"/>
      <c r="BU427" s="1767"/>
      <c r="BV427" s="1768"/>
      <c r="BW427" s="443"/>
    </row>
    <row r="428" spans="1:75" ht="15" customHeight="1" x14ac:dyDescent="0.2">
      <c r="A428" s="1752"/>
      <c r="B428" s="742"/>
      <c r="C428" s="1766"/>
      <c r="D428" s="1767"/>
      <c r="E428" s="1767"/>
      <c r="F428" s="1767"/>
      <c r="G428" s="1767"/>
      <c r="H428" s="1767"/>
      <c r="I428" s="1767"/>
      <c r="J428" s="1767"/>
      <c r="K428" s="1767"/>
      <c r="L428" s="1767"/>
      <c r="M428" s="1767"/>
      <c r="N428" s="1767"/>
      <c r="O428" s="1767"/>
      <c r="P428" s="1767"/>
      <c r="Q428" s="1767"/>
      <c r="R428" s="1767"/>
      <c r="S428" s="1767"/>
      <c r="T428" s="1767"/>
      <c r="U428" s="1767"/>
      <c r="V428" s="1767"/>
      <c r="W428" s="1767"/>
      <c r="X428" s="1767"/>
      <c r="Y428" s="1767"/>
      <c r="Z428" s="1767"/>
      <c r="AA428" s="1767"/>
      <c r="AB428" s="1767"/>
      <c r="AC428" s="1767"/>
      <c r="AD428" s="1767"/>
      <c r="AE428" s="1767"/>
      <c r="AF428" s="1767"/>
      <c r="AG428" s="1767"/>
      <c r="AH428" s="1767"/>
      <c r="AI428" s="1767"/>
      <c r="AJ428" s="1767"/>
      <c r="AK428" s="1767"/>
      <c r="AL428" s="1767"/>
      <c r="AM428" s="1767"/>
      <c r="AN428" s="1767"/>
      <c r="AO428" s="1767"/>
      <c r="AP428" s="1767"/>
      <c r="AQ428" s="1767"/>
      <c r="AR428" s="1767"/>
      <c r="AS428" s="1767"/>
      <c r="AT428" s="1767"/>
      <c r="AU428" s="1767"/>
      <c r="AV428" s="1767"/>
      <c r="AW428" s="1767"/>
      <c r="AX428" s="1767"/>
      <c r="AY428" s="1767"/>
      <c r="AZ428" s="1767"/>
      <c r="BA428" s="1767"/>
      <c r="BB428" s="1767"/>
      <c r="BC428" s="1767"/>
      <c r="BD428" s="1767"/>
      <c r="BE428" s="1767"/>
      <c r="BF428" s="1767"/>
      <c r="BG428" s="1767"/>
      <c r="BH428" s="1767"/>
      <c r="BI428" s="1767"/>
      <c r="BJ428" s="1767"/>
      <c r="BK428" s="1767"/>
      <c r="BL428" s="1767"/>
      <c r="BM428" s="1767"/>
      <c r="BN428" s="1767"/>
      <c r="BO428" s="1767"/>
      <c r="BP428" s="1767"/>
      <c r="BQ428" s="1767"/>
      <c r="BR428" s="1767"/>
      <c r="BS428" s="1767"/>
      <c r="BT428" s="1767"/>
      <c r="BU428" s="1767"/>
      <c r="BV428" s="1768"/>
      <c r="BW428" s="443"/>
    </row>
    <row r="429" spans="1:75" ht="15" customHeight="1" x14ac:dyDescent="0.2">
      <c r="A429" s="1752"/>
      <c r="B429" s="742"/>
      <c r="C429" s="1766"/>
      <c r="D429" s="1767"/>
      <c r="E429" s="1767"/>
      <c r="F429" s="1767"/>
      <c r="G429" s="1767"/>
      <c r="H429" s="1767"/>
      <c r="I429" s="1767"/>
      <c r="J429" s="1767"/>
      <c r="K429" s="1767"/>
      <c r="L429" s="1767"/>
      <c r="M429" s="1767"/>
      <c r="N429" s="1767"/>
      <c r="O429" s="1767"/>
      <c r="P429" s="1767"/>
      <c r="Q429" s="1767"/>
      <c r="R429" s="1767"/>
      <c r="S429" s="1767"/>
      <c r="T429" s="1767"/>
      <c r="U429" s="1767"/>
      <c r="V429" s="1767"/>
      <c r="W429" s="1767"/>
      <c r="X429" s="1767"/>
      <c r="Y429" s="1767"/>
      <c r="Z429" s="1767"/>
      <c r="AA429" s="1767"/>
      <c r="AB429" s="1767"/>
      <c r="AC429" s="1767"/>
      <c r="AD429" s="1767"/>
      <c r="AE429" s="1767"/>
      <c r="AF429" s="1767"/>
      <c r="AG429" s="1767"/>
      <c r="AH429" s="1767"/>
      <c r="AI429" s="1767"/>
      <c r="AJ429" s="1767"/>
      <c r="AK429" s="1767"/>
      <c r="AL429" s="1767"/>
      <c r="AM429" s="1767"/>
      <c r="AN429" s="1767"/>
      <c r="AO429" s="1767"/>
      <c r="AP429" s="1767"/>
      <c r="AQ429" s="1767"/>
      <c r="AR429" s="1767"/>
      <c r="AS429" s="1767"/>
      <c r="AT429" s="1767"/>
      <c r="AU429" s="1767"/>
      <c r="AV429" s="1767"/>
      <c r="AW429" s="1767"/>
      <c r="AX429" s="1767"/>
      <c r="AY429" s="1767"/>
      <c r="AZ429" s="1767"/>
      <c r="BA429" s="1767"/>
      <c r="BB429" s="1767"/>
      <c r="BC429" s="1767"/>
      <c r="BD429" s="1767"/>
      <c r="BE429" s="1767"/>
      <c r="BF429" s="1767"/>
      <c r="BG429" s="1767"/>
      <c r="BH429" s="1767"/>
      <c r="BI429" s="1767"/>
      <c r="BJ429" s="1767"/>
      <c r="BK429" s="1767"/>
      <c r="BL429" s="1767"/>
      <c r="BM429" s="1767"/>
      <c r="BN429" s="1767"/>
      <c r="BO429" s="1767"/>
      <c r="BP429" s="1767"/>
      <c r="BQ429" s="1767"/>
      <c r="BR429" s="1767"/>
      <c r="BS429" s="1767"/>
      <c r="BT429" s="1767"/>
      <c r="BU429" s="1767"/>
      <c r="BV429" s="1768"/>
      <c r="BW429" s="443"/>
    </row>
    <row r="430" spans="1:75" ht="15" customHeight="1" x14ac:dyDescent="0.2">
      <c r="A430" s="1752"/>
      <c r="B430" s="742"/>
      <c r="C430" s="1766"/>
      <c r="D430" s="1767"/>
      <c r="E430" s="1767"/>
      <c r="F430" s="1767"/>
      <c r="G430" s="1767"/>
      <c r="H430" s="1767"/>
      <c r="I430" s="1767"/>
      <c r="J430" s="1767"/>
      <c r="K430" s="1767"/>
      <c r="L430" s="1767"/>
      <c r="M430" s="1767"/>
      <c r="N430" s="1767"/>
      <c r="O430" s="1767"/>
      <c r="P430" s="1767"/>
      <c r="Q430" s="1767"/>
      <c r="R430" s="1767"/>
      <c r="S430" s="1767"/>
      <c r="T430" s="1767"/>
      <c r="U430" s="1767"/>
      <c r="V430" s="1767"/>
      <c r="W430" s="1767"/>
      <c r="X430" s="1767"/>
      <c r="Y430" s="1767"/>
      <c r="Z430" s="1767"/>
      <c r="AA430" s="1767"/>
      <c r="AB430" s="1767"/>
      <c r="AC430" s="1767"/>
      <c r="AD430" s="1767"/>
      <c r="AE430" s="1767"/>
      <c r="AF430" s="1767"/>
      <c r="AG430" s="1767"/>
      <c r="AH430" s="1767"/>
      <c r="AI430" s="1767"/>
      <c r="AJ430" s="1767"/>
      <c r="AK430" s="1767"/>
      <c r="AL430" s="1767"/>
      <c r="AM430" s="1767"/>
      <c r="AN430" s="1767"/>
      <c r="AO430" s="1767"/>
      <c r="AP430" s="1767"/>
      <c r="AQ430" s="1767"/>
      <c r="AR430" s="1767"/>
      <c r="AS430" s="1767"/>
      <c r="AT430" s="1767"/>
      <c r="AU430" s="1767"/>
      <c r="AV430" s="1767"/>
      <c r="AW430" s="1767"/>
      <c r="AX430" s="1767"/>
      <c r="AY430" s="1767"/>
      <c r="AZ430" s="1767"/>
      <c r="BA430" s="1767"/>
      <c r="BB430" s="1767"/>
      <c r="BC430" s="1767"/>
      <c r="BD430" s="1767"/>
      <c r="BE430" s="1767"/>
      <c r="BF430" s="1767"/>
      <c r="BG430" s="1767"/>
      <c r="BH430" s="1767"/>
      <c r="BI430" s="1767"/>
      <c r="BJ430" s="1767"/>
      <c r="BK430" s="1767"/>
      <c r="BL430" s="1767"/>
      <c r="BM430" s="1767"/>
      <c r="BN430" s="1767"/>
      <c r="BO430" s="1767"/>
      <c r="BP430" s="1767"/>
      <c r="BQ430" s="1767"/>
      <c r="BR430" s="1767"/>
      <c r="BS430" s="1767"/>
      <c r="BT430" s="1767"/>
      <c r="BU430" s="1767"/>
      <c r="BV430" s="1768"/>
      <c r="BW430" s="443"/>
    </row>
    <row r="431" spans="1:75" ht="15" customHeight="1" x14ac:dyDescent="0.2">
      <c r="A431" s="1752"/>
      <c r="B431" s="742"/>
      <c r="C431" s="1766"/>
      <c r="D431" s="1767"/>
      <c r="E431" s="1767"/>
      <c r="F431" s="1767"/>
      <c r="G431" s="1767"/>
      <c r="H431" s="1767"/>
      <c r="I431" s="1767"/>
      <c r="J431" s="1767"/>
      <c r="K431" s="1767"/>
      <c r="L431" s="1767"/>
      <c r="M431" s="1767"/>
      <c r="N431" s="1767"/>
      <c r="O431" s="1767"/>
      <c r="P431" s="1767"/>
      <c r="Q431" s="1767"/>
      <c r="R431" s="1767"/>
      <c r="S431" s="1767"/>
      <c r="T431" s="1767"/>
      <c r="U431" s="1767"/>
      <c r="V431" s="1767"/>
      <c r="W431" s="1767"/>
      <c r="X431" s="1767"/>
      <c r="Y431" s="1767"/>
      <c r="Z431" s="1767"/>
      <c r="AA431" s="1767"/>
      <c r="AB431" s="1767"/>
      <c r="AC431" s="1767"/>
      <c r="AD431" s="1767"/>
      <c r="AE431" s="1767"/>
      <c r="AF431" s="1767"/>
      <c r="AG431" s="1767"/>
      <c r="AH431" s="1767"/>
      <c r="AI431" s="1767"/>
      <c r="AJ431" s="1767"/>
      <c r="AK431" s="1767"/>
      <c r="AL431" s="1767"/>
      <c r="AM431" s="1767"/>
      <c r="AN431" s="1767"/>
      <c r="AO431" s="1767"/>
      <c r="AP431" s="1767"/>
      <c r="AQ431" s="1767"/>
      <c r="AR431" s="1767"/>
      <c r="AS431" s="1767"/>
      <c r="AT431" s="1767"/>
      <c r="AU431" s="1767"/>
      <c r="AV431" s="1767"/>
      <c r="AW431" s="1767"/>
      <c r="AX431" s="1767"/>
      <c r="AY431" s="1767"/>
      <c r="AZ431" s="1767"/>
      <c r="BA431" s="1767"/>
      <c r="BB431" s="1767"/>
      <c r="BC431" s="1767"/>
      <c r="BD431" s="1767"/>
      <c r="BE431" s="1767"/>
      <c r="BF431" s="1767"/>
      <c r="BG431" s="1767"/>
      <c r="BH431" s="1767"/>
      <c r="BI431" s="1767"/>
      <c r="BJ431" s="1767"/>
      <c r="BK431" s="1767"/>
      <c r="BL431" s="1767"/>
      <c r="BM431" s="1767"/>
      <c r="BN431" s="1767"/>
      <c r="BO431" s="1767"/>
      <c r="BP431" s="1767"/>
      <c r="BQ431" s="1767"/>
      <c r="BR431" s="1767"/>
      <c r="BS431" s="1767"/>
      <c r="BT431" s="1767"/>
      <c r="BU431" s="1767"/>
      <c r="BV431" s="1768"/>
      <c r="BW431" s="443"/>
    </row>
    <row r="432" spans="1:75" ht="15" customHeight="1" x14ac:dyDescent="0.2">
      <c r="A432" s="1752"/>
      <c r="B432" s="742"/>
      <c r="C432" s="1766"/>
      <c r="D432" s="1767"/>
      <c r="E432" s="1767"/>
      <c r="F432" s="1767"/>
      <c r="G432" s="1767"/>
      <c r="H432" s="1767"/>
      <c r="I432" s="1767"/>
      <c r="J432" s="1767"/>
      <c r="K432" s="1767"/>
      <c r="L432" s="1767"/>
      <c r="M432" s="1767"/>
      <c r="N432" s="1767"/>
      <c r="O432" s="1767"/>
      <c r="P432" s="1767"/>
      <c r="Q432" s="1767"/>
      <c r="R432" s="1767"/>
      <c r="S432" s="1767"/>
      <c r="T432" s="1767"/>
      <c r="U432" s="1767"/>
      <c r="V432" s="1767"/>
      <c r="W432" s="1767"/>
      <c r="X432" s="1767"/>
      <c r="Y432" s="1767"/>
      <c r="Z432" s="1767"/>
      <c r="AA432" s="1767"/>
      <c r="AB432" s="1767"/>
      <c r="AC432" s="1767"/>
      <c r="AD432" s="1767"/>
      <c r="AE432" s="1767"/>
      <c r="AF432" s="1767"/>
      <c r="AG432" s="1767"/>
      <c r="AH432" s="1767"/>
      <c r="AI432" s="1767"/>
      <c r="AJ432" s="1767"/>
      <c r="AK432" s="1767"/>
      <c r="AL432" s="1767"/>
      <c r="AM432" s="1767"/>
      <c r="AN432" s="1767"/>
      <c r="AO432" s="1767"/>
      <c r="AP432" s="1767"/>
      <c r="AQ432" s="1767"/>
      <c r="AR432" s="1767"/>
      <c r="AS432" s="1767"/>
      <c r="AT432" s="1767"/>
      <c r="AU432" s="1767"/>
      <c r="AV432" s="1767"/>
      <c r="AW432" s="1767"/>
      <c r="AX432" s="1767"/>
      <c r="AY432" s="1767"/>
      <c r="AZ432" s="1767"/>
      <c r="BA432" s="1767"/>
      <c r="BB432" s="1767"/>
      <c r="BC432" s="1767"/>
      <c r="BD432" s="1767"/>
      <c r="BE432" s="1767"/>
      <c r="BF432" s="1767"/>
      <c r="BG432" s="1767"/>
      <c r="BH432" s="1767"/>
      <c r="BI432" s="1767"/>
      <c r="BJ432" s="1767"/>
      <c r="BK432" s="1767"/>
      <c r="BL432" s="1767"/>
      <c r="BM432" s="1767"/>
      <c r="BN432" s="1767"/>
      <c r="BO432" s="1767"/>
      <c r="BP432" s="1767"/>
      <c r="BQ432" s="1767"/>
      <c r="BR432" s="1767"/>
      <c r="BS432" s="1767"/>
      <c r="BT432" s="1767"/>
      <c r="BU432" s="1767"/>
      <c r="BV432" s="1768"/>
      <c r="BW432" s="453"/>
    </row>
    <row r="433" spans="1:75" ht="15" customHeight="1" x14ac:dyDescent="0.2">
      <c r="A433" s="1752"/>
      <c r="B433" s="742"/>
      <c r="C433" s="1766"/>
      <c r="D433" s="1767"/>
      <c r="E433" s="1767"/>
      <c r="F433" s="1767"/>
      <c r="G433" s="1767"/>
      <c r="H433" s="1767"/>
      <c r="I433" s="1767"/>
      <c r="J433" s="1767"/>
      <c r="K433" s="1767"/>
      <c r="L433" s="1767"/>
      <c r="M433" s="1767"/>
      <c r="N433" s="1767"/>
      <c r="O433" s="1767"/>
      <c r="P433" s="1767"/>
      <c r="Q433" s="1767"/>
      <c r="R433" s="1767"/>
      <c r="S433" s="1767"/>
      <c r="T433" s="1767"/>
      <c r="U433" s="1767"/>
      <c r="V433" s="1767"/>
      <c r="W433" s="1767"/>
      <c r="X433" s="1767"/>
      <c r="Y433" s="1767"/>
      <c r="Z433" s="1767"/>
      <c r="AA433" s="1767"/>
      <c r="AB433" s="1767"/>
      <c r="AC433" s="1767"/>
      <c r="AD433" s="1767"/>
      <c r="AE433" s="1767"/>
      <c r="AF433" s="1767"/>
      <c r="AG433" s="1767"/>
      <c r="AH433" s="1767"/>
      <c r="AI433" s="1767"/>
      <c r="AJ433" s="1767"/>
      <c r="AK433" s="1767"/>
      <c r="AL433" s="1767"/>
      <c r="AM433" s="1767"/>
      <c r="AN433" s="1767"/>
      <c r="AO433" s="1767"/>
      <c r="AP433" s="1767"/>
      <c r="AQ433" s="1767"/>
      <c r="AR433" s="1767"/>
      <c r="AS433" s="1767"/>
      <c r="AT433" s="1767"/>
      <c r="AU433" s="1767"/>
      <c r="AV433" s="1767"/>
      <c r="AW433" s="1767"/>
      <c r="AX433" s="1767"/>
      <c r="AY433" s="1767"/>
      <c r="AZ433" s="1767"/>
      <c r="BA433" s="1767"/>
      <c r="BB433" s="1767"/>
      <c r="BC433" s="1767"/>
      <c r="BD433" s="1767"/>
      <c r="BE433" s="1767"/>
      <c r="BF433" s="1767"/>
      <c r="BG433" s="1767"/>
      <c r="BH433" s="1767"/>
      <c r="BI433" s="1767"/>
      <c r="BJ433" s="1767"/>
      <c r="BK433" s="1767"/>
      <c r="BL433" s="1767"/>
      <c r="BM433" s="1767"/>
      <c r="BN433" s="1767"/>
      <c r="BO433" s="1767"/>
      <c r="BP433" s="1767"/>
      <c r="BQ433" s="1767"/>
      <c r="BR433" s="1767"/>
      <c r="BS433" s="1767"/>
      <c r="BT433" s="1767"/>
      <c r="BU433" s="1767"/>
      <c r="BV433" s="1768"/>
      <c r="BW433" s="453"/>
    </row>
    <row r="434" spans="1:75" ht="15" customHeight="1" x14ac:dyDescent="0.2">
      <c r="A434" s="1752"/>
      <c r="B434" s="742"/>
      <c r="C434" s="1766"/>
      <c r="D434" s="1767"/>
      <c r="E434" s="1767"/>
      <c r="F434" s="1767"/>
      <c r="G434" s="1767"/>
      <c r="H434" s="1767"/>
      <c r="I434" s="1767"/>
      <c r="J434" s="1767"/>
      <c r="K434" s="1767"/>
      <c r="L434" s="1767"/>
      <c r="M434" s="1767"/>
      <c r="N434" s="1767"/>
      <c r="O434" s="1767"/>
      <c r="P434" s="1767"/>
      <c r="Q434" s="1767"/>
      <c r="R434" s="1767"/>
      <c r="S434" s="1767"/>
      <c r="T434" s="1767"/>
      <c r="U434" s="1767"/>
      <c r="V434" s="1767"/>
      <c r="W434" s="1767"/>
      <c r="X434" s="1767"/>
      <c r="Y434" s="1767"/>
      <c r="Z434" s="1767"/>
      <c r="AA434" s="1767"/>
      <c r="AB434" s="1767"/>
      <c r="AC434" s="1767"/>
      <c r="AD434" s="1767"/>
      <c r="AE434" s="1767"/>
      <c r="AF434" s="1767"/>
      <c r="AG434" s="1767"/>
      <c r="AH434" s="1767"/>
      <c r="AI434" s="1767"/>
      <c r="AJ434" s="1767"/>
      <c r="AK434" s="1767"/>
      <c r="AL434" s="1767"/>
      <c r="AM434" s="1767"/>
      <c r="AN434" s="1767"/>
      <c r="AO434" s="1767"/>
      <c r="AP434" s="1767"/>
      <c r="AQ434" s="1767"/>
      <c r="AR434" s="1767"/>
      <c r="AS434" s="1767"/>
      <c r="AT434" s="1767"/>
      <c r="AU434" s="1767"/>
      <c r="AV434" s="1767"/>
      <c r="AW434" s="1767"/>
      <c r="AX434" s="1767"/>
      <c r="AY434" s="1767"/>
      <c r="AZ434" s="1767"/>
      <c r="BA434" s="1767"/>
      <c r="BB434" s="1767"/>
      <c r="BC434" s="1767"/>
      <c r="BD434" s="1767"/>
      <c r="BE434" s="1767"/>
      <c r="BF434" s="1767"/>
      <c r="BG434" s="1767"/>
      <c r="BH434" s="1767"/>
      <c r="BI434" s="1767"/>
      <c r="BJ434" s="1767"/>
      <c r="BK434" s="1767"/>
      <c r="BL434" s="1767"/>
      <c r="BM434" s="1767"/>
      <c r="BN434" s="1767"/>
      <c r="BO434" s="1767"/>
      <c r="BP434" s="1767"/>
      <c r="BQ434" s="1767"/>
      <c r="BR434" s="1767"/>
      <c r="BS434" s="1767"/>
      <c r="BT434" s="1767"/>
      <c r="BU434" s="1767"/>
      <c r="BV434" s="1768"/>
      <c r="BW434" s="453"/>
    </row>
    <row r="435" spans="1:75" ht="15" customHeight="1" x14ac:dyDescent="0.2">
      <c r="A435" s="1752"/>
      <c r="B435" s="742"/>
      <c r="C435" s="1766"/>
      <c r="D435" s="1767"/>
      <c r="E435" s="1767"/>
      <c r="F435" s="1767"/>
      <c r="G435" s="1767"/>
      <c r="H435" s="1767"/>
      <c r="I435" s="1767"/>
      <c r="J435" s="1767"/>
      <c r="K435" s="1767"/>
      <c r="L435" s="1767"/>
      <c r="M435" s="1767"/>
      <c r="N435" s="1767"/>
      <c r="O435" s="1767"/>
      <c r="P435" s="1767"/>
      <c r="Q435" s="1767"/>
      <c r="R435" s="1767"/>
      <c r="S435" s="1767"/>
      <c r="T435" s="1767"/>
      <c r="U435" s="1767"/>
      <c r="V435" s="1767"/>
      <c r="W435" s="1767"/>
      <c r="X435" s="1767"/>
      <c r="Y435" s="1767"/>
      <c r="Z435" s="1767"/>
      <c r="AA435" s="1767"/>
      <c r="AB435" s="1767"/>
      <c r="AC435" s="1767"/>
      <c r="AD435" s="1767"/>
      <c r="AE435" s="1767"/>
      <c r="AF435" s="1767"/>
      <c r="AG435" s="1767"/>
      <c r="AH435" s="1767"/>
      <c r="AI435" s="1767"/>
      <c r="AJ435" s="1767"/>
      <c r="AK435" s="1767"/>
      <c r="AL435" s="1767"/>
      <c r="AM435" s="1767"/>
      <c r="AN435" s="1767"/>
      <c r="AO435" s="1767"/>
      <c r="AP435" s="1767"/>
      <c r="AQ435" s="1767"/>
      <c r="AR435" s="1767"/>
      <c r="AS435" s="1767"/>
      <c r="AT435" s="1767"/>
      <c r="AU435" s="1767"/>
      <c r="AV435" s="1767"/>
      <c r="AW435" s="1767"/>
      <c r="AX435" s="1767"/>
      <c r="AY435" s="1767"/>
      <c r="AZ435" s="1767"/>
      <c r="BA435" s="1767"/>
      <c r="BB435" s="1767"/>
      <c r="BC435" s="1767"/>
      <c r="BD435" s="1767"/>
      <c r="BE435" s="1767"/>
      <c r="BF435" s="1767"/>
      <c r="BG435" s="1767"/>
      <c r="BH435" s="1767"/>
      <c r="BI435" s="1767"/>
      <c r="BJ435" s="1767"/>
      <c r="BK435" s="1767"/>
      <c r="BL435" s="1767"/>
      <c r="BM435" s="1767"/>
      <c r="BN435" s="1767"/>
      <c r="BO435" s="1767"/>
      <c r="BP435" s="1767"/>
      <c r="BQ435" s="1767"/>
      <c r="BR435" s="1767"/>
      <c r="BS435" s="1767"/>
      <c r="BT435" s="1767"/>
      <c r="BU435" s="1767"/>
      <c r="BV435" s="1768"/>
      <c r="BW435" s="453"/>
    </row>
    <row r="436" spans="1:75" ht="15" customHeight="1" x14ac:dyDescent="0.2">
      <c r="A436" s="1752"/>
      <c r="B436" s="742"/>
      <c r="C436" s="1766"/>
      <c r="D436" s="1767"/>
      <c r="E436" s="1767"/>
      <c r="F436" s="1767"/>
      <c r="G436" s="1767"/>
      <c r="H436" s="1767"/>
      <c r="I436" s="1767"/>
      <c r="J436" s="1767"/>
      <c r="K436" s="1767"/>
      <c r="L436" s="1767"/>
      <c r="M436" s="1767"/>
      <c r="N436" s="1767"/>
      <c r="O436" s="1767"/>
      <c r="P436" s="1767"/>
      <c r="Q436" s="1767"/>
      <c r="R436" s="1767"/>
      <c r="S436" s="1767"/>
      <c r="T436" s="1767"/>
      <c r="U436" s="1767"/>
      <c r="V436" s="1767"/>
      <c r="W436" s="1767"/>
      <c r="X436" s="1767"/>
      <c r="Y436" s="1767"/>
      <c r="Z436" s="1767"/>
      <c r="AA436" s="1767"/>
      <c r="AB436" s="1767"/>
      <c r="AC436" s="1767"/>
      <c r="AD436" s="1767"/>
      <c r="AE436" s="1767"/>
      <c r="AF436" s="1767"/>
      <c r="AG436" s="1767"/>
      <c r="AH436" s="1767"/>
      <c r="AI436" s="1767"/>
      <c r="AJ436" s="1767"/>
      <c r="AK436" s="1767"/>
      <c r="AL436" s="1767"/>
      <c r="AM436" s="1767"/>
      <c r="AN436" s="1767"/>
      <c r="AO436" s="1767"/>
      <c r="AP436" s="1767"/>
      <c r="AQ436" s="1767"/>
      <c r="AR436" s="1767"/>
      <c r="AS436" s="1767"/>
      <c r="AT436" s="1767"/>
      <c r="AU436" s="1767"/>
      <c r="AV436" s="1767"/>
      <c r="AW436" s="1767"/>
      <c r="AX436" s="1767"/>
      <c r="AY436" s="1767"/>
      <c r="AZ436" s="1767"/>
      <c r="BA436" s="1767"/>
      <c r="BB436" s="1767"/>
      <c r="BC436" s="1767"/>
      <c r="BD436" s="1767"/>
      <c r="BE436" s="1767"/>
      <c r="BF436" s="1767"/>
      <c r="BG436" s="1767"/>
      <c r="BH436" s="1767"/>
      <c r="BI436" s="1767"/>
      <c r="BJ436" s="1767"/>
      <c r="BK436" s="1767"/>
      <c r="BL436" s="1767"/>
      <c r="BM436" s="1767"/>
      <c r="BN436" s="1767"/>
      <c r="BO436" s="1767"/>
      <c r="BP436" s="1767"/>
      <c r="BQ436" s="1767"/>
      <c r="BR436" s="1767"/>
      <c r="BS436" s="1767"/>
      <c r="BT436" s="1767"/>
      <c r="BU436" s="1767"/>
      <c r="BV436" s="1768"/>
      <c r="BW436" s="453"/>
    </row>
    <row r="437" spans="1:75" ht="15" customHeight="1" x14ac:dyDescent="0.2">
      <c r="A437" s="1752"/>
      <c r="B437" s="742"/>
      <c r="C437" s="1766"/>
      <c r="D437" s="1767"/>
      <c r="E437" s="1767"/>
      <c r="F437" s="1767"/>
      <c r="G437" s="1767"/>
      <c r="H437" s="1767"/>
      <c r="I437" s="1767"/>
      <c r="J437" s="1767"/>
      <c r="K437" s="1767"/>
      <c r="L437" s="1767"/>
      <c r="M437" s="1767"/>
      <c r="N437" s="1767"/>
      <c r="O437" s="1767"/>
      <c r="P437" s="1767"/>
      <c r="Q437" s="1767"/>
      <c r="R437" s="1767"/>
      <c r="S437" s="1767"/>
      <c r="T437" s="1767"/>
      <c r="U437" s="1767"/>
      <c r="V437" s="1767"/>
      <c r="W437" s="1767"/>
      <c r="X437" s="1767"/>
      <c r="Y437" s="1767"/>
      <c r="Z437" s="1767"/>
      <c r="AA437" s="1767"/>
      <c r="AB437" s="1767"/>
      <c r="AC437" s="1767"/>
      <c r="AD437" s="1767"/>
      <c r="AE437" s="1767"/>
      <c r="AF437" s="1767"/>
      <c r="AG437" s="1767"/>
      <c r="AH437" s="1767"/>
      <c r="AI437" s="1767"/>
      <c r="AJ437" s="1767"/>
      <c r="AK437" s="1767"/>
      <c r="AL437" s="1767"/>
      <c r="AM437" s="1767"/>
      <c r="AN437" s="1767"/>
      <c r="AO437" s="1767"/>
      <c r="AP437" s="1767"/>
      <c r="AQ437" s="1767"/>
      <c r="AR437" s="1767"/>
      <c r="AS437" s="1767"/>
      <c r="AT437" s="1767"/>
      <c r="AU437" s="1767"/>
      <c r="AV437" s="1767"/>
      <c r="AW437" s="1767"/>
      <c r="AX437" s="1767"/>
      <c r="AY437" s="1767"/>
      <c r="AZ437" s="1767"/>
      <c r="BA437" s="1767"/>
      <c r="BB437" s="1767"/>
      <c r="BC437" s="1767"/>
      <c r="BD437" s="1767"/>
      <c r="BE437" s="1767"/>
      <c r="BF437" s="1767"/>
      <c r="BG437" s="1767"/>
      <c r="BH437" s="1767"/>
      <c r="BI437" s="1767"/>
      <c r="BJ437" s="1767"/>
      <c r="BK437" s="1767"/>
      <c r="BL437" s="1767"/>
      <c r="BM437" s="1767"/>
      <c r="BN437" s="1767"/>
      <c r="BO437" s="1767"/>
      <c r="BP437" s="1767"/>
      <c r="BQ437" s="1767"/>
      <c r="BR437" s="1767"/>
      <c r="BS437" s="1767"/>
      <c r="BT437" s="1767"/>
      <c r="BU437" s="1767"/>
      <c r="BV437" s="1768"/>
      <c r="BW437" s="453"/>
    </row>
    <row r="438" spans="1:75" ht="15" customHeight="1" x14ac:dyDescent="0.2">
      <c r="A438" s="1752"/>
      <c r="B438" s="742"/>
      <c r="C438" s="1766"/>
      <c r="D438" s="1767"/>
      <c r="E438" s="1767"/>
      <c r="F438" s="1767"/>
      <c r="G438" s="1767"/>
      <c r="H438" s="1767"/>
      <c r="I438" s="1767"/>
      <c r="J438" s="1767"/>
      <c r="K438" s="1767"/>
      <c r="L438" s="1767"/>
      <c r="M438" s="1767"/>
      <c r="N438" s="1767"/>
      <c r="O438" s="1767"/>
      <c r="P438" s="1767"/>
      <c r="Q438" s="1767"/>
      <c r="R438" s="1767"/>
      <c r="S438" s="1767"/>
      <c r="T438" s="1767"/>
      <c r="U438" s="1767"/>
      <c r="V438" s="1767"/>
      <c r="W438" s="1767"/>
      <c r="X438" s="1767"/>
      <c r="Y438" s="1767"/>
      <c r="Z438" s="1767"/>
      <c r="AA438" s="1767"/>
      <c r="AB438" s="1767"/>
      <c r="AC438" s="1767"/>
      <c r="AD438" s="1767"/>
      <c r="AE438" s="1767"/>
      <c r="AF438" s="1767"/>
      <c r="AG438" s="1767"/>
      <c r="AH438" s="1767"/>
      <c r="AI438" s="1767"/>
      <c r="AJ438" s="1767"/>
      <c r="AK438" s="1767"/>
      <c r="AL438" s="1767"/>
      <c r="AM438" s="1767"/>
      <c r="AN438" s="1767"/>
      <c r="AO438" s="1767"/>
      <c r="AP438" s="1767"/>
      <c r="AQ438" s="1767"/>
      <c r="AR438" s="1767"/>
      <c r="AS438" s="1767"/>
      <c r="AT438" s="1767"/>
      <c r="AU438" s="1767"/>
      <c r="AV438" s="1767"/>
      <c r="AW438" s="1767"/>
      <c r="AX438" s="1767"/>
      <c r="AY438" s="1767"/>
      <c r="AZ438" s="1767"/>
      <c r="BA438" s="1767"/>
      <c r="BB438" s="1767"/>
      <c r="BC438" s="1767"/>
      <c r="BD438" s="1767"/>
      <c r="BE438" s="1767"/>
      <c r="BF438" s="1767"/>
      <c r="BG438" s="1767"/>
      <c r="BH438" s="1767"/>
      <c r="BI438" s="1767"/>
      <c r="BJ438" s="1767"/>
      <c r="BK438" s="1767"/>
      <c r="BL438" s="1767"/>
      <c r="BM438" s="1767"/>
      <c r="BN438" s="1767"/>
      <c r="BO438" s="1767"/>
      <c r="BP438" s="1767"/>
      <c r="BQ438" s="1767"/>
      <c r="BR438" s="1767"/>
      <c r="BS438" s="1767"/>
      <c r="BT438" s="1767"/>
      <c r="BU438" s="1767"/>
      <c r="BV438" s="1768"/>
      <c r="BW438" s="453"/>
    </row>
    <row r="439" spans="1:75" ht="15" customHeight="1" x14ac:dyDescent="0.2">
      <c r="A439" s="1752"/>
      <c r="B439" s="742"/>
      <c r="C439" s="1766"/>
      <c r="D439" s="1767"/>
      <c r="E439" s="1767"/>
      <c r="F439" s="1767"/>
      <c r="G439" s="1767"/>
      <c r="H439" s="1767"/>
      <c r="I439" s="1767"/>
      <c r="J439" s="1767"/>
      <c r="K439" s="1767"/>
      <c r="L439" s="1767"/>
      <c r="M439" s="1767"/>
      <c r="N439" s="1767"/>
      <c r="O439" s="1767"/>
      <c r="P439" s="1767"/>
      <c r="Q439" s="1767"/>
      <c r="R439" s="1767"/>
      <c r="S439" s="1767"/>
      <c r="T439" s="1767"/>
      <c r="U439" s="1767"/>
      <c r="V439" s="1767"/>
      <c r="W439" s="1767"/>
      <c r="X439" s="1767"/>
      <c r="Y439" s="1767"/>
      <c r="Z439" s="1767"/>
      <c r="AA439" s="1767"/>
      <c r="AB439" s="1767"/>
      <c r="AC439" s="1767"/>
      <c r="AD439" s="1767"/>
      <c r="AE439" s="1767"/>
      <c r="AF439" s="1767"/>
      <c r="AG439" s="1767"/>
      <c r="AH439" s="1767"/>
      <c r="AI439" s="1767"/>
      <c r="AJ439" s="1767"/>
      <c r="AK439" s="1767"/>
      <c r="AL439" s="1767"/>
      <c r="AM439" s="1767"/>
      <c r="AN439" s="1767"/>
      <c r="AO439" s="1767"/>
      <c r="AP439" s="1767"/>
      <c r="AQ439" s="1767"/>
      <c r="AR439" s="1767"/>
      <c r="AS439" s="1767"/>
      <c r="AT439" s="1767"/>
      <c r="AU439" s="1767"/>
      <c r="AV439" s="1767"/>
      <c r="AW439" s="1767"/>
      <c r="AX439" s="1767"/>
      <c r="AY439" s="1767"/>
      <c r="AZ439" s="1767"/>
      <c r="BA439" s="1767"/>
      <c r="BB439" s="1767"/>
      <c r="BC439" s="1767"/>
      <c r="BD439" s="1767"/>
      <c r="BE439" s="1767"/>
      <c r="BF439" s="1767"/>
      <c r="BG439" s="1767"/>
      <c r="BH439" s="1767"/>
      <c r="BI439" s="1767"/>
      <c r="BJ439" s="1767"/>
      <c r="BK439" s="1767"/>
      <c r="BL439" s="1767"/>
      <c r="BM439" s="1767"/>
      <c r="BN439" s="1767"/>
      <c r="BO439" s="1767"/>
      <c r="BP439" s="1767"/>
      <c r="BQ439" s="1767"/>
      <c r="BR439" s="1767"/>
      <c r="BS439" s="1767"/>
      <c r="BT439" s="1767"/>
      <c r="BU439" s="1767"/>
      <c r="BV439" s="1768"/>
      <c r="BW439" s="453"/>
    </row>
    <row r="440" spans="1:75" ht="15" customHeight="1" x14ac:dyDescent="0.2">
      <c r="A440" s="1752"/>
      <c r="B440" s="742"/>
      <c r="C440" s="1766"/>
      <c r="D440" s="1767"/>
      <c r="E440" s="1767"/>
      <c r="F440" s="1767"/>
      <c r="G440" s="1767"/>
      <c r="H440" s="1767"/>
      <c r="I440" s="1767"/>
      <c r="J440" s="1767"/>
      <c r="K440" s="1767"/>
      <c r="L440" s="1767"/>
      <c r="M440" s="1767"/>
      <c r="N440" s="1767"/>
      <c r="O440" s="1767"/>
      <c r="P440" s="1767"/>
      <c r="Q440" s="1767"/>
      <c r="R440" s="1767"/>
      <c r="S440" s="1767"/>
      <c r="T440" s="1767"/>
      <c r="U440" s="1767"/>
      <c r="V440" s="1767"/>
      <c r="W440" s="1767"/>
      <c r="X440" s="1767"/>
      <c r="Y440" s="1767"/>
      <c r="Z440" s="1767"/>
      <c r="AA440" s="1767"/>
      <c r="AB440" s="1767"/>
      <c r="AC440" s="1767"/>
      <c r="AD440" s="1767"/>
      <c r="AE440" s="1767"/>
      <c r="AF440" s="1767"/>
      <c r="AG440" s="1767"/>
      <c r="AH440" s="1767"/>
      <c r="AI440" s="1767"/>
      <c r="AJ440" s="1767"/>
      <c r="AK440" s="1767"/>
      <c r="AL440" s="1767"/>
      <c r="AM440" s="1767"/>
      <c r="AN440" s="1767"/>
      <c r="AO440" s="1767"/>
      <c r="AP440" s="1767"/>
      <c r="AQ440" s="1767"/>
      <c r="AR440" s="1767"/>
      <c r="AS440" s="1767"/>
      <c r="AT440" s="1767"/>
      <c r="AU440" s="1767"/>
      <c r="AV440" s="1767"/>
      <c r="AW440" s="1767"/>
      <c r="AX440" s="1767"/>
      <c r="AY440" s="1767"/>
      <c r="AZ440" s="1767"/>
      <c r="BA440" s="1767"/>
      <c r="BB440" s="1767"/>
      <c r="BC440" s="1767"/>
      <c r="BD440" s="1767"/>
      <c r="BE440" s="1767"/>
      <c r="BF440" s="1767"/>
      <c r="BG440" s="1767"/>
      <c r="BH440" s="1767"/>
      <c r="BI440" s="1767"/>
      <c r="BJ440" s="1767"/>
      <c r="BK440" s="1767"/>
      <c r="BL440" s="1767"/>
      <c r="BM440" s="1767"/>
      <c r="BN440" s="1767"/>
      <c r="BO440" s="1767"/>
      <c r="BP440" s="1767"/>
      <c r="BQ440" s="1767"/>
      <c r="BR440" s="1767"/>
      <c r="BS440" s="1767"/>
      <c r="BT440" s="1767"/>
      <c r="BU440" s="1767"/>
      <c r="BV440" s="1768"/>
      <c r="BW440" s="453"/>
    </row>
    <row r="441" spans="1:75" ht="15" customHeight="1" x14ac:dyDescent="0.2">
      <c r="A441" s="1752"/>
      <c r="B441" s="742"/>
      <c r="C441" s="1766"/>
      <c r="D441" s="1767"/>
      <c r="E441" s="1767"/>
      <c r="F441" s="1767"/>
      <c r="G441" s="1767"/>
      <c r="H441" s="1767"/>
      <c r="I441" s="1767"/>
      <c r="J441" s="1767"/>
      <c r="K441" s="1767"/>
      <c r="L441" s="1767"/>
      <c r="M441" s="1767"/>
      <c r="N441" s="1767"/>
      <c r="O441" s="1767"/>
      <c r="P441" s="1767"/>
      <c r="Q441" s="1767"/>
      <c r="R441" s="1767"/>
      <c r="S441" s="1767"/>
      <c r="T441" s="1767"/>
      <c r="U441" s="1767"/>
      <c r="V441" s="1767"/>
      <c r="W441" s="1767"/>
      <c r="X441" s="1767"/>
      <c r="Y441" s="1767"/>
      <c r="Z441" s="1767"/>
      <c r="AA441" s="1767"/>
      <c r="AB441" s="1767"/>
      <c r="AC441" s="1767"/>
      <c r="AD441" s="1767"/>
      <c r="AE441" s="1767"/>
      <c r="AF441" s="1767"/>
      <c r="AG441" s="1767"/>
      <c r="AH441" s="1767"/>
      <c r="AI441" s="1767"/>
      <c r="AJ441" s="1767"/>
      <c r="AK441" s="1767"/>
      <c r="AL441" s="1767"/>
      <c r="AM441" s="1767"/>
      <c r="AN441" s="1767"/>
      <c r="AO441" s="1767"/>
      <c r="AP441" s="1767"/>
      <c r="AQ441" s="1767"/>
      <c r="AR441" s="1767"/>
      <c r="AS441" s="1767"/>
      <c r="AT441" s="1767"/>
      <c r="AU441" s="1767"/>
      <c r="AV441" s="1767"/>
      <c r="AW441" s="1767"/>
      <c r="AX441" s="1767"/>
      <c r="AY441" s="1767"/>
      <c r="AZ441" s="1767"/>
      <c r="BA441" s="1767"/>
      <c r="BB441" s="1767"/>
      <c r="BC441" s="1767"/>
      <c r="BD441" s="1767"/>
      <c r="BE441" s="1767"/>
      <c r="BF441" s="1767"/>
      <c r="BG441" s="1767"/>
      <c r="BH441" s="1767"/>
      <c r="BI441" s="1767"/>
      <c r="BJ441" s="1767"/>
      <c r="BK441" s="1767"/>
      <c r="BL441" s="1767"/>
      <c r="BM441" s="1767"/>
      <c r="BN441" s="1767"/>
      <c r="BO441" s="1767"/>
      <c r="BP441" s="1767"/>
      <c r="BQ441" s="1767"/>
      <c r="BR441" s="1767"/>
      <c r="BS441" s="1767"/>
      <c r="BT441" s="1767"/>
      <c r="BU441" s="1767"/>
      <c r="BV441" s="1768"/>
      <c r="BW441" s="453"/>
    </row>
    <row r="442" spans="1:75" ht="15" customHeight="1" x14ac:dyDescent="0.2">
      <c r="A442" s="1752"/>
      <c r="B442" s="742"/>
      <c r="C442" s="1766"/>
      <c r="D442" s="1767"/>
      <c r="E442" s="1767"/>
      <c r="F442" s="1767"/>
      <c r="G442" s="1767"/>
      <c r="H442" s="1767"/>
      <c r="I442" s="1767"/>
      <c r="J442" s="1767"/>
      <c r="K442" s="1767"/>
      <c r="L442" s="1767"/>
      <c r="M442" s="1767"/>
      <c r="N442" s="1767"/>
      <c r="O442" s="1767"/>
      <c r="P442" s="1767"/>
      <c r="Q442" s="1767"/>
      <c r="R442" s="1767"/>
      <c r="S442" s="1767"/>
      <c r="T442" s="1767"/>
      <c r="U442" s="1767"/>
      <c r="V442" s="1767"/>
      <c r="W442" s="1767"/>
      <c r="X442" s="1767"/>
      <c r="Y442" s="1767"/>
      <c r="Z442" s="1767"/>
      <c r="AA442" s="1767"/>
      <c r="AB442" s="1767"/>
      <c r="AC442" s="1767"/>
      <c r="AD442" s="1767"/>
      <c r="AE442" s="1767"/>
      <c r="AF442" s="1767"/>
      <c r="AG442" s="1767"/>
      <c r="AH442" s="1767"/>
      <c r="AI442" s="1767"/>
      <c r="AJ442" s="1767"/>
      <c r="AK442" s="1767"/>
      <c r="AL442" s="1767"/>
      <c r="AM442" s="1767"/>
      <c r="AN442" s="1767"/>
      <c r="AO442" s="1767"/>
      <c r="AP442" s="1767"/>
      <c r="AQ442" s="1767"/>
      <c r="AR442" s="1767"/>
      <c r="AS442" s="1767"/>
      <c r="AT442" s="1767"/>
      <c r="AU442" s="1767"/>
      <c r="AV442" s="1767"/>
      <c r="AW442" s="1767"/>
      <c r="AX442" s="1767"/>
      <c r="AY442" s="1767"/>
      <c r="AZ442" s="1767"/>
      <c r="BA442" s="1767"/>
      <c r="BB442" s="1767"/>
      <c r="BC442" s="1767"/>
      <c r="BD442" s="1767"/>
      <c r="BE442" s="1767"/>
      <c r="BF442" s="1767"/>
      <c r="BG442" s="1767"/>
      <c r="BH442" s="1767"/>
      <c r="BI442" s="1767"/>
      <c r="BJ442" s="1767"/>
      <c r="BK442" s="1767"/>
      <c r="BL442" s="1767"/>
      <c r="BM442" s="1767"/>
      <c r="BN442" s="1767"/>
      <c r="BO442" s="1767"/>
      <c r="BP442" s="1767"/>
      <c r="BQ442" s="1767"/>
      <c r="BR442" s="1767"/>
      <c r="BS442" s="1767"/>
      <c r="BT442" s="1767"/>
      <c r="BU442" s="1767"/>
      <c r="BV442" s="1768"/>
      <c r="BW442" s="453"/>
    </row>
    <row r="443" spans="1:75" ht="15" customHeight="1" x14ac:dyDescent="0.2">
      <c r="A443" s="1752"/>
      <c r="B443" s="742"/>
      <c r="C443" s="1766"/>
      <c r="D443" s="1767"/>
      <c r="E443" s="1767"/>
      <c r="F443" s="1767"/>
      <c r="G443" s="1767"/>
      <c r="H443" s="1767"/>
      <c r="I443" s="1767"/>
      <c r="J443" s="1767"/>
      <c r="K443" s="1767"/>
      <c r="L443" s="1767"/>
      <c r="M443" s="1767"/>
      <c r="N443" s="1767"/>
      <c r="O443" s="1767"/>
      <c r="P443" s="1767"/>
      <c r="Q443" s="1767"/>
      <c r="R443" s="1767"/>
      <c r="S443" s="1767"/>
      <c r="T443" s="1767"/>
      <c r="U443" s="1767"/>
      <c r="V443" s="1767"/>
      <c r="W443" s="1767"/>
      <c r="X443" s="1767"/>
      <c r="Y443" s="1767"/>
      <c r="Z443" s="1767"/>
      <c r="AA443" s="1767"/>
      <c r="AB443" s="1767"/>
      <c r="AC443" s="1767"/>
      <c r="AD443" s="1767"/>
      <c r="AE443" s="1767"/>
      <c r="AF443" s="1767"/>
      <c r="AG443" s="1767"/>
      <c r="AH443" s="1767"/>
      <c r="AI443" s="1767"/>
      <c r="AJ443" s="1767"/>
      <c r="AK443" s="1767"/>
      <c r="AL443" s="1767"/>
      <c r="AM443" s="1767"/>
      <c r="AN443" s="1767"/>
      <c r="AO443" s="1767"/>
      <c r="AP443" s="1767"/>
      <c r="AQ443" s="1767"/>
      <c r="AR443" s="1767"/>
      <c r="AS443" s="1767"/>
      <c r="AT443" s="1767"/>
      <c r="AU443" s="1767"/>
      <c r="AV443" s="1767"/>
      <c r="AW443" s="1767"/>
      <c r="AX443" s="1767"/>
      <c r="AY443" s="1767"/>
      <c r="AZ443" s="1767"/>
      <c r="BA443" s="1767"/>
      <c r="BB443" s="1767"/>
      <c r="BC443" s="1767"/>
      <c r="BD443" s="1767"/>
      <c r="BE443" s="1767"/>
      <c r="BF443" s="1767"/>
      <c r="BG443" s="1767"/>
      <c r="BH443" s="1767"/>
      <c r="BI443" s="1767"/>
      <c r="BJ443" s="1767"/>
      <c r="BK443" s="1767"/>
      <c r="BL443" s="1767"/>
      <c r="BM443" s="1767"/>
      <c r="BN443" s="1767"/>
      <c r="BO443" s="1767"/>
      <c r="BP443" s="1767"/>
      <c r="BQ443" s="1767"/>
      <c r="BR443" s="1767"/>
      <c r="BS443" s="1767"/>
      <c r="BT443" s="1767"/>
      <c r="BU443" s="1767"/>
      <c r="BV443" s="1768"/>
      <c r="BW443" s="453"/>
    </row>
    <row r="444" spans="1:75" ht="15" customHeight="1" x14ac:dyDescent="0.2">
      <c r="A444" s="1752"/>
      <c r="B444" s="742"/>
      <c r="C444" s="1766"/>
      <c r="D444" s="1767"/>
      <c r="E444" s="1767"/>
      <c r="F444" s="1767"/>
      <c r="G444" s="1767"/>
      <c r="H444" s="1767"/>
      <c r="I444" s="1767"/>
      <c r="J444" s="1767"/>
      <c r="K444" s="1767"/>
      <c r="L444" s="1767"/>
      <c r="M444" s="1767"/>
      <c r="N444" s="1767"/>
      <c r="O444" s="1767"/>
      <c r="P444" s="1767"/>
      <c r="Q444" s="1767"/>
      <c r="R444" s="1767"/>
      <c r="S444" s="1767"/>
      <c r="T444" s="1767"/>
      <c r="U444" s="1767"/>
      <c r="V444" s="1767"/>
      <c r="W444" s="1767"/>
      <c r="X444" s="1767"/>
      <c r="Y444" s="1767"/>
      <c r="Z444" s="1767"/>
      <c r="AA444" s="1767"/>
      <c r="AB444" s="1767"/>
      <c r="AC444" s="1767"/>
      <c r="AD444" s="1767"/>
      <c r="AE444" s="1767"/>
      <c r="AF444" s="1767"/>
      <c r="AG444" s="1767"/>
      <c r="AH444" s="1767"/>
      <c r="AI444" s="1767"/>
      <c r="AJ444" s="1767"/>
      <c r="AK444" s="1767"/>
      <c r="AL444" s="1767"/>
      <c r="AM444" s="1767"/>
      <c r="AN444" s="1767"/>
      <c r="AO444" s="1767"/>
      <c r="AP444" s="1767"/>
      <c r="AQ444" s="1767"/>
      <c r="AR444" s="1767"/>
      <c r="AS444" s="1767"/>
      <c r="AT444" s="1767"/>
      <c r="AU444" s="1767"/>
      <c r="AV444" s="1767"/>
      <c r="AW444" s="1767"/>
      <c r="AX444" s="1767"/>
      <c r="AY444" s="1767"/>
      <c r="AZ444" s="1767"/>
      <c r="BA444" s="1767"/>
      <c r="BB444" s="1767"/>
      <c r="BC444" s="1767"/>
      <c r="BD444" s="1767"/>
      <c r="BE444" s="1767"/>
      <c r="BF444" s="1767"/>
      <c r="BG444" s="1767"/>
      <c r="BH444" s="1767"/>
      <c r="BI444" s="1767"/>
      <c r="BJ444" s="1767"/>
      <c r="BK444" s="1767"/>
      <c r="BL444" s="1767"/>
      <c r="BM444" s="1767"/>
      <c r="BN444" s="1767"/>
      <c r="BO444" s="1767"/>
      <c r="BP444" s="1767"/>
      <c r="BQ444" s="1767"/>
      <c r="BR444" s="1767"/>
      <c r="BS444" s="1767"/>
      <c r="BT444" s="1767"/>
      <c r="BU444" s="1767"/>
      <c r="BV444" s="1768"/>
      <c r="BW444" s="453"/>
    </row>
    <row r="445" spans="1:75" ht="15" customHeight="1" x14ac:dyDescent="0.2">
      <c r="A445" s="1752"/>
      <c r="B445" s="742"/>
      <c r="C445" s="1766"/>
      <c r="D445" s="1767"/>
      <c r="E445" s="1767"/>
      <c r="F445" s="1767"/>
      <c r="G445" s="1767"/>
      <c r="H445" s="1767"/>
      <c r="I445" s="1767"/>
      <c r="J445" s="1767"/>
      <c r="K445" s="1767"/>
      <c r="L445" s="1767"/>
      <c r="M445" s="1767"/>
      <c r="N445" s="1767"/>
      <c r="O445" s="1767"/>
      <c r="P445" s="1767"/>
      <c r="Q445" s="1767"/>
      <c r="R445" s="1767"/>
      <c r="S445" s="1767"/>
      <c r="T445" s="1767"/>
      <c r="U445" s="1767"/>
      <c r="V445" s="1767"/>
      <c r="W445" s="1767"/>
      <c r="X445" s="1767"/>
      <c r="Y445" s="1767"/>
      <c r="Z445" s="1767"/>
      <c r="AA445" s="1767"/>
      <c r="AB445" s="1767"/>
      <c r="AC445" s="1767"/>
      <c r="AD445" s="1767"/>
      <c r="AE445" s="1767"/>
      <c r="AF445" s="1767"/>
      <c r="AG445" s="1767"/>
      <c r="AH445" s="1767"/>
      <c r="AI445" s="1767"/>
      <c r="AJ445" s="1767"/>
      <c r="AK445" s="1767"/>
      <c r="AL445" s="1767"/>
      <c r="AM445" s="1767"/>
      <c r="AN445" s="1767"/>
      <c r="AO445" s="1767"/>
      <c r="AP445" s="1767"/>
      <c r="AQ445" s="1767"/>
      <c r="AR445" s="1767"/>
      <c r="AS445" s="1767"/>
      <c r="AT445" s="1767"/>
      <c r="AU445" s="1767"/>
      <c r="AV445" s="1767"/>
      <c r="AW445" s="1767"/>
      <c r="AX445" s="1767"/>
      <c r="AY445" s="1767"/>
      <c r="AZ445" s="1767"/>
      <c r="BA445" s="1767"/>
      <c r="BB445" s="1767"/>
      <c r="BC445" s="1767"/>
      <c r="BD445" s="1767"/>
      <c r="BE445" s="1767"/>
      <c r="BF445" s="1767"/>
      <c r="BG445" s="1767"/>
      <c r="BH445" s="1767"/>
      <c r="BI445" s="1767"/>
      <c r="BJ445" s="1767"/>
      <c r="BK445" s="1767"/>
      <c r="BL445" s="1767"/>
      <c r="BM445" s="1767"/>
      <c r="BN445" s="1767"/>
      <c r="BO445" s="1767"/>
      <c r="BP445" s="1767"/>
      <c r="BQ445" s="1767"/>
      <c r="BR445" s="1767"/>
      <c r="BS445" s="1767"/>
      <c r="BT445" s="1767"/>
      <c r="BU445" s="1767"/>
      <c r="BV445" s="1768"/>
      <c r="BW445" s="453"/>
    </row>
    <row r="446" spans="1:75" ht="15" customHeight="1" x14ac:dyDescent="0.2">
      <c r="A446" s="1752"/>
      <c r="B446" s="742"/>
      <c r="C446" s="1766"/>
      <c r="D446" s="1767"/>
      <c r="E446" s="1767"/>
      <c r="F446" s="1767"/>
      <c r="G446" s="1767"/>
      <c r="H446" s="1767"/>
      <c r="I446" s="1767"/>
      <c r="J446" s="1767"/>
      <c r="K446" s="1767"/>
      <c r="L446" s="1767"/>
      <c r="M446" s="1767"/>
      <c r="N446" s="1767"/>
      <c r="O446" s="1767"/>
      <c r="P446" s="1767"/>
      <c r="Q446" s="1767"/>
      <c r="R446" s="1767"/>
      <c r="S446" s="1767"/>
      <c r="T446" s="1767"/>
      <c r="U446" s="1767"/>
      <c r="V446" s="1767"/>
      <c r="W446" s="1767"/>
      <c r="X446" s="1767"/>
      <c r="Y446" s="1767"/>
      <c r="Z446" s="1767"/>
      <c r="AA446" s="1767"/>
      <c r="AB446" s="1767"/>
      <c r="AC446" s="1767"/>
      <c r="AD446" s="1767"/>
      <c r="AE446" s="1767"/>
      <c r="AF446" s="1767"/>
      <c r="AG446" s="1767"/>
      <c r="AH446" s="1767"/>
      <c r="AI446" s="1767"/>
      <c r="AJ446" s="1767"/>
      <c r="AK446" s="1767"/>
      <c r="AL446" s="1767"/>
      <c r="AM446" s="1767"/>
      <c r="AN446" s="1767"/>
      <c r="AO446" s="1767"/>
      <c r="AP446" s="1767"/>
      <c r="AQ446" s="1767"/>
      <c r="AR446" s="1767"/>
      <c r="AS446" s="1767"/>
      <c r="AT446" s="1767"/>
      <c r="AU446" s="1767"/>
      <c r="AV446" s="1767"/>
      <c r="AW446" s="1767"/>
      <c r="AX446" s="1767"/>
      <c r="AY446" s="1767"/>
      <c r="AZ446" s="1767"/>
      <c r="BA446" s="1767"/>
      <c r="BB446" s="1767"/>
      <c r="BC446" s="1767"/>
      <c r="BD446" s="1767"/>
      <c r="BE446" s="1767"/>
      <c r="BF446" s="1767"/>
      <c r="BG446" s="1767"/>
      <c r="BH446" s="1767"/>
      <c r="BI446" s="1767"/>
      <c r="BJ446" s="1767"/>
      <c r="BK446" s="1767"/>
      <c r="BL446" s="1767"/>
      <c r="BM446" s="1767"/>
      <c r="BN446" s="1767"/>
      <c r="BO446" s="1767"/>
      <c r="BP446" s="1767"/>
      <c r="BQ446" s="1767"/>
      <c r="BR446" s="1767"/>
      <c r="BS446" s="1767"/>
      <c r="BT446" s="1767"/>
      <c r="BU446" s="1767"/>
      <c r="BV446" s="1768"/>
      <c r="BW446" s="453"/>
    </row>
    <row r="447" spans="1:75" ht="15" customHeight="1" x14ac:dyDescent="0.2">
      <c r="A447" s="1752"/>
      <c r="B447" s="742"/>
      <c r="C447" s="1766"/>
      <c r="D447" s="1767"/>
      <c r="E447" s="1767"/>
      <c r="F447" s="1767"/>
      <c r="G447" s="1767"/>
      <c r="H447" s="1767"/>
      <c r="I447" s="1767"/>
      <c r="J447" s="1767"/>
      <c r="K447" s="1767"/>
      <c r="L447" s="1767"/>
      <c r="M447" s="1767"/>
      <c r="N447" s="1767"/>
      <c r="O447" s="1767"/>
      <c r="P447" s="1767"/>
      <c r="Q447" s="1767"/>
      <c r="R447" s="1767"/>
      <c r="S447" s="1767"/>
      <c r="T447" s="1767"/>
      <c r="U447" s="1767"/>
      <c r="V447" s="1767"/>
      <c r="W447" s="1767"/>
      <c r="X447" s="1767"/>
      <c r="Y447" s="1767"/>
      <c r="Z447" s="1767"/>
      <c r="AA447" s="1767"/>
      <c r="AB447" s="1767"/>
      <c r="AC447" s="1767"/>
      <c r="AD447" s="1767"/>
      <c r="AE447" s="1767"/>
      <c r="AF447" s="1767"/>
      <c r="AG447" s="1767"/>
      <c r="AH447" s="1767"/>
      <c r="AI447" s="1767"/>
      <c r="AJ447" s="1767"/>
      <c r="AK447" s="1767"/>
      <c r="AL447" s="1767"/>
      <c r="AM447" s="1767"/>
      <c r="AN447" s="1767"/>
      <c r="AO447" s="1767"/>
      <c r="AP447" s="1767"/>
      <c r="AQ447" s="1767"/>
      <c r="AR447" s="1767"/>
      <c r="AS447" s="1767"/>
      <c r="AT447" s="1767"/>
      <c r="AU447" s="1767"/>
      <c r="AV447" s="1767"/>
      <c r="AW447" s="1767"/>
      <c r="AX447" s="1767"/>
      <c r="AY447" s="1767"/>
      <c r="AZ447" s="1767"/>
      <c r="BA447" s="1767"/>
      <c r="BB447" s="1767"/>
      <c r="BC447" s="1767"/>
      <c r="BD447" s="1767"/>
      <c r="BE447" s="1767"/>
      <c r="BF447" s="1767"/>
      <c r="BG447" s="1767"/>
      <c r="BH447" s="1767"/>
      <c r="BI447" s="1767"/>
      <c r="BJ447" s="1767"/>
      <c r="BK447" s="1767"/>
      <c r="BL447" s="1767"/>
      <c r="BM447" s="1767"/>
      <c r="BN447" s="1767"/>
      <c r="BO447" s="1767"/>
      <c r="BP447" s="1767"/>
      <c r="BQ447" s="1767"/>
      <c r="BR447" s="1767"/>
      <c r="BS447" s="1767"/>
      <c r="BT447" s="1767"/>
      <c r="BU447" s="1767"/>
      <c r="BV447" s="1768"/>
      <c r="BW447" s="453"/>
    </row>
    <row r="448" spans="1:75" ht="15" customHeight="1" x14ac:dyDescent="0.2">
      <c r="A448" s="1752"/>
      <c r="B448" s="742"/>
      <c r="C448" s="1766"/>
      <c r="D448" s="1767"/>
      <c r="E448" s="1767"/>
      <c r="F448" s="1767"/>
      <c r="G448" s="1767"/>
      <c r="H448" s="1767"/>
      <c r="I448" s="1767"/>
      <c r="J448" s="1767"/>
      <c r="K448" s="1767"/>
      <c r="L448" s="1767"/>
      <c r="M448" s="1767"/>
      <c r="N448" s="1767"/>
      <c r="O448" s="1767"/>
      <c r="P448" s="1767"/>
      <c r="Q448" s="1767"/>
      <c r="R448" s="1767"/>
      <c r="S448" s="1767"/>
      <c r="T448" s="1767"/>
      <c r="U448" s="1767"/>
      <c r="V448" s="1767"/>
      <c r="W448" s="1767"/>
      <c r="X448" s="1767"/>
      <c r="Y448" s="1767"/>
      <c r="Z448" s="1767"/>
      <c r="AA448" s="1767"/>
      <c r="AB448" s="1767"/>
      <c r="AC448" s="1767"/>
      <c r="AD448" s="1767"/>
      <c r="AE448" s="1767"/>
      <c r="AF448" s="1767"/>
      <c r="AG448" s="1767"/>
      <c r="AH448" s="1767"/>
      <c r="AI448" s="1767"/>
      <c r="AJ448" s="1767"/>
      <c r="AK448" s="1767"/>
      <c r="AL448" s="1767"/>
      <c r="AM448" s="1767"/>
      <c r="AN448" s="1767"/>
      <c r="AO448" s="1767"/>
      <c r="AP448" s="1767"/>
      <c r="AQ448" s="1767"/>
      <c r="AR448" s="1767"/>
      <c r="AS448" s="1767"/>
      <c r="AT448" s="1767"/>
      <c r="AU448" s="1767"/>
      <c r="AV448" s="1767"/>
      <c r="AW448" s="1767"/>
      <c r="AX448" s="1767"/>
      <c r="AY448" s="1767"/>
      <c r="AZ448" s="1767"/>
      <c r="BA448" s="1767"/>
      <c r="BB448" s="1767"/>
      <c r="BC448" s="1767"/>
      <c r="BD448" s="1767"/>
      <c r="BE448" s="1767"/>
      <c r="BF448" s="1767"/>
      <c r="BG448" s="1767"/>
      <c r="BH448" s="1767"/>
      <c r="BI448" s="1767"/>
      <c r="BJ448" s="1767"/>
      <c r="BK448" s="1767"/>
      <c r="BL448" s="1767"/>
      <c r="BM448" s="1767"/>
      <c r="BN448" s="1767"/>
      <c r="BO448" s="1767"/>
      <c r="BP448" s="1767"/>
      <c r="BQ448" s="1767"/>
      <c r="BR448" s="1767"/>
      <c r="BS448" s="1767"/>
      <c r="BT448" s="1767"/>
      <c r="BU448" s="1767"/>
      <c r="BV448" s="1768"/>
      <c r="BW448" s="453"/>
    </row>
    <row r="449" spans="1:75" ht="15" customHeight="1" x14ac:dyDescent="0.2">
      <c r="A449" s="1752"/>
      <c r="B449" s="742"/>
      <c r="C449" s="1766"/>
      <c r="D449" s="1767"/>
      <c r="E449" s="1767"/>
      <c r="F449" s="1767"/>
      <c r="G449" s="1767"/>
      <c r="H449" s="1767"/>
      <c r="I449" s="1767"/>
      <c r="J449" s="1767"/>
      <c r="K449" s="1767"/>
      <c r="L449" s="1767"/>
      <c r="M449" s="1767"/>
      <c r="N449" s="1767"/>
      <c r="O449" s="1767"/>
      <c r="P449" s="1767"/>
      <c r="Q449" s="1767"/>
      <c r="R449" s="1767"/>
      <c r="S449" s="1767"/>
      <c r="T449" s="1767"/>
      <c r="U449" s="1767"/>
      <c r="V449" s="1767"/>
      <c r="W449" s="1767"/>
      <c r="X449" s="1767"/>
      <c r="Y449" s="1767"/>
      <c r="Z449" s="1767"/>
      <c r="AA449" s="1767"/>
      <c r="AB449" s="1767"/>
      <c r="AC449" s="1767"/>
      <c r="AD449" s="1767"/>
      <c r="AE449" s="1767"/>
      <c r="AF449" s="1767"/>
      <c r="AG449" s="1767"/>
      <c r="AH449" s="1767"/>
      <c r="AI449" s="1767"/>
      <c r="AJ449" s="1767"/>
      <c r="AK449" s="1767"/>
      <c r="AL449" s="1767"/>
      <c r="AM449" s="1767"/>
      <c r="AN449" s="1767"/>
      <c r="AO449" s="1767"/>
      <c r="AP449" s="1767"/>
      <c r="AQ449" s="1767"/>
      <c r="AR449" s="1767"/>
      <c r="AS449" s="1767"/>
      <c r="AT449" s="1767"/>
      <c r="AU449" s="1767"/>
      <c r="AV449" s="1767"/>
      <c r="AW449" s="1767"/>
      <c r="AX449" s="1767"/>
      <c r="AY449" s="1767"/>
      <c r="AZ449" s="1767"/>
      <c r="BA449" s="1767"/>
      <c r="BB449" s="1767"/>
      <c r="BC449" s="1767"/>
      <c r="BD449" s="1767"/>
      <c r="BE449" s="1767"/>
      <c r="BF449" s="1767"/>
      <c r="BG449" s="1767"/>
      <c r="BH449" s="1767"/>
      <c r="BI449" s="1767"/>
      <c r="BJ449" s="1767"/>
      <c r="BK449" s="1767"/>
      <c r="BL449" s="1767"/>
      <c r="BM449" s="1767"/>
      <c r="BN449" s="1767"/>
      <c r="BO449" s="1767"/>
      <c r="BP449" s="1767"/>
      <c r="BQ449" s="1767"/>
      <c r="BR449" s="1767"/>
      <c r="BS449" s="1767"/>
      <c r="BT449" s="1767"/>
      <c r="BU449" s="1767"/>
      <c r="BV449" s="1768"/>
      <c r="BW449" s="453"/>
    </row>
    <row r="450" spans="1:75" ht="15" customHeight="1" x14ac:dyDescent="0.2">
      <c r="A450" s="1752"/>
      <c r="B450" s="742"/>
      <c r="C450" s="1766"/>
      <c r="D450" s="1767"/>
      <c r="E450" s="1767"/>
      <c r="F450" s="1767"/>
      <c r="G450" s="1767"/>
      <c r="H450" s="1767"/>
      <c r="I450" s="1767"/>
      <c r="J450" s="1767"/>
      <c r="K450" s="1767"/>
      <c r="L450" s="1767"/>
      <c r="M450" s="1767"/>
      <c r="N450" s="1767"/>
      <c r="O450" s="1767"/>
      <c r="P450" s="1767"/>
      <c r="Q450" s="1767"/>
      <c r="R450" s="1767"/>
      <c r="S450" s="1767"/>
      <c r="T450" s="1767"/>
      <c r="U450" s="1767"/>
      <c r="V450" s="1767"/>
      <c r="W450" s="1767"/>
      <c r="X450" s="1767"/>
      <c r="Y450" s="1767"/>
      <c r="Z450" s="1767"/>
      <c r="AA450" s="1767"/>
      <c r="AB450" s="1767"/>
      <c r="AC450" s="1767"/>
      <c r="AD450" s="1767"/>
      <c r="AE450" s="1767"/>
      <c r="AF450" s="1767"/>
      <c r="AG450" s="1767"/>
      <c r="AH450" s="1767"/>
      <c r="AI450" s="1767"/>
      <c r="AJ450" s="1767"/>
      <c r="AK450" s="1767"/>
      <c r="AL450" s="1767"/>
      <c r="AM450" s="1767"/>
      <c r="AN450" s="1767"/>
      <c r="AO450" s="1767"/>
      <c r="AP450" s="1767"/>
      <c r="AQ450" s="1767"/>
      <c r="AR450" s="1767"/>
      <c r="AS450" s="1767"/>
      <c r="AT450" s="1767"/>
      <c r="AU450" s="1767"/>
      <c r="AV450" s="1767"/>
      <c r="AW450" s="1767"/>
      <c r="AX450" s="1767"/>
      <c r="AY450" s="1767"/>
      <c r="AZ450" s="1767"/>
      <c r="BA450" s="1767"/>
      <c r="BB450" s="1767"/>
      <c r="BC450" s="1767"/>
      <c r="BD450" s="1767"/>
      <c r="BE450" s="1767"/>
      <c r="BF450" s="1767"/>
      <c r="BG450" s="1767"/>
      <c r="BH450" s="1767"/>
      <c r="BI450" s="1767"/>
      <c r="BJ450" s="1767"/>
      <c r="BK450" s="1767"/>
      <c r="BL450" s="1767"/>
      <c r="BM450" s="1767"/>
      <c r="BN450" s="1767"/>
      <c r="BO450" s="1767"/>
      <c r="BP450" s="1767"/>
      <c r="BQ450" s="1767"/>
      <c r="BR450" s="1767"/>
      <c r="BS450" s="1767"/>
      <c r="BT450" s="1767"/>
      <c r="BU450" s="1767"/>
      <c r="BV450" s="1768"/>
      <c r="BW450" s="453"/>
    </row>
    <row r="451" spans="1:75" ht="15" customHeight="1" x14ac:dyDescent="0.2">
      <c r="A451" s="1752"/>
      <c r="B451" s="742"/>
      <c r="C451" s="1766"/>
      <c r="D451" s="1767"/>
      <c r="E451" s="1767"/>
      <c r="F451" s="1767"/>
      <c r="G451" s="1767"/>
      <c r="H451" s="1767"/>
      <c r="I451" s="1767"/>
      <c r="J451" s="1767"/>
      <c r="K451" s="1767"/>
      <c r="L451" s="1767"/>
      <c r="M451" s="1767"/>
      <c r="N451" s="1767"/>
      <c r="O451" s="1767"/>
      <c r="P451" s="1767"/>
      <c r="Q451" s="1767"/>
      <c r="R451" s="1767"/>
      <c r="S451" s="1767"/>
      <c r="T451" s="1767"/>
      <c r="U451" s="1767"/>
      <c r="V451" s="1767"/>
      <c r="W451" s="1767"/>
      <c r="X451" s="1767"/>
      <c r="Y451" s="1767"/>
      <c r="Z451" s="1767"/>
      <c r="AA451" s="1767"/>
      <c r="AB451" s="1767"/>
      <c r="AC451" s="1767"/>
      <c r="AD451" s="1767"/>
      <c r="AE451" s="1767"/>
      <c r="AF451" s="1767"/>
      <c r="AG451" s="1767"/>
      <c r="AH451" s="1767"/>
      <c r="AI451" s="1767"/>
      <c r="AJ451" s="1767"/>
      <c r="AK451" s="1767"/>
      <c r="AL451" s="1767"/>
      <c r="AM451" s="1767"/>
      <c r="AN451" s="1767"/>
      <c r="AO451" s="1767"/>
      <c r="AP451" s="1767"/>
      <c r="AQ451" s="1767"/>
      <c r="AR451" s="1767"/>
      <c r="AS451" s="1767"/>
      <c r="AT451" s="1767"/>
      <c r="AU451" s="1767"/>
      <c r="AV451" s="1767"/>
      <c r="AW451" s="1767"/>
      <c r="AX451" s="1767"/>
      <c r="AY451" s="1767"/>
      <c r="AZ451" s="1767"/>
      <c r="BA451" s="1767"/>
      <c r="BB451" s="1767"/>
      <c r="BC451" s="1767"/>
      <c r="BD451" s="1767"/>
      <c r="BE451" s="1767"/>
      <c r="BF451" s="1767"/>
      <c r="BG451" s="1767"/>
      <c r="BH451" s="1767"/>
      <c r="BI451" s="1767"/>
      <c r="BJ451" s="1767"/>
      <c r="BK451" s="1767"/>
      <c r="BL451" s="1767"/>
      <c r="BM451" s="1767"/>
      <c r="BN451" s="1767"/>
      <c r="BO451" s="1767"/>
      <c r="BP451" s="1767"/>
      <c r="BQ451" s="1767"/>
      <c r="BR451" s="1767"/>
      <c r="BS451" s="1767"/>
      <c r="BT451" s="1767"/>
      <c r="BU451" s="1767"/>
      <c r="BV451" s="1768"/>
      <c r="BW451" s="453"/>
    </row>
    <row r="452" spans="1:75" ht="15" customHeight="1" x14ac:dyDescent="0.2">
      <c r="A452" s="1752"/>
      <c r="B452" s="742"/>
      <c r="C452" s="1766"/>
      <c r="D452" s="1767"/>
      <c r="E452" s="1767"/>
      <c r="F452" s="1767"/>
      <c r="G452" s="1767"/>
      <c r="H452" s="1767"/>
      <c r="I452" s="1767"/>
      <c r="J452" s="1767"/>
      <c r="K452" s="1767"/>
      <c r="L452" s="1767"/>
      <c r="M452" s="1767"/>
      <c r="N452" s="1767"/>
      <c r="O452" s="1767"/>
      <c r="P452" s="1767"/>
      <c r="Q452" s="1767"/>
      <c r="R452" s="1767"/>
      <c r="S452" s="1767"/>
      <c r="T452" s="1767"/>
      <c r="U452" s="1767"/>
      <c r="V452" s="1767"/>
      <c r="W452" s="1767"/>
      <c r="X452" s="1767"/>
      <c r="Y452" s="1767"/>
      <c r="Z452" s="1767"/>
      <c r="AA452" s="1767"/>
      <c r="AB452" s="1767"/>
      <c r="AC452" s="1767"/>
      <c r="AD452" s="1767"/>
      <c r="AE452" s="1767"/>
      <c r="AF452" s="1767"/>
      <c r="AG452" s="1767"/>
      <c r="AH452" s="1767"/>
      <c r="AI452" s="1767"/>
      <c r="AJ452" s="1767"/>
      <c r="AK452" s="1767"/>
      <c r="AL452" s="1767"/>
      <c r="AM452" s="1767"/>
      <c r="AN452" s="1767"/>
      <c r="AO452" s="1767"/>
      <c r="AP452" s="1767"/>
      <c r="AQ452" s="1767"/>
      <c r="AR452" s="1767"/>
      <c r="AS452" s="1767"/>
      <c r="AT452" s="1767"/>
      <c r="AU452" s="1767"/>
      <c r="AV452" s="1767"/>
      <c r="AW452" s="1767"/>
      <c r="AX452" s="1767"/>
      <c r="AY452" s="1767"/>
      <c r="AZ452" s="1767"/>
      <c r="BA452" s="1767"/>
      <c r="BB452" s="1767"/>
      <c r="BC452" s="1767"/>
      <c r="BD452" s="1767"/>
      <c r="BE452" s="1767"/>
      <c r="BF452" s="1767"/>
      <c r="BG452" s="1767"/>
      <c r="BH452" s="1767"/>
      <c r="BI452" s="1767"/>
      <c r="BJ452" s="1767"/>
      <c r="BK452" s="1767"/>
      <c r="BL452" s="1767"/>
      <c r="BM452" s="1767"/>
      <c r="BN452" s="1767"/>
      <c r="BO452" s="1767"/>
      <c r="BP452" s="1767"/>
      <c r="BQ452" s="1767"/>
      <c r="BR452" s="1767"/>
      <c r="BS452" s="1767"/>
      <c r="BT452" s="1767"/>
      <c r="BU452" s="1767"/>
      <c r="BV452" s="1768"/>
      <c r="BW452" s="453"/>
    </row>
    <row r="453" spans="1:75" ht="15" customHeight="1" x14ac:dyDescent="0.2">
      <c r="A453" s="1752"/>
      <c r="B453" s="742"/>
      <c r="C453" s="1766"/>
      <c r="D453" s="1767"/>
      <c r="E453" s="1767"/>
      <c r="F453" s="1767"/>
      <c r="G453" s="1767"/>
      <c r="H453" s="1767"/>
      <c r="I453" s="1767"/>
      <c r="J453" s="1767"/>
      <c r="K453" s="1767"/>
      <c r="L453" s="1767"/>
      <c r="M453" s="1767"/>
      <c r="N453" s="1767"/>
      <c r="O453" s="1767"/>
      <c r="P453" s="1767"/>
      <c r="Q453" s="1767"/>
      <c r="R453" s="1767"/>
      <c r="S453" s="1767"/>
      <c r="T453" s="1767"/>
      <c r="U453" s="1767"/>
      <c r="V453" s="1767"/>
      <c r="W453" s="1767"/>
      <c r="X453" s="1767"/>
      <c r="Y453" s="1767"/>
      <c r="Z453" s="1767"/>
      <c r="AA453" s="1767"/>
      <c r="AB453" s="1767"/>
      <c r="AC453" s="1767"/>
      <c r="AD453" s="1767"/>
      <c r="AE453" s="1767"/>
      <c r="AF453" s="1767"/>
      <c r="AG453" s="1767"/>
      <c r="AH453" s="1767"/>
      <c r="AI453" s="1767"/>
      <c r="AJ453" s="1767"/>
      <c r="AK453" s="1767"/>
      <c r="AL453" s="1767"/>
      <c r="AM453" s="1767"/>
      <c r="AN453" s="1767"/>
      <c r="AO453" s="1767"/>
      <c r="AP453" s="1767"/>
      <c r="AQ453" s="1767"/>
      <c r="AR453" s="1767"/>
      <c r="AS453" s="1767"/>
      <c r="AT453" s="1767"/>
      <c r="AU453" s="1767"/>
      <c r="AV453" s="1767"/>
      <c r="AW453" s="1767"/>
      <c r="AX453" s="1767"/>
      <c r="AY453" s="1767"/>
      <c r="AZ453" s="1767"/>
      <c r="BA453" s="1767"/>
      <c r="BB453" s="1767"/>
      <c r="BC453" s="1767"/>
      <c r="BD453" s="1767"/>
      <c r="BE453" s="1767"/>
      <c r="BF453" s="1767"/>
      <c r="BG453" s="1767"/>
      <c r="BH453" s="1767"/>
      <c r="BI453" s="1767"/>
      <c r="BJ453" s="1767"/>
      <c r="BK453" s="1767"/>
      <c r="BL453" s="1767"/>
      <c r="BM453" s="1767"/>
      <c r="BN453" s="1767"/>
      <c r="BO453" s="1767"/>
      <c r="BP453" s="1767"/>
      <c r="BQ453" s="1767"/>
      <c r="BR453" s="1767"/>
      <c r="BS453" s="1767"/>
      <c r="BT453" s="1767"/>
      <c r="BU453" s="1767"/>
      <c r="BV453" s="1768"/>
      <c r="BW453" s="453"/>
    </row>
    <row r="454" spans="1:75" ht="15" customHeight="1" x14ac:dyDescent="0.2">
      <c r="A454" s="1752"/>
      <c r="B454" s="742"/>
      <c r="C454" s="1766"/>
      <c r="D454" s="1767"/>
      <c r="E454" s="1767"/>
      <c r="F454" s="1767"/>
      <c r="G454" s="1767"/>
      <c r="H454" s="1767"/>
      <c r="I454" s="1767"/>
      <c r="J454" s="1767"/>
      <c r="K454" s="1767"/>
      <c r="L454" s="1767"/>
      <c r="M454" s="1767"/>
      <c r="N454" s="1767"/>
      <c r="O454" s="1767"/>
      <c r="P454" s="1767"/>
      <c r="Q454" s="1767"/>
      <c r="R454" s="1767"/>
      <c r="S454" s="1767"/>
      <c r="T454" s="1767"/>
      <c r="U454" s="1767"/>
      <c r="V454" s="1767"/>
      <c r="W454" s="1767"/>
      <c r="X454" s="1767"/>
      <c r="Y454" s="1767"/>
      <c r="Z454" s="1767"/>
      <c r="AA454" s="1767"/>
      <c r="AB454" s="1767"/>
      <c r="AC454" s="1767"/>
      <c r="AD454" s="1767"/>
      <c r="AE454" s="1767"/>
      <c r="AF454" s="1767"/>
      <c r="AG454" s="1767"/>
      <c r="AH454" s="1767"/>
      <c r="AI454" s="1767"/>
      <c r="AJ454" s="1767"/>
      <c r="AK454" s="1767"/>
      <c r="AL454" s="1767"/>
      <c r="AM454" s="1767"/>
      <c r="AN454" s="1767"/>
      <c r="AO454" s="1767"/>
      <c r="AP454" s="1767"/>
      <c r="AQ454" s="1767"/>
      <c r="AR454" s="1767"/>
      <c r="AS454" s="1767"/>
      <c r="AT454" s="1767"/>
      <c r="AU454" s="1767"/>
      <c r="AV454" s="1767"/>
      <c r="AW454" s="1767"/>
      <c r="AX454" s="1767"/>
      <c r="AY454" s="1767"/>
      <c r="AZ454" s="1767"/>
      <c r="BA454" s="1767"/>
      <c r="BB454" s="1767"/>
      <c r="BC454" s="1767"/>
      <c r="BD454" s="1767"/>
      <c r="BE454" s="1767"/>
      <c r="BF454" s="1767"/>
      <c r="BG454" s="1767"/>
      <c r="BH454" s="1767"/>
      <c r="BI454" s="1767"/>
      <c r="BJ454" s="1767"/>
      <c r="BK454" s="1767"/>
      <c r="BL454" s="1767"/>
      <c r="BM454" s="1767"/>
      <c r="BN454" s="1767"/>
      <c r="BO454" s="1767"/>
      <c r="BP454" s="1767"/>
      <c r="BQ454" s="1767"/>
      <c r="BR454" s="1767"/>
      <c r="BS454" s="1767"/>
      <c r="BT454" s="1767"/>
      <c r="BU454" s="1767"/>
      <c r="BV454" s="1768"/>
      <c r="BW454" s="453"/>
    </row>
    <row r="455" spans="1:75" ht="15" customHeight="1" x14ac:dyDescent="0.2">
      <c r="A455" s="1752"/>
      <c r="B455" s="742"/>
      <c r="C455" s="1766"/>
      <c r="D455" s="1767"/>
      <c r="E455" s="1767"/>
      <c r="F455" s="1767"/>
      <c r="G455" s="1767"/>
      <c r="H455" s="1767"/>
      <c r="I455" s="1767"/>
      <c r="J455" s="1767"/>
      <c r="K455" s="1767"/>
      <c r="L455" s="1767"/>
      <c r="M455" s="1767"/>
      <c r="N455" s="1767"/>
      <c r="O455" s="1767"/>
      <c r="P455" s="1767"/>
      <c r="Q455" s="1767"/>
      <c r="R455" s="1767"/>
      <c r="S455" s="1767"/>
      <c r="T455" s="1767"/>
      <c r="U455" s="1767"/>
      <c r="V455" s="1767"/>
      <c r="W455" s="1767"/>
      <c r="X455" s="1767"/>
      <c r="Y455" s="1767"/>
      <c r="Z455" s="1767"/>
      <c r="AA455" s="1767"/>
      <c r="AB455" s="1767"/>
      <c r="AC455" s="1767"/>
      <c r="AD455" s="1767"/>
      <c r="AE455" s="1767"/>
      <c r="AF455" s="1767"/>
      <c r="AG455" s="1767"/>
      <c r="AH455" s="1767"/>
      <c r="AI455" s="1767"/>
      <c r="AJ455" s="1767"/>
      <c r="AK455" s="1767"/>
      <c r="AL455" s="1767"/>
      <c r="AM455" s="1767"/>
      <c r="AN455" s="1767"/>
      <c r="AO455" s="1767"/>
      <c r="AP455" s="1767"/>
      <c r="AQ455" s="1767"/>
      <c r="AR455" s="1767"/>
      <c r="AS455" s="1767"/>
      <c r="AT455" s="1767"/>
      <c r="AU455" s="1767"/>
      <c r="AV455" s="1767"/>
      <c r="AW455" s="1767"/>
      <c r="AX455" s="1767"/>
      <c r="AY455" s="1767"/>
      <c r="AZ455" s="1767"/>
      <c r="BA455" s="1767"/>
      <c r="BB455" s="1767"/>
      <c r="BC455" s="1767"/>
      <c r="BD455" s="1767"/>
      <c r="BE455" s="1767"/>
      <c r="BF455" s="1767"/>
      <c r="BG455" s="1767"/>
      <c r="BH455" s="1767"/>
      <c r="BI455" s="1767"/>
      <c r="BJ455" s="1767"/>
      <c r="BK455" s="1767"/>
      <c r="BL455" s="1767"/>
      <c r="BM455" s="1767"/>
      <c r="BN455" s="1767"/>
      <c r="BO455" s="1767"/>
      <c r="BP455" s="1767"/>
      <c r="BQ455" s="1767"/>
      <c r="BR455" s="1767"/>
      <c r="BS455" s="1767"/>
      <c r="BT455" s="1767"/>
      <c r="BU455" s="1767"/>
      <c r="BV455" s="1768"/>
      <c r="BW455" s="453"/>
    </row>
    <row r="456" spans="1:75" ht="15" customHeight="1" x14ac:dyDescent="0.2">
      <c r="A456" s="1752"/>
      <c r="B456" s="742"/>
      <c r="C456" s="1766"/>
      <c r="D456" s="1767"/>
      <c r="E456" s="1767"/>
      <c r="F456" s="1767"/>
      <c r="G456" s="1767"/>
      <c r="H456" s="1767"/>
      <c r="I456" s="1767"/>
      <c r="J456" s="1767"/>
      <c r="K456" s="1767"/>
      <c r="L456" s="1767"/>
      <c r="M456" s="1767"/>
      <c r="N456" s="1767"/>
      <c r="O456" s="1767"/>
      <c r="P456" s="1767"/>
      <c r="Q456" s="1767"/>
      <c r="R456" s="1767"/>
      <c r="S456" s="1767"/>
      <c r="T456" s="1767"/>
      <c r="U456" s="1767"/>
      <c r="V456" s="1767"/>
      <c r="W456" s="1767"/>
      <c r="X456" s="1767"/>
      <c r="Y456" s="1767"/>
      <c r="Z456" s="1767"/>
      <c r="AA456" s="1767"/>
      <c r="AB456" s="1767"/>
      <c r="AC456" s="1767"/>
      <c r="AD456" s="1767"/>
      <c r="AE456" s="1767"/>
      <c r="AF456" s="1767"/>
      <c r="AG456" s="1767"/>
      <c r="AH456" s="1767"/>
      <c r="AI456" s="1767"/>
      <c r="AJ456" s="1767"/>
      <c r="AK456" s="1767"/>
      <c r="AL456" s="1767"/>
      <c r="AM456" s="1767"/>
      <c r="AN456" s="1767"/>
      <c r="AO456" s="1767"/>
      <c r="AP456" s="1767"/>
      <c r="AQ456" s="1767"/>
      <c r="AR456" s="1767"/>
      <c r="AS456" s="1767"/>
      <c r="AT456" s="1767"/>
      <c r="AU456" s="1767"/>
      <c r="AV456" s="1767"/>
      <c r="AW456" s="1767"/>
      <c r="AX456" s="1767"/>
      <c r="AY456" s="1767"/>
      <c r="AZ456" s="1767"/>
      <c r="BA456" s="1767"/>
      <c r="BB456" s="1767"/>
      <c r="BC456" s="1767"/>
      <c r="BD456" s="1767"/>
      <c r="BE456" s="1767"/>
      <c r="BF456" s="1767"/>
      <c r="BG456" s="1767"/>
      <c r="BH456" s="1767"/>
      <c r="BI456" s="1767"/>
      <c r="BJ456" s="1767"/>
      <c r="BK456" s="1767"/>
      <c r="BL456" s="1767"/>
      <c r="BM456" s="1767"/>
      <c r="BN456" s="1767"/>
      <c r="BO456" s="1767"/>
      <c r="BP456" s="1767"/>
      <c r="BQ456" s="1767"/>
      <c r="BR456" s="1767"/>
      <c r="BS456" s="1767"/>
      <c r="BT456" s="1767"/>
      <c r="BU456" s="1767"/>
      <c r="BV456" s="1768"/>
      <c r="BW456" s="453"/>
    </row>
    <row r="457" spans="1:75" ht="15" customHeight="1" x14ac:dyDescent="0.2">
      <c r="A457" s="1752"/>
      <c r="B457" s="742"/>
      <c r="C457" s="1766"/>
      <c r="D457" s="1767"/>
      <c r="E457" s="1767"/>
      <c r="F457" s="1767"/>
      <c r="G457" s="1767"/>
      <c r="H457" s="1767"/>
      <c r="I457" s="1767"/>
      <c r="J457" s="1767"/>
      <c r="K457" s="1767"/>
      <c r="L457" s="1767"/>
      <c r="M457" s="1767"/>
      <c r="N457" s="1767"/>
      <c r="O457" s="1767"/>
      <c r="P457" s="1767"/>
      <c r="Q457" s="1767"/>
      <c r="R457" s="1767"/>
      <c r="S457" s="1767"/>
      <c r="T457" s="1767"/>
      <c r="U457" s="1767"/>
      <c r="V457" s="1767"/>
      <c r="W457" s="1767"/>
      <c r="X457" s="1767"/>
      <c r="Y457" s="1767"/>
      <c r="Z457" s="1767"/>
      <c r="AA457" s="1767"/>
      <c r="AB457" s="1767"/>
      <c r="AC457" s="1767"/>
      <c r="AD457" s="1767"/>
      <c r="AE457" s="1767"/>
      <c r="AF457" s="1767"/>
      <c r="AG457" s="1767"/>
      <c r="AH457" s="1767"/>
      <c r="AI457" s="1767"/>
      <c r="AJ457" s="1767"/>
      <c r="AK457" s="1767"/>
      <c r="AL457" s="1767"/>
      <c r="AM457" s="1767"/>
      <c r="AN457" s="1767"/>
      <c r="AO457" s="1767"/>
      <c r="AP457" s="1767"/>
      <c r="AQ457" s="1767"/>
      <c r="AR457" s="1767"/>
      <c r="AS457" s="1767"/>
      <c r="AT457" s="1767"/>
      <c r="AU457" s="1767"/>
      <c r="AV457" s="1767"/>
      <c r="AW457" s="1767"/>
      <c r="AX457" s="1767"/>
      <c r="AY457" s="1767"/>
      <c r="AZ457" s="1767"/>
      <c r="BA457" s="1767"/>
      <c r="BB457" s="1767"/>
      <c r="BC457" s="1767"/>
      <c r="BD457" s="1767"/>
      <c r="BE457" s="1767"/>
      <c r="BF457" s="1767"/>
      <c r="BG457" s="1767"/>
      <c r="BH457" s="1767"/>
      <c r="BI457" s="1767"/>
      <c r="BJ457" s="1767"/>
      <c r="BK457" s="1767"/>
      <c r="BL457" s="1767"/>
      <c r="BM457" s="1767"/>
      <c r="BN457" s="1767"/>
      <c r="BO457" s="1767"/>
      <c r="BP457" s="1767"/>
      <c r="BQ457" s="1767"/>
      <c r="BR457" s="1767"/>
      <c r="BS457" s="1767"/>
      <c r="BT457" s="1767"/>
      <c r="BU457" s="1767"/>
      <c r="BV457" s="1768"/>
      <c r="BW457" s="453"/>
    </row>
    <row r="458" spans="1:75" ht="15" customHeight="1" x14ac:dyDescent="0.2">
      <c r="A458" s="1752"/>
      <c r="B458" s="742"/>
      <c r="C458" s="1766"/>
      <c r="D458" s="1767"/>
      <c r="E458" s="1767"/>
      <c r="F458" s="1767"/>
      <c r="G458" s="1767"/>
      <c r="H458" s="1767"/>
      <c r="I458" s="1767"/>
      <c r="J458" s="1767"/>
      <c r="K458" s="1767"/>
      <c r="L458" s="1767"/>
      <c r="M458" s="1767"/>
      <c r="N458" s="1767"/>
      <c r="O458" s="1767"/>
      <c r="P458" s="1767"/>
      <c r="Q458" s="1767"/>
      <c r="R458" s="1767"/>
      <c r="S458" s="1767"/>
      <c r="T458" s="1767"/>
      <c r="U458" s="1767"/>
      <c r="V458" s="1767"/>
      <c r="W458" s="1767"/>
      <c r="X458" s="1767"/>
      <c r="Y458" s="1767"/>
      <c r="Z458" s="1767"/>
      <c r="AA458" s="1767"/>
      <c r="AB458" s="1767"/>
      <c r="AC458" s="1767"/>
      <c r="AD458" s="1767"/>
      <c r="AE458" s="1767"/>
      <c r="AF458" s="1767"/>
      <c r="AG458" s="1767"/>
      <c r="AH458" s="1767"/>
      <c r="AI458" s="1767"/>
      <c r="AJ458" s="1767"/>
      <c r="AK458" s="1767"/>
      <c r="AL458" s="1767"/>
      <c r="AM458" s="1767"/>
      <c r="AN458" s="1767"/>
      <c r="AO458" s="1767"/>
      <c r="AP458" s="1767"/>
      <c r="AQ458" s="1767"/>
      <c r="AR458" s="1767"/>
      <c r="AS458" s="1767"/>
      <c r="AT458" s="1767"/>
      <c r="AU458" s="1767"/>
      <c r="AV458" s="1767"/>
      <c r="AW458" s="1767"/>
      <c r="AX458" s="1767"/>
      <c r="AY458" s="1767"/>
      <c r="AZ458" s="1767"/>
      <c r="BA458" s="1767"/>
      <c r="BB458" s="1767"/>
      <c r="BC458" s="1767"/>
      <c r="BD458" s="1767"/>
      <c r="BE458" s="1767"/>
      <c r="BF458" s="1767"/>
      <c r="BG458" s="1767"/>
      <c r="BH458" s="1767"/>
      <c r="BI458" s="1767"/>
      <c r="BJ458" s="1767"/>
      <c r="BK458" s="1767"/>
      <c r="BL458" s="1767"/>
      <c r="BM458" s="1767"/>
      <c r="BN458" s="1767"/>
      <c r="BO458" s="1767"/>
      <c r="BP458" s="1767"/>
      <c r="BQ458" s="1767"/>
      <c r="BR458" s="1767"/>
      <c r="BS458" s="1767"/>
      <c r="BT458" s="1767"/>
      <c r="BU458" s="1767"/>
      <c r="BV458" s="1768"/>
      <c r="BW458" s="453"/>
    </row>
    <row r="459" spans="1:75" ht="15" customHeight="1" x14ac:dyDescent="0.2">
      <c r="A459" s="1752"/>
      <c r="B459" s="742"/>
      <c r="C459" s="1766"/>
      <c r="D459" s="1767"/>
      <c r="E459" s="1767"/>
      <c r="F459" s="1767"/>
      <c r="G459" s="1767"/>
      <c r="H459" s="1767"/>
      <c r="I459" s="1767"/>
      <c r="J459" s="1767"/>
      <c r="K459" s="1767"/>
      <c r="L459" s="1767"/>
      <c r="M459" s="1767"/>
      <c r="N459" s="1767"/>
      <c r="O459" s="1767"/>
      <c r="P459" s="1767"/>
      <c r="Q459" s="1767"/>
      <c r="R459" s="1767"/>
      <c r="S459" s="1767"/>
      <c r="T459" s="1767"/>
      <c r="U459" s="1767"/>
      <c r="V459" s="1767"/>
      <c r="W459" s="1767"/>
      <c r="X459" s="1767"/>
      <c r="Y459" s="1767"/>
      <c r="Z459" s="1767"/>
      <c r="AA459" s="1767"/>
      <c r="AB459" s="1767"/>
      <c r="AC459" s="1767"/>
      <c r="AD459" s="1767"/>
      <c r="AE459" s="1767"/>
      <c r="AF459" s="1767"/>
      <c r="AG459" s="1767"/>
      <c r="AH459" s="1767"/>
      <c r="AI459" s="1767"/>
      <c r="AJ459" s="1767"/>
      <c r="AK459" s="1767"/>
      <c r="AL459" s="1767"/>
      <c r="AM459" s="1767"/>
      <c r="AN459" s="1767"/>
      <c r="AO459" s="1767"/>
      <c r="AP459" s="1767"/>
      <c r="AQ459" s="1767"/>
      <c r="AR459" s="1767"/>
      <c r="AS459" s="1767"/>
      <c r="AT459" s="1767"/>
      <c r="AU459" s="1767"/>
      <c r="AV459" s="1767"/>
      <c r="AW459" s="1767"/>
      <c r="AX459" s="1767"/>
      <c r="AY459" s="1767"/>
      <c r="AZ459" s="1767"/>
      <c r="BA459" s="1767"/>
      <c r="BB459" s="1767"/>
      <c r="BC459" s="1767"/>
      <c r="BD459" s="1767"/>
      <c r="BE459" s="1767"/>
      <c r="BF459" s="1767"/>
      <c r="BG459" s="1767"/>
      <c r="BH459" s="1767"/>
      <c r="BI459" s="1767"/>
      <c r="BJ459" s="1767"/>
      <c r="BK459" s="1767"/>
      <c r="BL459" s="1767"/>
      <c r="BM459" s="1767"/>
      <c r="BN459" s="1767"/>
      <c r="BO459" s="1767"/>
      <c r="BP459" s="1767"/>
      <c r="BQ459" s="1767"/>
      <c r="BR459" s="1767"/>
      <c r="BS459" s="1767"/>
      <c r="BT459" s="1767"/>
      <c r="BU459" s="1767"/>
      <c r="BV459" s="1768"/>
      <c r="BW459" s="453"/>
    </row>
    <row r="460" spans="1:75" ht="15" customHeight="1" x14ac:dyDescent="0.2">
      <c r="A460" s="1752"/>
      <c r="B460" s="742"/>
      <c r="C460" s="1766"/>
      <c r="D460" s="1767"/>
      <c r="E460" s="1767"/>
      <c r="F460" s="1767"/>
      <c r="G460" s="1767"/>
      <c r="H460" s="1767"/>
      <c r="I460" s="1767"/>
      <c r="J460" s="1767"/>
      <c r="K460" s="1767"/>
      <c r="L460" s="1767"/>
      <c r="M460" s="1767"/>
      <c r="N460" s="1767"/>
      <c r="O460" s="1767"/>
      <c r="P460" s="1767"/>
      <c r="Q460" s="1767"/>
      <c r="R460" s="1767"/>
      <c r="S460" s="1767"/>
      <c r="T460" s="1767"/>
      <c r="U460" s="1767"/>
      <c r="V460" s="1767"/>
      <c r="W460" s="1767"/>
      <c r="X460" s="1767"/>
      <c r="Y460" s="1767"/>
      <c r="Z460" s="1767"/>
      <c r="AA460" s="1767"/>
      <c r="AB460" s="1767"/>
      <c r="AC460" s="1767"/>
      <c r="AD460" s="1767"/>
      <c r="AE460" s="1767"/>
      <c r="AF460" s="1767"/>
      <c r="AG460" s="1767"/>
      <c r="AH460" s="1767"/>
      <c r="AI460" s="1767"/>
      <c r="AJ460" s="1767"/>
      <c r="AK460" s="1767"/>
      <c r="AL460" s="1767"/>
      <c r="AM460" s="1767"/>
      <c r="AN460" s="1767"/>
      <c r="AO460" s="1767"/>
      <c r="AP460" s="1767"/>
      <c r="AQ460" s="1767"/>
      <c r="AR460" s="1767"/>
      <c r="AS460" s="1767"/>
      <c r="AT460" s="1767"/>
      <c r="AU460" s="1767"/>
      <c r="AV460" s="1767"/>
      <c r="AW460" s="1767"/>
      <c r="AX460" s="1767"/>
      <c r="AY460" s="1767"/>
      <c r="AZ460" s="1767"/>
      <c r="BA460" s="1767"/>
      <c r="BB460" s="1767"/>
      <c r="BC460" s="1767"/>
      <c r="BD460" s="1767"/>
      <c r="BE460" s="1767"/>
      <c r="BF460" s="1767"/>
      <c r="BG460" s="1767"/>
      <c r="BH460" s="1767"/>
      <c r="BI460" s="1767"/>
      <c r="BJ460" s="1767"/>
      <c r="BK460" s="1767"/>
      <c r="BL460" s="1767"/>
      <c r="BM460" s="1767"/>
      <c r="BN460" s="1767"/>
      <c r="BO460" s="1767"/>
      <c r="BP460" s="1767"/>
      <c r="BQ460" s="1767"/>
      <c r="BR460" s="1767"/>
      <c r="BS460" s="1767"/>
      <c r="BT460" s="1767"/>
      <c r="BU460" s="1767"/>
      <c r="BV460" s="1768"/>
      <c r="BW460" s="453"/>
    </row>
    <row r="461" spans="1:75" ht="15" customHeight="1" x14ac:dyDescent="0.2">
      <c r="A461" s="1752"/>
      <c r="B461" s="742"/>
      <c r="C461" s="1766"/>
      <c r="D461" s="1767"/>
      <c r="E461" s="1767"/>
      <c r="F461" s="1767"/>
      <c r="G461" s="1767"/>
      <c r="H461" s="1767"/>
      <c r="I461" s="1767"/>
      <c r="J461" s="1767"/>
      <c r="K461" s="1767"/>
      <c r="L461" s="1767"/>
      <c r="M461" s="1767"/>
      <c r="N461" s="1767"/>
      <c r="O461" s="1767"/>
      <c r="P461" s="1767"/>
      <c r="Q461" s="1767"/>
      <c r="R461" s="1767"/>
      <c r="S461" s="1767"/>
      <c r="T461" s="1767"/>
      <c r="U461" s="1767"/>
      <c r="V461" s="1767"/>
      <c r="W461" s="1767"/>
      <c r="X461" s="1767"/>
      <c r="Y461" s="1767"/>
      <c r="Z461" s="1767"/>
      <c r="AA461" s="1767"/>
      <c r="AB461" s="1767"/>
      <c r="AC461" s="1767"/>
      <c r="AD461" s="1767"/>
      <c r="AE461" s="1767"/>
      <c r="AF461" s="1767"/>
      <c r="AG461" s="1767"/>
      <c r="AH461" s="1767"/>
      <c r="AI461" s="1767"/>
      <c r="AJ461" s="1767"/>
      <c r="AK461" s="1767"/>
      <c r="AL461" s="1767"/>
      <c r="AM461" s="1767"/>
      <c r="AN461" s="1767"/>
      <c r="AO461" s="1767"/>
      <c r="AP461" s="1767"/>
      <c r="AQ461" s="1767"/>
      <c r="AR461" s="1767"/>
      <c r="AS461" s="1767"/>
      <c r="AT461" s="1767"/>
      <c r="AU461" s="1767"/>
      <c r="AV461" s="1767"/>
      <c r="AW461" s="1767"/>
      <c r="AX461" s="1767"/>
      <c r="AY461" s="1767"/>
      <c r="AZ461" s="1767"/>
      <c r="BA461" s="1767"/>
      <c r="BB461" s="1767"/>
      <c r="BC461" s="1767"/>
      <c r="BD461" s="1767"/>
      <c r="BE461" s="1767"/>
      <c r="BF461" s="1767"/>
      <c r="BG461" s="1767"/>
      <c r="BH461" s="1767"/>
      <c r="BI461" s="1767"/>
      <c r="BJ461" s="1767"/>
      <c r="BK461" s="1767"/>
      <c r="BL461" s="1767"/>
      <c r="BM461" s="1767"/>
      <c r="BN461" s="1767"/>
      <c r="BO461" s="1767"/>
      <c r="BP461" s="1767"/>
      <c r="BQ461" s="1767"/>
      <c r="BR461" s="1767"/>
      <c r="BS461" s="1767"/>
      <c r="BT461" s="1767"/>
      <c r="BU461" s="1767"/>
      <c r="BV461" s="1768"/>
      <c r="BW461" s="453"/>
    </row>
    <row r="462" spans="1:75" ht="15" customHeight="1" x14ac:dyDescent="0.2">
      <c r="A462" s="1752"/>
      <c r="B462" s="742"/>
      <c r="C462" s="1766"/>
      <c r="D462" s="1767"/>
      <c r="E462" s="1767"/>
      <c r="F462" s="1767"/>
      <c r="G462" s="1767"/>
      <c r="H462" s="1767"/>
      <c r="I462" s="1767"/>
      <c r="J462" s="1767"/>
      <c r="K462" s="1767"/>
      <c r="L462" s="1767"/>
      <c r="M462" s="1767"/>
      <c r="N462" s="1767"/>
      <c r="O462" s="1767"/>
      <c r="P462" s="1767"/>
      <c r="Q462" s="1767"/>
      <c r="R462" s="1767"/>
      <c r="S462" s="1767"/>
      <c r="T462" s="1767"/>
      <c r="U462" s="1767"/>
      <c r="V462" s="1767"/>
      <c r="W462" s="1767"/>
      <c r="X462" s="1767"/>
      <c r="Y462" s="1767"/>
      <c r="Z462" s="1767"/>
      <c r="AA462" s="1767"/>
      <c r="AB462" s="1767"/>
      <c r="AC462" s="1767"/>
      <c r="AD462" s="1767"/>
      <c r="AE462" s="1767"/>
      <c r="AF462" s="1767"/>
      <c r="AG462" s="1767"/>
      <c r="AH462" s="1767"/>
      <c r="AI462" s="1767"/>
      <c r="AJ462" s="1767"/>
      <c r="AK462" s="1767"/>
      <c r="AL462" s="1767"/>
      <c r="AM462" s="1767"/>
      <c r="AN462" s="1767"/>
      <c r="AO462" s="1767"/>
      <c r="AP462" s="1767"/>
      <c r="AQ462" s="1767"/>
      <c r="AR462" s="1767"/>
      <c r="AS462" s="1767"/>
      <c r="AT462" s="1767"/>
      <c r="AU462" s="1767"/>
      <c r="AV462" s="1767"/>
      <c r="AW462" s="1767"/>
      <c r="AX462" s="1767"/>
      <c r="AY462" s="1767"/>
      <c r="AZ462" s="1767"/>
      <c r="BA462" s="1767"/>
      <c r="BB462" s="1767"/>
      <c r="BC462" s="1767"/>
      <c r="BD462" s="1767"/>
      <c r="BE462" s="1767"/>
      <c r="BF462" s="1767"/>
      <c r="BG462" s="1767"/>
      <c r="BH462" s="1767"/>
      <c r="BI462" s="1767"/>
      <c r="BJ462" s="1767"/>
      <c r="BK462" s="1767"/>
      <c r="BL462" s="1767"/>
      <c r="BM462" s="1767"/>
      <c r="BN462" s="1767"/>
      <c r="BO462" s="1767"/>
      <c r="BP462" s="1767"/>
      <c r="BQ462" s="1767"/>
      <c r="BR462" s="1767"/>
      <c r="BS462" s="1767"/>
      <c r="BT462" s="1767"/>
      <c r="BU462" s="1767"/>
      <c r="BV462" s="1768"/>
      <c r="BW462" s="453"/>
    </row>
    <row r="463" spans="1:75" ht="15" customHeight="1" x14ac:dyDescent="0.2">
      <c r="A463" s="1752"/>
      <c r="B463" s="742"/>
      <c r="C463" s="1766"/>
      <c r="D463" s="1767"/>
      <c r="E463" s="1767"/>
      <c r="F463" s="1767"/>
      <c r="G463" s="1767"/>
      <c r="H463" s="1767"/>
      <c r="I463" s="1767"/>
      <c r="J463" s="1767"/>
      <c r="K463" s="1767"/>
      <c r="L463" s="1767"/>
      <c r="M463" s="1767"/>
      <c r="N463" s="1767"/>
      <c r="O463" s="1767"/>
      <c r="P463" s="1767"/>
      <c r="Q463" s="1767"/>
      <c r="R463" s="1767"/>
      <c r="S463" s="1767"/>
      <c r="T463" s="1767"/>
      <c r="U463" s="1767"/>
      <c r="V463" s="1767"/>
      <c r="W463" s="1767"/>
      <c r="X463" s="1767"/>
      <c r="Y463" s="1767"/>
      <c r="Z463" s="1767"/>
      <c r="AA463" s="1767"/>
      <c r="AB463" s="1767"/>
      <c r="AC463" s="1767"/>
      <c r="AD463" s="1767"/>
      <c r="AE463" s="1767"/>
      <c r="AF463" s="1767"/>
      <c r="AG463" s="1767"/>
      <c r="AH463" s="1767"/>
      <c r="AI463" s="1767"/>
      <c r="AJ463" s="1767"/>
      <c r="AK463" s="1767"/>
      <c r="AL463" s="1767"/>
      <c r="AM463" s="1767"/>
      <c r="AN463" s="1767"/>
      <c r="AO463" s="1767"/>
      <c r="AP463" s="1767"/>
      <c r="AQ463" s="1767"/>
      <c r="AR463" s="1767"/>
      <c r="AS463" s="1767"/>
      <c r="AT463" s="1767"/>
      <c r="AU463" s="1767"/>
      <c r="AV463" s="1767"/>
      <c r="AW463" s="1767"/>
      <c r="AX463" s="1767"/>
      <c r="AY463" s="1767"/>
      <c r="AZ463" s="1767"/>
      <c r="BA463" s="1767"/>
      <c r="BB463" s="1767"/>
      <c r="BC463" s="1767"/>
      <c r="BD463" s="1767"/>
      <c r="BE463" s="1767"/>
      <c r="BF463" s="1767"/>
      <c r="BG463" s="1767"/>
      <c r="BH463" s="1767"/>
      <c r="BI463" s="1767"/>
      <c r="BJ463" s="1767"/>
      <c r="BK463" s="1767"/>
      <c r="BL463" s="1767"/>
      <c r="BM463" s="1767"/>
      <c r="BN463" s="1767"/>
      <c r="BO463" s="1767"/>
      <c r="BP463" s="1767"/>
      <c r="BQ463" s="1767"/>
      <c r="BR463" s="1767"/>
      <c r="BS463" s="1767"/>
      <c r="BT463" s="1767"/>
      <c r="BU463" s="1767"/>
      <c r="BV463" s="1768"/>
      <c r="BW463" s="453"/>
    </row>
    <row r="464" spans="1:75" ht="15" customHeight="1" x14ac:dyDescent="0.2">
      <c r="A464" s="1752"/>
      <c r="B464" s="742"/>
      <c r="C464" s="1766"/>
      <c r="D464" s="1767"/>
      <c r="E464" s="1767"/>
      <c r="F464" s="1767"/>
      <c r="G464" s="1767"/>
      <c r="H464" s="1767"/>
      <c r="I464" s="1767"/>
      <c r="J464" s="1767"/>
      <c r="K464" s="1767"/>
      <c r="L464" s="1767"/>
      <c r="M464" s="1767"/>
      <c r="N464" s="1767"/>
      <c r="O464" s="1767"/>
      <c r="P464" s="1767"/>
      <c r="Q464" s="1767"/>
      <c r="R464" s="1767"/>
      <c r="S464" s="1767"/>
      <c r="T464" s="1767"/>
      <c r="U464" s="1767"/>
      <c r="V464" s="1767"/>
      <c r="W464" s="1767"/>
      <c r="X464" s="1767"/>
      <c r="Y464" s="1767"/>
      <c r="Z464" s="1767"/>
      <c r="AA464" s="1767"/>
      <c r="AB464" s="1767"/>
      <c r="AC464" s="1767"/>
      <c r="AD464" s="1767"/>
      <c r="AE464" s="1767"/>
      <c r="AF464" s="1767"/>
      <c r="AG464" s="1767"/>
      <c r="AH464" s="1767"/>
      <c r="AI464" s="1767"/>
      <c r="AJ464" s="1767"/>
      <c r="AK464" s="1767"/>
      <c r="AL464" s="1767"/>
      <c r="AM464" s="1767"/>
      <c r="AN464" s="1767"/>
      <c r="AO464" s="1767"/>
      <c r="AP464" s="1767"/>
      <c r="AQ464" s="1767"/>
      <c r="AR464" s="1767"/>
      <c r="AS464" s="1767"/>
      <c r="AT464" s="1767"/>
      <c r="AU464" s="1767"/>
      <c r="AV464" s="1767"/>
      <c r="AW464" s="1767"/>
      <c r="AX464" s="1767"/>
      <c r="AY464" s="1767"/>
      <c r="AZ464" s="1767"/>
      <c r="BA464" s="1767"/>
      <c r="BB464" s="1767"/>
      <c r="BC464" s="1767"/>
      <c r="BD464" s="1767"/>
      <c r="BE464" s="1767"/>
      <c r="BF464" s="1767"/>
      <c r="BG464" s="1767"/>
      <c r="BH464" s="1767"/>
      <c r="BI464" s="1767"/>
      <c r="BJ464" s="1767"/>
      <c r="BK464" s="1767"/>
      <c r="BL464" s="1767"/>
      <c r="BM464" s="1767"/>
      <c r="BN464" s="1767"/>
      <c r="BO464" s="1767"/>
      <c r="BP464" s="1767"/>
      <c r="BQ464" s="1767"/>
      <c r="BR464" s="1767"/>
      <c r="BS464" s="1767"/>
      <c r="BT464" s="1767"/>
      <c r="BU464" s="1767"/>
      <c r="BV464" s="1768"/>
      <c r="BW464" s="453"/>
    </row>
    <row r="465" spans="1:88" ht="15" customHeight="1" x14ac:dyDescent="0.2">
      <c r="A465" s="1752"/>
      <c r="B465" s="742"/>
      <c r="C465" s="1766"/>
      <c r="D465" s="1767"/>
      <c r="E465" s="1767"/>
      <c r="F465" s="1767"/>
      <c r="G465" s="1767"/>
      <c r="H465" s="1767"/>
      <c r="I465" s="1767"/>
      <c r="J465" s="1767"/>
      <c r="K465" s="1767"/>
      <c r="L465" s="1767"/>
      <c r="M465" s="1767"/>
      <c r="N465" s="1767"/>
      <c r="O465" s="1767"/>
      <c r="P465" s="1767"/>
      <c r="Q465" s="1767"/>
      <c r="R465" s="1767"/>
      <c r="S465" s="1767"/>
      <c r="T465" s="1767"/>
      <c r="U465" s="1767"/>
      <c r="V465" s="1767"/>
      <c r="W465" s="1767"/>
      <c r="X465" s="1767"/>
      <c r="Y465" s="1767"/>
      <c r="Z465" s="1767"/>
      <c r="AA465" s="1767"/>
      <c r="AB465" s="1767"/>
      <c r="AC465" s="1767"/>
      <c r="AD465" s="1767"/>
      <c r="AE465" s="1767"/>
      <c r="AF465" s="1767"/>
      <c r="AG465" s="1767"/>
      <c r="AH465" s="1767"/>
      <c r="AI465" s="1767"/>
      <c r="AJ465" s="1767"/>
      <c r="AK465" s="1767"/>
      <c r="AL465" s="1767"/>
      <c r="AM465" s="1767"/>
      <c r="AN465" s="1767"/>
      <c r="AO465" s="1767"/>
      <c r="AP465" s="1767"/>
      <c r="AQ465" s="1767"/>
      <c r="AR465" s="1767"/>
      <c r="AS465" s="1767"/>
      <c r="AT465" s="1767"/>
      <c r="AU465" s="1767"/>
      <c r="AV465" s="1767"/>
      <c r="AW465" s="1767"/>
      <c r="AX465" s="1767"/>
      <c r="AY465" s="1767"/>
      <c r="AZ465" s="1767"/>
      <c r="BA465" s="1767"/>
      <c r="BB465" s="1767"/>
      <c r="BC465" s="1767"/>
      <c r="BD465" s="1767"/>
      <c r="BE465" s="1767"/>
      <c r="BF465" s="1767"/>
      <c r="BG465" s="1767"/>
      <c r="BH465" s="1767"/>
      <c r="BI465" s="1767"/>
      <c r="BJ465" s="1767"/>
      <c r="BK465" s="1767"/>
      <c r="BL465" s="1767"/>
      <c r="BM465" s="1767"/>
      <c r="BN465" s="1767"/>
      <c r="BO465" s="1767"/>
      <c r="BP465" s="1767"/>
      <c r="BQ465" s="1767"/>
      <c r="BR465" s="1767"/>
      <c r="BS465" s="1767"/>
      <c r="BT465" s="1767"/>
      <c r="BU465" s="1767"/>
      <c r="BV465" s="1768"/>
      <c r="BW465" s="453"/>
    </row>
    <row r="466" spans="1:88" ht="15" customHeight="1" x14ac:dyDescent="0.2">
      <c r="A466" s="1752"/>
      <c r="B466" s="742"/>
      <c r="C466" s="1766"/>
      <c r="D466" s="1767"/>
      <c r="E466" s="1767"/>
      <c r="F466" s="1767"/>
      <c r="G466" s="1767"/>
      <c r="H466" s="1767"/>
      <c r="I466" s="1767"/>
      <c r="J466" s="1767"/>
      <c r="K466" s="1767"/>
      <c r="L466" s="1767"/>
      <c r="M466" s="1767"/>
      <c r="N466" s="1767"/>
      <c r="O466" s="1767"/>
      <c r="P466" s="1767"/>
      <c r="Q466" s="1767"/>
      <c r="R466" s="1767"/>
      <c r="S466" s="1767"/>
      <c r="T466" s="1767"/>
      <c r="U466" s="1767"/>
      <c r="V466" s="1767"/>
      <c r="W466" s="1767"/>
      <c r="X466" s="1767"/>
      <c r="Y466" s="1767"/>
      <c r="Z466" s="1767"/>
      <c r="AA466" s="1767"/>
      <c r="AB466" s="1767"/>
      <c r="AC466" s="1767"/>
      <c r="AD466" s="1767"/>
      <c r="AE466" s="1767"/>
      <c r="AF466" s="1767"/>
      <c r="AG466" s="1767"/>
      <c r="AH466" s="1767"/>
      <c r="AI466" s="1767"/>
      <c r="AJ466" s="1767"/>
      <c r="AK466" s="1767"/>
      <c r="AL466" s="1767"/>
      <c r="AM466" s="1767"/>
      <c r="AN466" s="1767"/>
      <c r="AO466" s="1767"/>
      <c r="AP466" s="1767"/>
      <c r="AQ466" s="1767"/>
      <c r="AR466" s="1767"/>
      <c r="AS466" s="1767"/>
      <c r="AT466" s="1767"/>
      <c r="AU466" s="1767"/>
      <c r="AV466" s="1767"/>
      <c r="AW466" s="1767"/>
      <c r="AX466" s="1767"/>
      <c r="AY466" s="1767"/>
      <c r="AZ466" s="1767"/>
      <c r="BA466" s="1767"/>
      <c r="BB466" s="1767"/>
      <c r="BC466" s="1767"/>
      <c r="BD466" s="1767"/>
      <c r="BE466" s="1767"/>
      <c r="BF466" s="1767"/>
      <c r="BG466" s="1767"/>
      <c r="BH466" s="1767"/>
      <c r="BI466" s="1767"/>
      <c r="BJ466" s="1767"/>
      <c r="BK466" s="1767"/>
      <c r="BL466" s="1767"/>
      <c r="BM466" s="1767"/>
      <c r="BN466" s="1767"/>
      <c r="BO466" s="1767"/>
      <c r="BP466" s="1767"/>
      <c r="BQ466" s="1767"/>
      <c r="BR466" s="1767"/>
      <c r="BS466" s="1767"/>
      <c r="BT466" s="1767"/>
      <c r="BU466" s="1767"/>
      <c r="BV466" s="1768"/>
      <c r="BW466" s="453"/>
    </row>
    <row r="467" spans="1:88" ht="15" customHeight="1" x14ac:dyDescent="0.2">
      <c r="A467" s="1752"/>
      <c r="B467" s="742"/>
      <c r="C467" s="1766"/>
      <c r="D467" s="1767"/>
      <c r="E467" s="1767"/>
      <c r="F467" s="1767"/>
      <c r="G467" s="1767"/>
      <c r="H467" s="1767"/>
      <c r="I467" s="1767"/>
      <c r="J467" s="1767"/>
      <c r="K467" s="1767"/>
      <c r="L467" s="1767"/>
      <c r="M467" s="1767"/>
      <c r="N467" s="1767"/>
      <c r="O467" s="1767"/>
      <c r="P467" s="1767"/>
      <c r="Q467" s="1767"/>
      <c r="R467" s="1767"/>
      <c r="S467" s="1767"/>
      <c r="T467" s="1767"/>
      <c r="U467" s="1767"/>
      <c r="V467" s="1767"/>
      <c r="W467" s="1767"/>
      <c r="X467" s="1767"/>
      <c r="Y467" s="1767"/>
      <c r="Z467" s="1767"/>
      <c r="AA467" s="1767"/>
      <c r="AB467" s="1767"/>
      <c r="AC467" s="1767"/>
      <c r="AD467" s="1767"/>
      <c r="AE467" s="1767"/>
      <c r="AF467" s="1767"/>
      <c r="AG467" s="1767"/>
      <c r="AH467" s="1767"/>
      <c r="AI467" s="1767"/>
      <c r="AJ467" s="1767"/>
      <c r="AK467" s="1767"/>
      <c r="AL467" s="1767"/>
      <c r="AM467" s="1767"/>
      <c r="AN467" s="1767"/>
      <c r="AO467" s="1767"/>
      <c r="AP467" s="1767"/>
      <c r="AQ467" s="1767"/>
      <c r="AR467" s="1767"/>
      <c r="AS467" s="1767"/>
      <c r="AT467" s="1767"/>
      <c r="AU467" s="1767"/>
      <c r="AV467" s="1767"/>
      <c r="AW467" s="1767"/>
      <c r="AX467" s="1767"/>
      <c r="AY467" s="1767"/>
      <c r="AZ467" s="1767"/>
      <c r="BA467" s="1767"/>
      <c r="BB467" s="1767"/>
      <c r="BC467" s="1767"/>
      <c r="BD467" s="1767"/>
      <c r="BE467" s="1767"/>
      <c r="BF467" s="1767"/>
      <c r="BG467" s="1767"/>
      <c r="BH467" s="1767"/>
      <c r="BI467" s="1767"/>
      <c r="BJ467" s="1767"/>
      <c r="BK467" s="1767"/>
      <c r="BL467" s="1767"/>
      <c r="BM467" s="1767"/>
      <c r="BN467" s="1767"/>
      <c r="BO467" s="1767"/>
      <c r="BP467" s="1767"/>
      <c r="BQ467" s="1767"/>
      <c r="BR467" s="1767"/>
      <c r="BS467" s="1767"/>
      <c r="BT467" s="1767"/>
      <c r="BU467" s="1767"/>
      <c r="BV467" s="1768"/>
      <c r="BW467" s="453"/>
    </row>
    <row r="468" spans="1:88" ht="15" customHeight="1" x14ac:dyDescent="0.2">
      <c r="A468" s="1752"/>
      <c r="B468" s="742"/>
      <c r="C468" s="1766"/>
      <c r="D468" s="1767"/>
      <c r="E468" s="1767"/>
      <c r="F468" s="1767"/>
      <c r="G468" s="1767"/>
      <c r="H468" s="1767"/>
      <c r="I468" s="1767"/>
      <c r="J468" s="1767"/>
      <c r="K468" s="1767"/>
      <c r="L468" s="1767"/>
      <c r="M468" s="1767"/>
      <c r="N468" s="1767"/>
      <c r="O468" s="1767"/>
      <c r="P468" s="1767"/>
      <c r="Q468" s="1767"/>
      <c r="R468" s="1767"/>
      <c r="S468" s="1767"/>
      <c r="T468" s="1767"/>
      <c r="U468" s="1767"/>
      <c r="V468" s="1767"/>
      <c r="W468" s="1767"/>
      <c r="X468" s="1767"/>
      <c r="Y468" s="1767"/>
      <c r="Z468" s="1767"/>
      <c r="AA468" s="1767"/>
      <c r="AB468" s="1767"/>
      <c r="AC468" s="1767"/>
      <c r="AD468" s="1767"/>
      <c r="AE468" s="1767"/>
      <c r="AF468" s="1767"/>
      <c r="AG468" s="1767"/>
      <c r="AH468" s="1767"/>
      <c r="AI468" s="1767"/>
      <c r="AJ468" s="1767"/>
      <c r="AK468" s="1767"/>
      <c r="AL468" s="1767"/>
      <c r="AM468" s="1767"/>
      <c r="AN468" s="1767"/>
      <c r="AO468" s="1767"/>
      <c r="AP468" s="1767"/>
      <c r="AQ468" s="1767"/>
      <c r="AR468" s="1767"/>
      <c r="AS468" s="1767"/>
      <c r="AT468" s="1767"/>
      <c r="AU468" s="1767"/>
      <c r="AV468" s="1767"/>
      <c r="AW468" s="1767"/>
      <c r="AX468" s="1767"/>
      <c r="AY468" s="1767"/>
      <c r="AZ468" s="1767"/>
      <c r="BA468" s="1767"/>
      <c r="BB468" s="1767"/>
      <c r="BC468" s="1767"/>
      <c r="BD468" s="1767"/>
      <c r="BE468" s="1767"/>
      <c r="BF468" s="1767"/>
      <c r="BG468" s="1767"/>
      <c r="BH468" s="1767"/>
      <c r="BI468" s="1767"/>
      <c r="BJ468" s="1767"/>
      <c r="BK468" s="1767"/>
      <c r="BL468" s="1767"/>
      <c r="BM468" s="1767"/>
      <c r="BN468" s="1767"/>
      <c r="BO468" s="1767"/>
      <c r="BP468" s="1767"/>
      <c r="BQ468" s="1767"/>
      <c r="BR468" s="1767"/>
      <c r="BS468" s="1767"/>
      <c r="BT468" s="1767"/>
      <c r="BU468" s="1767"/>
      <c r="BV468" s="1768"/>
      <c r="BW468" s="443"/>
    </row>
    <row r="469" spans="1:88" ht="15" customHeight="1" x14ac:dyDescent="0.2">
      <c r="A469" s="1752"/>
      <c r="B469" s="742"/>
      <c r="C469" s="1766"/>
      <c r="D469" s="1767"/>
      <c r="E469" s="1767"/>
      <c r="F469" s="1767"/>
      <c r="G469" s="1767"/>
      <c r="H469" s="1767"/>
      <c r="I469" s="1767"/>
      <c r="J469" s="1767"/>
      <c r="K469" s="1767"/>
      <c r="L469" s="1767"/>
      <c r="M469" s="1767"/>
      <c r="N469" s="1767"/>
      <c r="O469" s="1767"/>
      <c r="P469" s="1767"/>
      <c r="Q469" s="1767"/>
      <c r="R469" s="1767"/>
      <c r="S469" s="1767"/>
      <c r="T469" s="1767"/>
      <c r="U469" s="1767"/>
      <c r="V469" s="1767"/>
      <c r="W469" s="1767"/>
      <c r="X469" s="1767"/>
      <c r="Y469" s="1767"/>
      <c r="Z469" s="1767"/>
      <c r="AA469" s="1767"/>
      <c r="AB469" s="1767"/>
      <c r="AC469" s="1767"/>
      <c r="AD469" s="1767"/>
      <c r="AE469" s="1767"/>
      <c r="AF469" s="1767"/>
      <c r="AG469" s="1767"/>
      <c r="AH469" s="1767"/>
      <c r="AI469" s="1767"/>
      <c r="AJ469" s="1767"/>
      <c r="AK469" s="1767"/>
      <c r="AL469" s="1767"/>
      <c r="AM469" s="1767"/>
      <c r="AN469" s="1767"/>
      <c r="AO469" s="1767"/>
      <c r="AP469" s="1767"/>
      <c r="AQ469" s="1767"/>
      <c r="AR469" s="1767"/>
      <c r="AS469" s="1767"/>
      <c r="AT469" s="1767"/>
      <c r="AU469" s="1767"/>
      <c r="AV469" s="1767"/>
      <c r="AW469" s="1767"/>
      <c r="AX469" s="1767"/>
      <c r="AY469" s="1767"/>
      <c r="AZ469" s="1767"/>
      <c r="BA469" s="1767"/>
      <c r="BB469" s="1767"/>
      <c r="BC469" s="1767"/>
      <c r="BD469" s="1767"/>
      <c r="BE469" s="1767"/>
      <c r="BF469" s="1767"/>
      <c r="BG469" s="1767"/>
      <c r="BH469" s="1767"/>
      <c r="BI469" s="1767"/>
      <c r="BJ469" s="1767"/>
      <c r="BK469" s="1767"/>
      <c r="BL469" s="1767"/>
      <c r="BM469" s="1767"/>
      <c r="BN469" s="1767"/>
      <c r="BO469" s="1767"/>
      <c r="BP469" s="1767"/>
      <c r="BQ469" s="1767"/>
      <c r="BR469" s="1767"/>
      <c r="BS469" s="1767"/>
      <c r="BT469" s="1767"/>
      <c r="BU469" s="1767"/>
      <c r="BV469" s="1768"/>
      <c r="BW469" s="443"/>
    </row>
    <row r="470" spans="1:88" ht="15" customHeight="1" thickBot="1" x14ac:dyDescent="0.25">
      <c r="A470" s="1752"/>
      <c r="B470" s="742"/>
      <c r="C470" s="1769"/>
      <c r="D470" s="1770"/>
      <c r="E470" s="1770"/>
      <c r="F470" s="1770"/>
      <c r="G470" s="1770"/>
      <c r="H470" s="1770"/>
      <c r="I470" s="1770"/>
      <c r="J470" s="1770"/>
      <c r="K470" s="1770"/>
      <c r="L470" s="1770"/>
      <c r="M470" s="1770"/>
      <c r="N470" s="1770"/>
      <c r="O470" s="1770"/>
      <c r="P470" s="1770"/>
      <c r="Q470" s="1770"/>
      <c r="R470" s="1770"/>
      <c r="S470" s="1770"/>
      <c r="T470" s="1770"/>
      <c r="U470" s="1770"/>
      <c r="V470" s="1770"/>
      <c r="W470" s="1770"/>
      <c r="X470" s="1770"/>
      <c r="Y470" s="1770"/>
      <c r="Z470" s="1770"/>
      <c r="AA470" s="1770"/>
      <c r="AB470" s="1770"/>
      <c r="AC470" s="1770"/>
      <c r="AD470" s="1770"/>
      <c r="AE470" s="1770"/>
      <c r="AF470" s="1770"/>
      <c r="AG470" s="1770"/>
      <c r="AH470" s="1770"/>
      <c r="AI470" s="1770"/>
      <c r="AJ470" s="1770"/>
      <c r="AK470" s="1770"/>
      <c r="AL470" s="1770"/>
      <c r="AM470" s="1770"/>
      <c r="AN470" s="1770"/>
      <c r="AO470" s="1770"/>
      <c r="AP470" s="1770"/>
      <c r="AQ470" s="1770"/>
      <c r="AR470" s="1770"/>
      <c r="AS470" s="1770"/>
      <c r="AT470" s="1770"/>
      <c r="AU470" s="1770"/>
      <c r="AV470" s="1770"/>
      <c r="AW470" s="1770"/>
      <c r="AX470" s="1770"/>
      <c r="AY470" s="1770"/>
      <c r="AZ470" s="1770"/>
      <c r="BA470" s="1770"/>
      <c r="BB470" s="1770"/>
      <c r="BC470" s="1770"/>
      <c r="BD470" s="1770"/>
      <c r="BE470" s="1770"/>
      <c r="BF470" s="1770"/>
      <c r="BG470" s="1770"/>
      <c r="BH470" s="1770"/>
      <c r="BI470" s="1770"/>
      <c r="BJ470" s="1770"/>
      <c r="BK470" s="1770"/>
      <c r="BL470" s="1770"/>
      <c r="BM470" s="1770"/>
      <c r="BN470" s="1770"/>
      <c r="BO470" s="1770"/>
      <c r="BP470" s="1770"/>
      <c r="BQ470" s="1770"/>
      <c r="BR470" s="1770"/>
      <c r="BS470" s="1770"/>
      <c r="BT470" s="1770"/>
      <c r="BU470" s="1770"/>
      <c r="BV470" s="1771"/>
      <c r="BW470" s="443"/>
    </row>
    <row r="471" spans="1:88" ht="15" customHeight="1" thickBot="1" x14ac:dyDescent="0.25">
      <c r="A471" s="743"/>
      <c r="B471" s="666"/>
      <c r="C471" s="666"/>
      <c r="D471" s="666"/>
      <c r="E471" s="666"/>
      <c r="F471" s="666"/>
      <c r="G471" s="666"/>
      <c r="H471" s="666"/>
      <c r="I471" s="666"/>
      <c r="J471" s="666"/>
      <c r="K471" s="666"/>
      <c r="L471" s="666"/>
      <c r="M471" s="666"/>
      <c r="N471" s="666"/>
      <c r="O471" s="666"/>
      <c r="P471" s="666"/>
      <c r="Q471" s="666"/>
      <c r="R471" s="666"/>
      <c r="S471" s="666"/>
      <c r="T471" s="666"/>
      <c r="U471" s="666"/>
      <c r="V471" s="666"/>
      <c r="W471" s="666"/>
      <c r="X471" s="666"/>
      <c r="Y471" s="666"/>
      <c r="Z471" s="666"/>
      <c r="AA471" s="666"/>
      <c r="AB471" s="666"/>
      <c r="AC471" s="666"/>
      <c r="AD471" s="666"/>
      <c r="AE471" s="666"/>
      <c r="AF471" s="666"/>
      <c r="AG471" s="666"/>
      <c r="AH471" s="666"/>
      <c r="AI471" s="666"/>
      <c r="AJ471" s="666"/>
      <c r="AK471" s="666"/>
      <c r="AL471" s="666"/>
      <c r="AM471" s="666"/>
      <c r="AN471" s="666"/>
      <c r="AO471" s="666"/>
      <c r="AP471" s="666"/>
      <c r="AQ471" s="666"/>
      <c r="AR471" s="666"/>
      <c r="AS471" s="666"/>
      <c r="AT471" s="666"/>
      <c r="AU471" s="666"/>
      <c r="AV471" s="666"/>
      <c r="AW471" s="666"/>
      <c r="AX471" s="502"/>
      <c r="AY471" s="502"/>
      <c r="AZ471" s="502"/>
      <c r="BA471" s="502"/>
      <c r="BB471" s="502"/>
      <c r="BC471" s="502"/>
      <c r="BD471" s="666"/>
      <c r="BE471" s="666"/>
      <c r="BF471" s="666"/>
      <c r="BG471" s="666"/>
      <c r="BH471" s="666"/>
      <c r="BI471" s="666"/>
      <c r="BJ471" s="666"/>
      <c r="BK471" s="666"/>
      <c r="BL471" s="666"/>
      <c r="BM471" s="666"/>
      <c r="BN471" s="666"/>
      <c r="BO471" s="666"/>
      <c r="BP471" s="666"/>
      <c r="BQ471" s="666"/>
      <c r="BR471" s="621" t="s">
        <v>1828</v>
      </c>
      <c r="BT471" s="666"/>
      <c r="BU471" s="666"/>
      <c r="BV471" s="666"/>
      <c r="BW471" s="666"/>
      <c r="BX471" s="666"/>
      <c r="BY471" s="666"/>
      <c r="BZ471" s="666"/>
      <c r="CA471" s="666"/>
      <c r="CB471" s="666"/>
      <c r="CC471" s="666"/>
      <c r="CD471" s="666"/>
      <c r="CE471" s="666"/>
      <c r="CF471" s="666"/>
      <c r="CG471" s="666"/>
      <c r="CH471" s="666"/>
      <c r="CI471" s="666"/>
      <c r="CJ471" s="666"/>
    </row>
    <row r="472" spans="1:88" ht="15" customHeight="1" x14ac:dyDescent="0.25">
      <c r="C472" s="1673" t="s">
        <v>1202</v>
      </c>
      <c r="D472" s="1674"/>
      <c r="E472" s="1674"/>
      <c r="F472" s="1674"/>
      <c r="G472" s="1674"/>
      <c r="H472" s="1674"/>
      <c r="I472" s="1674"/>
      <c r="J472" s="1674"/>
      <c r="K472" s="1745" t="str">
        <f>K87</f>
        <v>Janeth Patricia Cando Arias</v>
      </c>
      <c r="L472" s="1745"/>
      <c r="M472" s="1745"/>
      <c r="N472" s="1745"/>
      <c r="O472" s="1745"/>
      <c r="P472" s="1745"/>
      <c r="Q472" s="1745"/>
      <c r="R472" s="1745"/>
      <c r="S472" s="1745"/>
      <c r="T472" s="1745"/>
      <c r="U472" s="1745"/>
      <c r="V472" s="1745"/>
      <c r="W472" s="1745"/>
      <c r="X472" s="1745"/>
      <c r="Y472" s="1745"/>
      <c r="Z472" s="1745"/>
      <c r="AA472" s="1745"/>
      <c r="AB472" s="1745"/>
      <c r="AC472" s="1745"/>
      <c r="AD472" s="1745"/>
      <c r="AE472" s="1745"/>
      <c r="AF472" s="1745"/>
      <c r="AG472" s="1745"/>
      <c r="AH472" s="1745"/>
      <c r="AI472" s="1745"/>
      <c r="AJ472" s="1745"/>
      <c r="AK472" s="1745"/>
      <c r="AL472" s="1745"/>
      <c r="AM472" s="1745"/>
      <c r="AN472" s="1745"/>
      <c r="AO472" s="1675" t="s">
        <v>466</v>
      </c>
      <c r="AP472" s="1675"/>
      <c r="AQ472" s="1675"/>
      <c r="AR472" s="1675"/>
      <c r="AS472" s="1675"/>
      <c r="AT472" s="1675"/>
      <c r="AU472" s="1675"/>
      <c r="AV472" s="1675"/>
      <c r="AW472" s="1675"/>
      <c r="AX472" s="1637" t="str">
        <f>AX87</f>
        <v>Coronel Souper N° 4060, Departamento: N°2502 B, Edificio Mirador Souper</v>
      </c>
      <c r="AY472" s="1637"/>
      <c r="AZ472" s="1637"/>
      <c r="BA472" s="1637"/>
      <c r="BB472" s="1637"/>
      <c r="BC472" s="1637"/>
      <c r="BD472" s="1637"/>
      <c r="BE472" s="1637"/>
      <c r="BF472" s="1637"/>
      <c r="BG472" s="1637"/>
      <c r="BH472" s="1637"/>
      <c r="BI472" s="1637"/>
      <c r="BJ472" s="1637"/>
      <c r="BK472" s="1637"/>
      <c r="BL472" s="1637"/>
      <c r="BM472" s="1637"/>
      <c r="BN472" s="1637"/>
      <c r="BO472" s="1637"/>
      <c r="BP472" s="1637"/>
      <c r="BQ472" s="1637"/>
      <c r="BR472" s="1637"/>
      <c r="BS472" s="1637"/>
      <c r="BT472" s="1637"/>
      <c r="BU472" s="1637"/>
      <c r="BV472" s="1638"/>
      <c r="BW472" s="443"/>
    </row>
    <row r="473" spans="1:88" ht="15" customHeight="1" thickBot="1" x14ac:dyDescent="0.25">
      <c r="C473" s="1640" t="s">
        <v>1203</v>
      </c>
      <c r="D473" s="1617"/>
      <c r="E473" s="1617"/>
      <c r="F473" s="1617"/>
      <c r="G473" s="1617"/>
      <c r="H473" s="1617"/>
      <c r="I473" s="1617"/>
      <c r="J473" s="1617"/>
      <c r="K473" s="1784" t="str">
        <f>K88</f>
        <v>22.959.221-1</v>
      </c>
      <c r="L473" s="1784"/>
      <c r="M473" s="1784"/>
      <c r="N473" s="1784"/>
      <c r="O473" s="1784"/>
      <c r="P473" s="1784"/>
      <c r="Q473" s="1784"/>
      <c r="R473" s="1784"/>
      <c r="S473" s="1784"/>
      <c r="T473" s="1784"/>
      <c r="U473" s="1784"/>
      <c r="V473" s="1784"/>
      <c r="W473" s="1784"/>
      <c r="X473" s="1784"/>
      <c r="Y473" s="1784"/>
      <c r="Z473" s="1784"/>
      <c r="AA473" s="1784"/>
      <c r="AB473" s="1784"/>
      <c r="AC473" s="1784"/>
      <c r="AD473" s="1784"/>
      <c r="AE473" s="1784"/>
      <c r="AF473" s="1784"/>
      <c r="AG473" s="1784"/>
      <c r="AH473" s="1784"/>
      <c r="AI473" s="1784"/>
      <c r="AJ473" s="1784"/>
      <c r="AK473" s="1784"/>
      <c r="AL473" s="1784"/>
      <c r="AM473" s="1784"/>
      <c r="AN473" s="1784"/>
      <c r="AO473" s="1641" t="s">
        <v>908</v>
      </c>
      <c r="AP473" s="1641"/>
      <c r="AQ473" s="1641"/>
      <c r="AR473" s="1641"/>
      <c r="AS473" s="1641"/>
      <c r="AT473" s="1641"/>
      <c r="AU473" s="1641"/>
      <c r="AV473" s="1641"/>
      <c r="AW473" s="1641"/>
      <c r="AX473" s="1617" t="str">
        <f>AX88</f>
        <v>AGH -1548</v>
      </c>
      <c r="AY473" s="1617"/>
      <c r="AZ473" s="1617"/>
      <c r="BA473" s="1617"/>
      <c r="BB473" s="1617"/>
      <c r="BC473" s="1617"/>
      <c r="BD473" s="1617"/>
      <c r="BE473" s="1617"/>
      <c r="BF473" s="1617"/>
      <c r="BG473" s="1617"/>
      <c r="BH473" s="1617"/>
      <c r="BI473" s="1617"/>
      <c r="BJ473" s="1617"/>
      <c r="BK473" s="1617"/>
      <c r="BL473" s="1617"/>
      <c r="BM473" s="1617"/>
      <c r="BN473" s="1617"/>
      <c r="BO473" s="1617"/>
      <c r="BP473" s="1617"/>
      <c r="BQ473" s="1617"/>
      <c r="BR473" s="1617"/>
      <c r="BS473" s="1617"/>
      <c r="BT473" s="1617"/>
      <c r="BU473" s="1617"/>
      <c r="BV473" s="1618"/>
      <c r="BW473" s="443"/>
    </row>
    <row r="474" spans="1:88" ht="15" customHeight="1" thickBot="1" x14ac:dyDescent="0.25">
      <c r="D474" s="444"/>
      <c r="BW474" s="443"/>
    </row>
    <row r="475" spans="1:88" ht="15" customHeight="1" x14ac:dyDescent="0.2">
      <c r="A475" s="1752" t="s">
        <v>1917</v>
      </c>
      <c r="B475" s="742"/>
      <c r="C475" s="1754" t="s">
        <v>1915</v>
      </c>
      <c r="D475" s="1755"/>
      <c r="E475" s="1755"/>
      <c r="F475" s="1755"/>
      <c r="G475" s="1755"/>
      <c r="H475" s="1755"/>
      <c r="I475" s="1755"/>
      <c r="J475" s="1755"/>
      <c r="K475" s="1755"/>
      <c r="L475" s="1755"/>
      <c r="M475" s="1755"/>
      <c r="N475" s="1755"/>
      <c r="O475" s="1755"/>
      <c r="P475" s="1755"/>
      <c r="Q475" s="1755"/>
      <c r="R475" s="1755"/>
      <c r="S475" s="1755"/>
      <c r="T475" s="1755"/>
      <c r="U475" s="1755"/>
      <c r="V475" s="1755"/>
      <c r="W475" s="1755"/>
      <c r="X475" s="1755"/>
      <c r="Y475" s="1755"/>
      <c r="Z475" s="1755"/>
      <c r="AA475" s="1755"/>
      <c r="AB475" s="1755"/>
      <c r="AC475" s="1755"/>
      <c r="AD475" s="1755"/>
      <c r="AE475" s="1755"/>
      <c r="AF475" s="1755"/>
      <c r="AG475" s="1755"/>
      <c r="AH475" s="1755"/>
      <c r="AI475" s="1755"/>
      <c r="AJ475" s="1755"/>
      <c r="AK475" s="1755"/>
      <c r="AL475" s="1755"/>
      <c r="AM475" s="1755"/>
      <c r="AN475" s="1755"/>
      <c r="AO475" s="1755"/>
      <c r="AP475" s="1755"/>
      <c r="AQ475" s="1755"/>
      <c r="AR475" s="1755"/>
      <c r="AS475" s="1755"/>
      <c r="AT475" s="1755"/>
      <c r="AU475" s="1755"/>
      <c r="AV475" s="1755"/>
      <c r="AW475" s="1755"/>
      <c r="AX475" s="1755"/>
      <c r="AY475" s="1755"/>
      <c r="AZ475" s="1755"/>
      <c r="BA475" s="1755"/>
      <c r="BB475" s="1755"/>
      <c r="BC475" s="1755"/>
      <c r="BD475" s="1755"/>
      <c r="BE475" s="1755"/>
      <c r="BF475" s="1755"/>
      <c r="BG475" s="1755"/>
      <c r="BH475" s="1755"/>
      <c r="BI475" s="1755"/>
      <c r="BJ475" s="1755"/>
      <c r="BK475" s="1755"/>
      <c r="BL475" s="1755"/>
      <c r="BM475" s="1755"/>
      <c r="BN475" s="1755"/>
      <c r="BO475" s="1755"/>
      <c r="BP475" s="1755"/>
      <c r="BQ475" s="1755"/>
      <c r="BR475" s="1755"/>
      <c r="BS475" s="1755"/>
      <c r="BT475" s="1755"/>
      <c r="BU475" s="1755"/>
      <c r="BV475" s="1756"/>
      <c r="BW475" s="443"/>
    </row>
    <row r="476" spans="1:88" ht="15" customHeight="1" x14ac:dyDescent="0.2">
      <c r="A476" s="1752"/>
      <c r="B476" s="742"/>
      <c r="C476" s="1757"/>
      <c r="D476" s="1758"/>
      <c r="E476" s="1758"/>
      <c r="F476" s="1758"/>
      <c r="G476" s="1758"/>
      <c r="H476" s="1758"/>
      <c r="I476" s="1758"/>
      <c r="J476" s="1758"/>
      <c r="K476" s="1758"/>
      <c r="L476" s="1758"/>
      <c r="M476" s="1758"/>
      <c r="N476" s="1758"/>
      <c r="O476" s="1758"/>
      <c r="P476" s="1758"/>
      <c r="Q476" s="1758"/>
      <c r="R476" s="1758"/>
      <c r="S476" s="1758"/>
      <c r="T476" s="1758"/>
      <c r="U476" s="1758"/>
      <c r="V476" s="1758"/>
      <c r="W476" s="1758"/>
      <c r="X476" s="1758"/>
      <c r="Y476" s="1758"/>
      <c r="Z476" s="1758"/>
      <c r="AA476" s="1758"/>
      <c r="AB476" s="1758"/>
      <c r="AC476" s="1758"/>
      <c r="AD476" s="1758"/>
      <c r="AE476" s="1758"/>
      <c r="AF476" s="1758"/>
      <c r="AG476" s="1758"/>
      <c r="AH476" s="1758"/>
      <c r="AI476" s="1758"/>
      <c r="AJ476" s="1758"/>
      <c r="AK476" s="1758"/>
      <c r="AL476" s="1758"/>
      <c r="AM476" s="1758"/>
      <c r="AN476" s="1758"/>
      <c r="AO476" s="1758"/>
      <c r="AP476" s="1758"/>
      <c r="AQ476" s="1758"/>
      <c r="AR476" s="1758"/>
      <c r="AS476" s="1758"/>
      <c r="AT476" s="1758"/>
      <c r="AU476" s="1758"/>
      <c r="AV476" s="1758"/>
      <c r="AW476" s="1758"/>
      <c r="AX476" s="1758"/>
      <c r="AY476" s="1758"/>
      <c r="AZ476" s="1758"/>
      <c r="BA476" s="1758"/>
      <c r="BB476" s="1758"/>
      <c r="BC476" s="1758"/>
      <c r="BD476" s="1758"/>
      <c r="BE476" s="1758"/>
      <c r="BF476" s="1758"/>
      <c r="BG476" s="1758"/>
      <c r="BH476" s="1758"/>
      <c r="BI476" s="1758"/>
      <c r="BJ476" s="1758"/>
      <c r="BK476" s="1758"/>
      <c r="BL476" s="1758"/>
      <c r="BM476" s="1758"/>
      <c r="BN476" s="1758"/>
      <c r="BO476" s="1758"/>
      <c r="BP476" s="1758"/>
      <c r="BQ476" s="1758"/>
      <c r="BR476" s="1758"/>
      <c r="BS476" s="1758"/>
      <c r="BT476" s="1758"/>
      <c r="BU476" s="1758"/>
      <c r="BV476" s="1759"/>
      <c r="BW476" s="443"/>
    </row>
    <row r="477" spans="1:88" ht="15" customHeight="1" thickBot="1" x14ac:dyDescent="0.25">
      <c r="A477" s="1752"/>
      <c r="B477" s="742"/>
      <c r="C477" s="1760"/>
      <c r="D477" s="1761"/>
      <c r="E477" s="1761"/>
      <c r="F477" s="1761"/>
      <c r="G477" s="1761"/>
      <c r="H477" s="1761"/>
      <c r="I477" s="1761"/>
      <c r="J477" s="1761"/>
      <c r="K477" s="1761"/>
      <c r="L477" s="1761"/>
      <c r="M477" s="1761"/>
      <c r="N477" s="1761"/>
      <c r="O477" s="1761"/>
      <c r="P477" s="1761"/>
      <c r="Q477" s="1761"/>
      <c r="R477" s="1761"/>
      <c r="S477" s="1761"/>
      <c r="T477" s="1761"/>
      <c r="U477" s="1761"/>
      <c r="V477" s="1761"/>
      <c r="W477" s="1761"/>
      <c r="X477" s="1761"/>
      <c r="Y477" s="1761"/>
      <c r="Z477" s="1761"/>
      <c r="AA477" s="1761"/>
      <c r="AB477" s="1761"/>
      <c r="AC477" s="1761"/>
      <c r="AD477" s="1761"/>
      <c r="AE477" s="1761"/>
      <c r="AF477" s="1761"/>
      <c r="AG477" s="1761"/>
      <c r="AH477" s="1761"/>
      <c r="AI477" s="1761"/>
      <c r="AJ477" s="1761"/>
      <c r="AK477" s="1761"/>
      <c r="AL477" s="1761"/>
      <c r="AM477" s="1761"/>
      <c r="AN477" s="1761"/>
      <c r="AO477" s="1761"/>
      <c r="AP477" s="1761"/>
      <c r="AQ477" s="1761"/>
      <c r="AR477" s="1761"/>
      <c r="AS477" s="1761"/>
      <c r="AT477" s="1761"/>
      <c r="AU477" s="1761"/>
      <c r="AV477" s="1761"/>
      <c r="AW477" s="1761"/>
      <c r="AX477" s="1761"/>
      <c r="AY477" s="1761"/>
      <c r="AZ477" s="1761"/>
      <c r="BA477" s="1761"/>
      <c r="BB477" s="1761"/>
      <c r="BC477" s="1761"/>
      <c r="BD477" s="1761"/>
      <c r="BE477" s="1761"/>
      <c r="BF477" s="1761"/>
      <c r="BG477" s="1761"/>
      <c r="BH477" s="1761"/>
      <c r="BI477" s="1761"/>
      <c r="BJ477" s="1761"/>
      <c r="BK477" s="1761"/>
      <c r="BL477" s="1761"/>
      <c r="BM477" s="1761"/>
      <c r="BN477" s="1761"/>
      <c r="BO477" s="1761"/>
      <c r="BP477" s="1761"/>
      <c r="BQ477" s="1761"/>
      <c r="BR477" s="1761"/>
      <c r="BS477" s="1761"/>
      <c r="BT477" s="1761"/>
      <c r="BU477" s="1761"/>
      <c r="BV477" s="1762"/>
      <c r="BW477" s="443"/>
    </row>
    <row r="478" spans="1:88" ht="15" customHeight="1" x14ac:dyDescent="0.2">
      <c r="A478" s="1752"/>
      <c r="B478" s="742"/>
      <c r="C478" s="744">
        <f>'Anexo (2)'!B7</f>
        <v>0</v>
      </c>
      <c r="D478" s="510"/>
      <c r="E478" s="510"/>
      <c r="F478" s="510"/>
      <c r="G478" s="510"/>
      <c r="H478" s="510"/>
      <c r="I478" s="510"/>
      <c r="J478" s="510"/>
      <c r="K478" s="510"/>
      <c r="L478" s="510"/>
      <c r="M478" s="510"/>
      <c r="N478" s="510"/>
      <c r="O478" s="510"/>
      <c r="P478" s="510"/>
      <c r="Q478" s="510"/>
      <c r="R478" s="510"/>
      <c r="S478" s="510"/>
      <c r="T478" s="510"/>
      <c r="U478" s="510"/>
      <c r="V478" s="510"/>
      <c r="W478" s="510"/>
      <c r="X478" s="510"/>
      <c r="Y478" s="510"/>
      <c r="Z478" s="510"/>
      <c r="AA478" s="510"/>
      <c r="AB478" s="510"/>
      <c r="AC478" s="510"/>
      <c r="AD478" s="510"/>
      <c r="AE478" s="510"/>
      <c r="AF478" s="510"/>
      <c r="AG478" s="510"/>
      <c r="AH478" s="510"/>
      <c r="AI478" s="510"/>
      <c r="AJ478" s="510"/>
      <c r="AK478" s="510"/>
      <c r="AL478" s="510"/>
      <c r="AM478" s="510"/>
      <c r="AN478" s="510"/>
      <c r="AO478" s="510"/>
      <c r="AP478" s="510"/>
      <c r="AQ478" s="510"/>
      <c r="AR478" s="510"/>
      <c r="AS478" s="510"/>
      <c r="AT478" s="510"/>
      <c r="AU478" s="510"/>
      <c r="AV478" s="510"/>
      <c r="AW478" s="510"/>
      <c r="AX478" s="510"/>
      <c r="AY478" s="510"/>
      <c r="AZ478" s="510"/>
      <c r="BA478" s="510"/>
      <c r="BB478" s="510"/>
      <c r="BC478" s="510"/>
      <c r="BD478" s="510"/>
      <c r="BE478" s="510"/>
      <c r="BF478" s="510"/>
      <c r="BG478" s="510"/>
      <c r="BH478" s="510"/>
      <c r="BI478" s="510"/>
      <c r="BJ478" s="510"/>
      <c r="BK478" s="510"/>
      <c r="BL478" s="510"/>
      <c r="BM478" s="510"/>
      <c r="BN478" s="510"/>
      <c r="BO478" s="510"/>
      <c r="BP478" s="510"/>
      <c r="BQ478" s="510"/>
      <c r="BR478" s="510"/>
      <c r="BS478" s="510"/>
      <c r="BT478" s="510"/>
      <c r="BU478" s="510"/>
      <c r="BV478" s="745"/>
      <c r="BW478" s="443"/>
    </row>
    <row r="479" spans="1:88" ht="15" customHeight="1" x14ac:dyDescent="0.2">
      <c r="A479" s="1752"/>
      <c r="B479" s="742"/>
      <c r="C479" s="746"/>
      <c r="D479" s="666"/>
      <c r="E479" s="666"/>
      <c r="F479" s="666"/>
      <c r="G479" s="666"/>
      <c r="H479" s="666"/>
      <c r="I479" s="666"/>
      <c r="J479" s="666"/>
      <c r="K479" s="666"/>
      <c r="L479" s="666"/>
      <c r="M479" s="666"/>
      <c r="N479" s="666"/>
      <c r="O479" s="666"/>
      <c r="P479" s="666"/>
      <c r="Q479" s="666"/>
      <c r="R479" s="666"/>
      <c r="S479" s="666"/>
      <c r="T479" s="666"/>
      <c r="U479" s="666"/>
      <c r="V479" s="666"/>
      <c r="W479" s="666"/>
      <c r="X479" s="666"/>
      <c r="Y479" s="666"/>
      <c r="Z479" s="666"/>
      <c r="AA479" s="666"/>
      <c r="AB479" s="666"/>
      <c r="AC479" s="666"/>
      <c r="AD479" s="666"/>
      <c r="AE479" s="666"/>
      <c r="AF479" s="666"/>
      <c r="AG479" s="666"/>
      <c r="AH479" s="666"/>
      <c r="AI479" s="666"/>
      <c r="AJ479" s="666"/>
      <c r="AK479" s="666"/>
      <c r="AL479" s="666"/>
      <c r="AM479" s="666"/>
      <c r="AN479" s="666"/>
      <c r="AO479" s="666"/>
      <c r="AP479" s="666"/>
      <c r="AQ479" s="666"/>
      <c r="AR479" s="666"/>
      <c r="AS479" s="666"/>
      <c r="AT479" s="666"/>
      <c r="AU479" s="666"/>
      <c r="AV479" s="666"/>
      <c r="AW479" s="666"/>
      <c r="AX479" s="666"/>
      <c r="AY479" s="666"/>
      <c r="AZ479" s="666"/>
      <c r="BA479" s="666"/>
      <c r="BB479" s="666"/>
      <c r="BC479" s="666"/>
      <c r="BD479" s="666"/>
      <c r="BE479" s="666"/>
      <c r="BF479" s="666"/>
      <c r="BG479" s="666"/>
      <c r="BH479" s="666"/>
      <c r="BI479" s="666"/>
      <c r="BJ479" s="666"/>
      <c r="BK479" s="666"/>
      <c r="BL479" s="666"/>
      <c r="BM479" s="666"/>
      <c r="BN479" s="666"/>
      <c r="BO479" s="666"/>
      <c r="BP479" s="666"/>
      <c r="BQ479" s="666"/>
      <c r="BR479" s="666"/>
      <c r="BS479" s="666"/>
      <c r="BT479" s="666"/>
      <c r="BU479" s="666"/>
      <c r="BV479" s="747"/>
      <c r="BW479" s="443"/>
    </row>
    <row r="480" spans="1:88" ht="15" customHeight="1" x14ac:dyDescent="0.2">
      <c r="A480" s="1752"/>
      <c r="B480" s="742"/>
      <c r="C480" s="746"/>
      <c r="D480" s="666"/>
      <c r="E480" s="666"/>
      <c r="F480" s="666"/>
      <c r="G480" s="666"/>
      <c r="H480" s="666"/>
      <c r="I480" s="666"/>
      <c r="J480" s="666"/>
      <c r="K480" s="666"/>
      <c r="L480" s="666"/>
      <c r="M480" s="666"/>
      <c r="N480" s="666"/>
      <c r="O480" s="666"/>
      <c r="P480" s="666"/>
      <c r="Q480" s="666"/>
      <c r="R480" s="666"/>
      <c r="S480" s="666"/>
      <c r="T480" s="666"/>
      <c r="U480" s="666"/>
      <c r="V480" s="666"/>
      <c r="W480" s="666"/>
      <c r="X480" s="666"/>
      <c r="Y480" s="666"/>
      <c r="Z480" s="666"/>
      <c r="AA480" s="666"/>
      <c r="AB480" s="666"/>
      <c r="AC480" s="666"/>
      <c r="AD480" s="666"/>
      <c r="AE480" s="666"/>
      <c r="AF480" s="666"/>
      <c r="AG480" s="666"/>
      <c r="AH480" s="666"/>
      <c r="AI480" s="666"/>
      <c r="AJ480" s="666"/>
      <c r="AK480" s="666"/>
      <c r="AL480" s="666"/>
      <c r="AM480" s="666"/>
      <c r="AN480" s="666"/>
      <c r="AO480" s="666"/>
      <c r="AP480" s="666"/>
      <c r="AQ480" s="666"/>
      <c r="AR480" s="666"/>
      <c r="AS480" s="666"/>
      <c r="AT480" s="666"/>
      <c r="AU480" s="666"/>
      <c r="AV480" s="666"/>
      <c r="AW480" s="666"/>
      <c r="AX480" s="666"/>
      <c r="AY480" s="666"/>
      <c r="AZ480" s="666"/>
      <c r="BA480" s="666"/>
      <c r="BB480" s="666"/>
      <c r="BC480" s="666"/>
      <c r="BD480" s="666"/>
      <c r="BE480" s="666"/>
      <c r="BF480" s="666"/>
      <c r="BG480" s="666"/>
      <c r="BH480" s="666"/>
      <c r="BI480" s="666"/>
      <c r="BJ480" s="666"/>
      <c r="BK480" s="666"/>
      <c r="BL480" s="666"/>
      <c r="BM480" s="666"/>
      <c r="BN480" s="666"/>
      <c r="BO480" s="666"/>
      <c r="BP480" s="666"/>
      <c r="BQ480" s="666"/>
      <c r="BR480" s="666"/>
      <c r="BS480" s="666"/>
      <c r="BT480" s="666"/>
      <c r="BU480" s="666"/>
      <c r="BV480" s="747"/>
      <c r="BW480" s="443"/>
    </row>
    <row r="481" spans="1:75" ht="15" customHeight="1" x14ac:dyDescent="0.2">
      <c r="A481" s="1752"/>
      <c r="B481" s="742"/>
      <c r="C481" s="746"/>
      <c r="D481" s="666"/>
      <c r="E481" s="666"/>
      <c r="F481" s="666"/>
      <c r="G481" s="666"/>
      <c r="H481" s="666"/>
      <c r="I481" s="666"/>
      <c r="J481" s="666"/>
      <c r="K481" s="666"/>
      <c r="L481" s="666"/>
      <c r="M481" s="666"/>
      <c r="N481" s="666"/>
      <c r="O481" s="666"/>
      <c r="P481" s="666"/>
      <c r="Q481" s="666"/>
      <c r="R481" s="666"/>
      <c r="S481" s="666"/>
      <c r="T481" s="666"/>
      <c r="U481" s="666"/>
      <c r="V481" s="666"/>
      <c r="W481" s="666"/>
      <c r="X481" s="666"/>
      <c r="Y481" s="666"/>
      <c r="Z481" s="666"/>
      <c r="AA481" s="666"/>
      <c r="AB481" s="666"/>
      <c r="AC481" s="666"/>
      <c r="AD481" s="666"/>
      <c r="AE481" s="666"/>
      <c r="AF481" s="666"/>
      <c r="AG481" s="666"/>
      <c r="AH481" s="666"/>
      <c r="AI481" s="666"/>
      <c r="AJ481" s="666"/>
      <c r="AK481" s="666"/>
      <c r="AL481" s="666"/>
      <c r="AM481" s="666"/>
      <c r="AN481" s="666"/>
      <c r="AO481" s="666"/>
      <c r="AP481" s="666"/>
      <c r="AQ481" s="666"/>
      <c r="AR481" s="666"/>
      <c r="AS481" s="666"/>
      <c r="AT481" s="666"/>
      <c r="AU481" s="666"/>
      <c r="AV481" s="666"/>
      <c r="AW481" s="666"/>
      <c r="AX481" s="666"/>
      <c r="AY481" s="666"/>
      <c r="AZ481" s="666"/>
      <c r="BA481" s="666"/>
      <c r="BB481" s="666"/>
      <c r="BC481" s="666"/>
      <c r="BD481" s="666"/>
      <c r="BE481" s="666"/>
      <c r="BF481" s="666"/>
      <c r="BG481" s="666"/>
      <c r="BH481" s="666"/>
      <c r="BI481" s="666"/>
      <c r="BJ481" s="666"/>
      <c r="BK481" s="666"/>
      <c r="BL481" s="666"/>
      <c r="BM481" s="666"/>
      <c r="BN481" s="666"/>
      <c r="BO481" s="666"/>
      <c r="BP481" s="666"/>
      <c r="BQ481" s="666"/>
      <c r="BR481" s="666"/>
      <c r="BS481" s="666"/>
      <c r="BT481" s="666"/>
      <c r="BU481" s="666"/>
      <c r="BV481" s="747"/>
      <c r="BW481" s="443"/>
    </row>
    <row r="482" spans="1:75" ht="15" customHeight="1" x14ac:dyDescent="0.2">
      <c r="A482" s="1752"/>
      <c r="B482" s="742"/>
      <c r="C482" s="746"/>
      <c r="D482" s="666"/>
      <c r="E482" s="666"/>
      <c r="F482" s="666"/>
      <c r="G482" s="666"/>
      <c r="H482" s="666"/>
      <c r="I482" s="666"/>
      <c r="J482" s="666"/>
      <c r="K482" s="666"/>
      <c r="L482" s="666"/>
      <c r="M482" s="666"/>
      <c r="N482" s="666"/>
      <c r="O482" s="666"/>
      <c r="P482" s="666"/>
      <c r="Q482" s="666"/>
      <c r="R482" s="666"/>
      <c r="S482" s="666"/>
      <c r="T482" s="666"/>
      <c r="U482" s="666"/>
      <c r="V482" s="666"/>
      <c r="W482" s="666"/>
      <c r="X482" s="666"/>
      <c r="Y482" s="666"/>
      <c r="Z482" s="666"/>
      <c r="AA482" s="666"/>
      <c r="AB482" s="666"/>
      <c r="AC482" s="666"/>
      <c r="AD482" s="666"/>
      <c r="AE482" s="666"/>
      <c r="AF482" s="666"/>
      <c r="AG482" s="666"/>
      <c r="AH482" s="666"/>
      <c r="AI482" s="666"/>
      <c r="AJ482" s="666"/>
      <c r="AK482" s="666"/>
      <c r="AL482" s="666"/>
      <c r="AM482" s="666"/>
      <c r="AN482" s="666"/>
      <c r="AO482" s="666"/>
      <c r="AP482" s="666"/>
      <c r="AQ482" s="666"/>
      <c r="AR482" s="666"/>
      <c r="AS482" s="666"/>
      <c r="AT482" s="666"/>
      <c r="AU482" s="666"/>
      <c r="AV482" s="666"/>
      <c r="AW482" s="666"/>
      <c r="AX482" s="666"/>
      <c r="AY482" s="666"/>
      <c r="AZ482" s="666"/>
      <c r="BA482" s="666"/>
      <c r="BB482" s="666"/>
      <c r="BC482" s="666"/>
      <c r="BD482" s="666"/>
      <c r="BE482" s="666"/>
      <c r="BF482" s="666"/>
      <c r="BG482" s="666"/>
      <c r="BH482" s="666"/>
      <c r="BI482" s="666"/>
      <c r="BJ482" s="666"/>
      <c r="BK482" s="666"/>
      <c r="BL482" s="666"/>
      <c r="BM482" s="666"/>
      <c r="BN482" s="666"/>
      <c r="BO482" s="666"/>
      <c r="BP482" s="666"/>
      <c r="BQ482" s="666"/>
      <c r="BR482" s="666"/>
      <c r="BS482" s="666"/>
      <c r="BT482" s="666"/>
      <c r="BU482" s="666"/>
      <c r="BV482" s="747"/>
      <c r="BW482" s="443"/>
    </row>
    <row r="483" spans="1:75" ht="15" customHeight="1" x14ac:dyDescent="0.2">
      <c r="A483" s="1752"/>
      <c r="B483" s="742"/>
      <c r="C483" s="746"/>
      <c r="D483" s="666"/>
      <c r="E483" s="666"/>
      <c r="F483" s="666"/>
      <c r="G483" s="666"/>
      <c r="H483" s="666"/>
      <c r="I483" s="666"/>
      <c r="J483" s="666"/>
      <c r="K483" s="666"/>
      <c r="L483" s="666"/>
      <c r="M483" s="666"/>
      <c r="N483" s="666"/>
      <c r="O483" s="666"/>
      <c r="P483" s="666"/>
      <c r="Q483" s="666"/>
      <c r="R483" s="666"/>
      <c r="S483" s="666"/>
      <c r="T483" s="666"/>
      <c r="U483" s="666"/>
      <c r="V483" s="666"/>
      <c r="W483" s="666"/>
      <c r="X483" s="666"/>
      <c r="Y483" s="666"/>
      <c r="Z483" s="666"/>
      <c r="AA483" s="666"/>
      <c r="AB483" s="666"/>
      <c r="AC483" s="666"/>
      <c r="AD483" s="666"/>
      <c r="AE483" s="666"/>
      <c r="AF483" s="666"/>
      <c r="AG483" s="666"/>
      <c r="AH483" s="666"/>
      <c r="AI483" s="666"/>
      <c r="AJ483" s="666"/>
      <c r="AK483" s="666"/>
      <c r="AL483" s="666"/>
      <c r="AM483" s="666"/>
      <c r="AN483" s="666"/>
      <c r="AO483" s="666"/>
      <c r="AP483" s="666"/>
      <c r="AQ483" s="666"/>
      <c r="AR483" s="666"/>
      <c r="AS483" s="666"/>
      <c r="AT483" s="666"/>
      <c r="AU483" s="666"/>
      <c r="AV483" s="666"/>
      <c r="AW483" s="666"/>
      <c r="AX483" s="666"/>
      <c r="AY483" s="666"/>
      <c r="AZ483" s="666"/>
      <c r="BA483" s="666"/>
      <c r="BB483" s="666"/>
      <c r="BC483" s="666"/>
      <c r="BD483" s="666"/>
      <c r="BE483" s="666"/>
      <c r="BF483" s="666"/>
      <c r="BG483" s="666"/>
      <c r="BH483" s="666"/>
      <c r="BI483" s="666"/>
      <c r="BJ483" s="666"/>
      <c r="BK483" s="666"/>
      <c r="BL483" s="666"/>
      <c r="BM483" s="666"/>
      <c r="BN483" s="666"/>
      <c r="BO483" s="666"/>
      <c r="BP483" s="666"/>
      <c r="BQ483" s="666"/>
      <c r="BR483" s="666"/>
      <c r="BS483" s="666"/>
      <c r="BT483" s="666"/>
      <c r="BU483" s="666"/>
      <c r="BV483" s="747"/>
      <c r="BW483" s="443"/>
    </row>
    <row r="484" spans="1:75" ht="15" customHeight="1" x14ac:dyDescent="0.2">
      <c r="A484" s="1752"/>
      <c r="B484" s="742"/>
      <c r="C484" s="746"/>
      <c r="D484" s="666"/>
      <c r="E484" s="666"/>
      <c r="F484" s="666"/>
      <c r="G484" s="666"/>
      <c r="H484" s="666"/>
      <c r="I484" s="666"/>
      <c r="J484" s="666"/>
      <c r="K484" s="666"/>
      <c r="L484" s="666"/>
      <c r="M484" s="666"/>
      <c r="N484" s="666"/>
      <c r="O484" s="666"/>
      <c r="P484" s="666"/>
      <c r="Q484" s="666"/>
      <c r="R484" s="666"/>
      <c r="S484" s="666"/>
      <c r="T484" s="666"/>
      <c r="U484" s="666"/>
      <c r="V484" s="666"/>
      <c r="W484" s="666"/>
      <c r="X484" s="666"/>
      <c r="Y484" s="666"/>
      <c r="Z484" s="666"/>
      <c r="AA484" s="666"/>
      <c r="AB484" s="666"/>
      <c r="AC484" s="666"/>
      <c r="AD484" s="666"/>
      <c r="AE484" s="666"/>
      <c r="AF484" s="666"/>
      <c r="AG484" s="666"/>
      <c r="AH484" s="666"/>
      <c r="AI484" s="666"/>
      <c r="AJ484" s="666"/>
      <c r="AK484" s="666"/>
      <c r="AL484" s="666"/>
      <c r="AM484" s="666"/>
      <c r="AN484" s="666"/>
      <c r="AO484" s="666"/>
      <c r="AP484" s="666"/>
      <c r="AQ484" s="666"/>
      <c r="AR484" s="666"/>
      <c r="AS484" s="666"/>
      <c r="AT484" s="666"/>
      <c r="AU484" s="666"/>
      <c r="AV484" s="666"/>
      <c r="AW484" s="666"/>
      <c r="AX484" s="666"/>
      <c r="AY484" s="666"/>
      <c r="AZ484" s="666"/>
      <c r="BA484" s="666"/>
      <c r="BB484" s="666"/>
      <c r="BC484" s="666"/>
      <c r="BD484" s="666"/>
      <c r="BE484" s="666"/>
      <c r="BF484" s="666"/>
      <c r="BG484" s="666"/>
      <c r="BH484" s="666"/>
      <c r="BI484" s="666"/>
      <c r="BJ484" s="666"/>
      <c r="BK484" s="666"/>
      <c r="BL484" s="666"/>
      <c r="BM484" s="666"/>
      <c r="BN484" s="666"/>
      <c r="BO484" s="666"/>
      <c r="BP484" s="666"/>
      <c r="BQ484" s="666"/>
      <c r="BR484" s="666"/>
      <c r="BS484" s="666"/>
      <c r="BT484" s="666"/>
      <c r="BU484" s="666"/>
      <c r="BV484" s="747"/>
      <c r="BW484" s="443"/>
    </row>
    <row r="485" spans="1:75" ht="15" customHeight="1" x14ac:dyDescent="0.2">
      <c r="A485" s="1752"/>
      <c r="B485" s="742"/>
      <c r="C485" s="746"/>
      <c r="D485" s="666"/>
      <c r="E485" s="666"/>
      <c r="F485" s="666"/>
      <c r="G485" s="666"/>
      <c r="H485" s="666"/>
      <c r="I485" s="666"/>
      <c r="J485" s="666"/>
      <c r="K485" s="666"/>
      <c r="L485" s="666"/>
      <c r="M485" s="666"/>
      <c r="N485" s="666"/>
      <c r="O485" s="666"/>
      <c r="P485" s="666"/>
      <c r="Q485" s="666"/>
      <c r="R485" s="666"/>
      <c r="S485" s="666"/>
      <c r="T485" s="666"/>
      <c r="U485" s="666"/>
      <c r="V485" s="666"/>
      <c r="W485" s="666"/>
      <c r="X485" s="666"/>
      <c r="Y485" s="666"/>
      <c r="Z485" s="666"/>
      <c r="AA485" s="666"/>
      <c r="AB485" s="666"/>
      <c r="AC485" s="666"/>
      <c r="AD485" s="666"/>
      <c r="AE485" s="666"/>
      <c r="AF485" s="666"/>
      <c r="AG485" s="666"/>
      <c r="AH485" s="666"/>
      <c r="AI485" s="666"/>
      <c r="AJ485" s="666"/>
      <c r="AK485" s="666"/>
      <c r="AL485" s="666"/>
      <c r="AM485" s="666"/>
      <c r="AN485" s="666"/>
      <c r="AO485" s="666"/>
      <c r="AP485" s="666"/>
      <c r="AQ485" s="666"/>
      <c r="AR485" s="666"/>
      <c r="AS485" s="666"/>
      <c r="AT485" s="666"/>
      <c r="AU485" s="666"/>
      <c r="AV485" s="666"/>
      <c r="AW485" s="666"/>
      <c r="AX485" s="666"/>
      <c r="AY485" s="666"/>
      <c r="AZ485" s="666"/>
      <c r="BA485" s="666"/>
      <c r="BB485" s="666"/>
      <c r="BC485" s="666"/>
      <c r="BD485" s="666"/>
      <c r="BE485" s="666"/>
      <c r="BF485" s="666"/>
      <c r="BG485" s="666"/>
      <c r="BH485" s="666"/>
      <c r="BI485" s="666"/>
      <c r="BJ485" s="666"/>
      <c r="BK485" s="666"/>
      <c r="BL485" s="666"/>
      <c r="BM485" s="666"/>
      <c r="BN485" s="666"/>
      <c r="BO485" s="666"/>
      <c r="BP485" s="666"/>
      <c r="BQ485" s="666"/>
      <c r="BR485" s="666"/>
      <c r="BS485" s="666"/>
      <c r="BT485" s="666"/>
      <c r="BU485" s="666"/>
      <c r="BV485" s="747"/>
      <c r="BW485" s="443"/>
    </row>
    <row r="486" spans="1:75" ht="15" customHeight="1" x14ac:dyDescent="0.2">
      <c r="A486" s="1752"/>
      <c r="B486" s="742"/>
      <c r="C486" s="746"/>
      <c r="D486" s="666"/>
      <c r="E486" s="666"/>
      <c r="F486" s="666"/>
      <c r="G486" s="666"/>
      <c r="H486" s="666"/>
      <c r="I486" s="666"/>
      <c r="J486" s="666"/>
      <c r="K486" s="666"/>
      <c r="L486" s="666"/>
      <c r="M486" s="666"/>
      <c r="N486" s="666"/>
      <c r="O486" s="666"/>
      <c r="P486" s="666"/>
      <c r="Q486" s="666"/>
      <c r="R486" s="666"/>
      <c r="S486" s="666"/>
      <c r="T486" s="666"/>
      <c r="U486" s="666"/>
      <c r="V486" s="666"/>
      <c r="W486" s="666"/>
      <c r="X486" s="666"/>
      <c r="Y486" s="666"/>
      <c r="Z486" s="666"/>
      <c r="AA486" s="666"/>
      <c r="AB486" s="666"/>
      <c r="AC486" s="666"/>
      <c r="AD486" s="666"/>
      <c r="AE486" s="666"/>
      <c r="AF486" s="666"/>
      <c r="AG486" s="666"/>
      <c r="AH486" s="666"/>
      <c r="AI486" s="666"/>
      <c r="AJ486" s="666"/>
      <c r="AK486" s="666"/>
      <c r="AL486" s="666"/>
      <c r="AM486" s="666"/>
      <c r="AN486" s="666"/>
      <c r="AO486" s="666"/>
      <c r="AP486" s="666"/>
      <c r="AQ486" s="666"/>
      <c r="AR486" s="666"/>
      <c r="AS486" s="666"/>
      <c r="AT486" s="666"/>
      <c r="AU486" s="666"/>
      <c r="AV486" s="666"/>
      <c r="AW486" s="666"/>
      <c r="AX486" s="666"/>
      <c r="AY486" s="666"/>
      <c r="AZ486" s="666"/>
      <c r="BA486" s="666"/>
      <c r="BB486" s="666"/>
      <c r="BC486" s="666"/>
      <c r="BD486" s="666"/>
      <c r="BE486" s="666"/>
      <c r="BF486" s="666"/>
      <c r="BG486" s="666"/>
      <c r="BH486" s="666"/>
      <c r="BI486" s="666"/>
      <c r="BJ486" s="666"/>
      <c r="BK486" s="666"/>
      <c r="BL486" s="666"/>
      <c r="BM486" s="666"/>
      <c r="BN486" s="666"/>
      <c r="BO486" s="666"/>
      <c r="BP486" s="666"/>
      <c r="BQ486" s="666"/>
      <c r="BR486" s="666"/>
      <c r="BS486" s="666"/>
      <c r="BT486" s="666"/>
      <c r="BU486" s="666"/>
      <c r="BV486" s="747"/>
      <c r="BW486" s="453"/>
    </row>
    <row r="487" spans="1:75" ht="15" customHeight="1" x14ac:dyDescent="0.2">
      <c r="A487" s="1752"/>
      <c r="B487" s="742"/>
      <c r="C487" s="746"/>
      <c r="D487" s="666"/>
      <c r="E487" s="666"/>
      <c r="F487" s="666"/>
      <c r="G487" s="666"/>
      <c r="H487" s="666"/>
      <c r="I487" s="666"/>
      <c r="J487" s="666"/>
      <c r="K487" s="666"/>
      <c r="L487" s="666"/>
      <c r="M487" s="666"/>
      <c r="N487" s="666"/>
      <c r="O487" s="666"/>
      <c r="P487" s="666"/>
      <c r="Q487" s="666"/>
      <c r="R487" s="666"/>
      <c r="S487" s="666"/>
      <c r="T487" s="666"/>
      <c r="U487" s="666"/>
      <c r="V487" s="666"/>
      <c r="W487" s="666"/>
      <c r="X487" s="666"/>
      <c r="Y487" s="666"/>
      <c r="Z487" s="666"/>
      <c r="AA487" s="666"/>
      <c r="AB487" s="666"/>
      <c r="AC487" s="666"/>
      <c r="AD487" s="666"/>
      <c r="AE487" s="666"/>
      <c r="AF487" s="666"/>
      <c r="AG487" s="666"/>
      <c r="AH487" s="666"/>
      <c r="AI487" s="666"/>
      <c r="AJ487" s="666"/>
      <c r="AK487" s="666"/>
      <c r="AL487" s="666"/>
      <c r="AM487" s="666"/>
      <c r="AN487" s="666"/>
      <c r="AO487" s="666"/>
      <c r="AP487" s="666"/>
      <c r="AQ487" s="666"/>
      <c r="AR487" s="666"/>
      <c r="AS487" s="666"/>
      <c r="AT487" s="666"/>
      <c r="AU487" s="666"/>
      <c r="AV487" s="666"/>
      <c r="AW487" s="666"/>
      <c r="AX487" s="666"/>
      <c r="AY487" s="666"/>
      <c r="AZ487" s="666"/>
      <c r="BA487" s="666"/>
      <c r="BB487" s="666"/>
      <c r="BC487" s="666"/>
      <c r="BD487" s="666"/>
      <c r="BE487" s="666"/>
      <c r="BF487" s="666"/>
      <c r="BG487" s="666"/>
      <c r="BH487" s="666"/>
      <c r="BI487" s="666"/>
      <c r="BJ487" s="666"/>
      <c r="BK487" s="666"/>
      <c r="BL487" s="666"/>
      <c r="BM487" s="666"/>
      <c r="BN487" s="666"/>
      <c r="BO487" s="666"/>
      <c r="BP487" s="666"/>
      <c r="BQ487" s="666"/>
      <c r="BR487" s="666"/>
      <c r="BS487" s="666"/>
      <c r="BT487" s="666"/>
      <c r="BU487" s="666"/>
      <c r="BV487" s="747"/>
      <c r="BW487" s="453"/>
    </row>
    <row r="488" spans="1:75" ht="15" customHeight="1" x14ac:dyDescent="0.2">
      <c r="A488" s="1752"/>
      <c r="B488" s="742"/>
      <c r="C488" s="746"/>
      <c r="D488" s="666"/>
      <c r="E488" s="666"/>
      <c r="F488" s="666"/>
      <c r="G488" s="666"/>
      <c r="H488" s="666"/>
      <c r="I488" s="666"/>
      <c r="J488" s="666"/>
      <c r="K488" s="666"/>
      <c r="L488" s="666"/>
      <c r="M488" s="666"/>
      <c r="N488" s="666"/>
      <c r="O488" s="666"/>
      <c r="P488" s="666"/>
      <c r="Q488" s="666"/>
      <c r="R488" s="666"/>
      <c r="S488" s="666"/>
      <c r="T488" s="666"/>
      <c r="U488" s="666"/>
      <c r="V488" s="666"/>
      <c r="W488" s="666"/>
      <c r="X488" s="666"/>
      <c r="Y488" s="666"/>
      <c r="Z488" s="666"/>
      <c r="AA488" s="666"/>
      <c r="AB488" s="666"/>
      <c r="AC488" s="666"/>
      <c r="AD488" s="666"/>
      <c r="AE488" s="666"/>
      <c r="AF488" s="666"/>
      <c r="AG488" s="666"/>
      <c r="AH488" s="666"/>
      <c r="AI488" s="666"/>
      <c r="AJ488" s="666"/>
      <c r="AK488" s="666"/>
      <c r="AL488" s="666"/>
      <c r="AM488" s="666"/>
      <c r="AN488" s="666"/>
      <c r="AO488" s="666"/>
      <c r="AP488" s="666"/>
      <c r="AQ488" s="666"/>
      <c r="AR488" s="666"/>
      <c r="AS488" s="666"/>
      <c r="AT488" s="666"/>
      <c r="AU488" s="666"/>
      <c r="AV488" s="666"/>
      <c r="AW488" s="666"/>
      <c r="AX488" s="666"/>
      <c r="AY488" s="666"/>
      <c r="AZ488" s="666"/>
      <c r="BA488" s="666"/>
      <c r="BB488" s="666"/>
      <c r="BC488" s="666"/>
      <c r="BD488" s="666"/>
      <c r="BE488" s="666"/>
      <c r="BF488" s="666"/>
      <c r="BG488" s="666"/>
      <c r="BH488" s="666"/>
      <c r="BI488" s="666"/>
      <c r="BJ488" s="666"/>
      <c r="BK488" s="666"/>
      <c r="BL488" s="666"/>
      <c r="BM488" s="666"/>
      <c r="BN488" s="666"/>
      <c r="BO488" s="666"/>
      <c r="BP488" s="666"/>
      <c r="BQ488" s="666"/>
      <c r="BR488" s="666"/>
      <c r="BS488" s="666"/>
      <c r="BT488" s="666"/>
      <c r="BU488" s="666"/>
      <c r="BV488" s="747"/>
      <c r="BW488" s="453"/>
    </row>
    <row r="489" spans="1:75" ht="15" customHeight="1" x14ac:dyDescent="0.2">
      <c r="A489" s="1752"/>
      <c r="B489" s="742"/>
      <c r="C489" s="746"/>
      <c r="D489" s="666"/>
      <c r="E489" s="666"/>
      <c r="F489" s="666"/>
      <c r="G489" s="666"/>
      <c r="H489" s="666"/>
      <c r="I489" s="666"/>
      <c r="J489" s="666"/>
      <c r="K489" s="666"/>
      <c r="L489" s="666"/>
      <c r="M489" s="666"/>
      <c r="N489" s="666"/>
      <c r="O489" s="666"/>
      <c r="P489" s="666"/>
      <c r="Q489" s="666"/>
      <c r="R489" s="666"/>
      <c r="S489" s="666"/>
      <c r="T489" s="666"/>
      <c r="U489" s="666"/>
      <c r="V489" s="666"/>
      <c r="W489" s="666"/>
      <c r="X489" s="666"/>
      <c r="Y489" s="666"/>
      <c r="Z489" s="666"/>
      <c r="AA489" s="666"/>
      <c r="AB489" s="666"/>
      <c r="AC489" s="666"/>
      <c r="AD489" s="666"/>
      <c r="AE489" s="666"/>
      <c r="AF489" s="666"/>
      <c r="AG489" s="666"/>
      <c r="AH489" s="666"/>
      <c r="AI489" s="666"/>
      <c r="AJ489" s="666"/>
      <c r="AK489" s="666"/>
      <c r="AL489" s="666"/>
      <c r="AM489" s="666"/>
      <c r="AN489" s="666"/>
      <c r="AO489" s="666"/>
      <c r="AP489" s="666"/>
      <c r="AQ489" s="666"/>
      <c r="AR489" s="666"/>
      <c r="AS489" s="666"/>
      <c r="AT489" s="666"/>
      <c r="AU489" s="666"/>
      <c r="AV489" s="666"/>
      <c r="AW489" s="666"/>
      <c r="AX489" s="666"/>
      <c r="AY489" s="666"/>
      <c r="AZ489" s="666"/>
      <c r="BA489" s="666"/>
      <c r="BB489" s="666"/>
      <c r="BC489" s="666"/>
      <c r="BD489" s="666"/>
      <c r="BE489" s="666"/>
      <c r="BF489" s="666"/>
      <c r="BG489" s="666"/>
      <c r="BH489" s="666"/>
      <c r="BI489" s="666"/>
      <c r="BJ489" s="666"/>
      <c r="BK489" s="666"/>
      <c r="BL489" s="666"/>
      <c r="BM489" s="666"/>
      <c r="BN489" s="666"/>
      <c r="BO489" s="666"/>
      <c r="BP489" s="666"/>
      <c r="BQ489" s="666"/>
      <c r="BR489" s="666"/>
      <c r="BS489" s="666"/>
      <c r="BT489" s="666"/>
      <c r="BU489" s="666"/>
      <c r="BV489" s="747"/>
      <c r="BW489" s="453"/>
    </row>
    <row r="490" spans="1:75" ht="15" customHeight="1" x14ac:dyDescent="0.2">
      <c r="A490" s="1752"/>
      <c r="B490" s="742"/>
      <c r="C490" s="746"/>
      <c r="D490" s="666"/>
      <c r="E490" s="666"/>
      <c r="F490" s="666"/>
      <c r="G490" s="666"/>
      <c r="H490" s="666"/>
      <c r="I490" s="666"/>
      <c r="J490" s="666"/>
      <c r="K490" s="666"/>
      <c r="L490" s="666"/>
      <c r="M490" s="666"/>
      <c r="N490" s="666"/>
      <c r="O490" s="666"/>
      <c r="P490" s="666"/>
      <c r="Q490" s="666"/>
      <c r="R490" s="666"/>
      <c r="S490" s="666"/>
      <c r="T490" s="666"/>
      <c r="U490" s="666"/>
      <c r="V490" s="666"/>
      <c r="W490" s="666"/>
      <c r="X490" s="666"/>
      <c r="Y490" s="666"/>
      <c r="Z490" s="666"/>
      <c r="AA490" s="666"/>
      <c r="AB490" s="666"/>
      <c r="AC490" s="666"/>
      <c r="AD490" s="666"/>
      <c r="AE490" s="666"/>
      <c r="AF490" s="666"/>
      <c r="AG490" s="666"/>
      <c r="AH490" s="666"/>
      <c r="AI490" s="666"/>
      <c r="AJ490" s="666"/>
      <c r="AK490" s="666"/>
      <c r="AL490" s="666"/>
      <c r="AM490" s="666"/>
      <c r="AN490" s="666"/>
      <c r="AO490" s="666"/>
      <c r="AP490" s="666"/>
      <c r="AQ490" s="666"/>
      <c r="AR490" s="666"/>
      <c r="AS490" s="666"/>
      <c r="AT490" s="666"/>
      <c r="AU490" s="666"/>
      <c r="AV490" s="666"/>
      <c r="AW490" s="666"/>
      <c r="AX490" s="666"/>
      <c r="AY490" s="666"/>
      <c r="AZ490" s="666"/>
      <c r="BA490" s="666"/>
      <c r="BB490" s="666"/>
      <c r="BC490" s="666"/>
      <c r="BD490" s="666"/>
      <c r="BE490" s="666"/>
      <c r="BF490" s="666"/>
      <c r="BG490" s="666"/>
      <c r="BH490" s="666"/>
      <c r="BI490" s="666"/>
      <c r="BJ490" s="666"/>
      <c r="BK490" s="666"/>
      <c r="BL490" s="666"/>
      <c r="BM490" s="666"/>
      <c r="BN490" s="666"/>
      <c r="BO490" s="666"/>
      <c r="BP490" s="666"/>
      <c r="BQ490" s="666"/>
      <c r="BR490" s="666"/>
      <c r="BS490" s="666"/>
      <c r="BT490" s="666"/>
      <c r="BU490" s="666"/>
      <c r="BV490" s="747"/>
      <c r="BW490" s="453"/>
    </row>
    <row r="491" spans="1:75" ht="15" customHeight="1" x14ac:dyDescent="0.2">
      <c r="A491" s="1752"/>
      <c r="B491" s="742"/>
      <c r="C491" s="746"/>
      <c r="D491" s="666"/>
      <c r="E491" s="666"/>
      <c r="F491" s="666"/>
      <c r="G491" s="666"/>
      <c r="H491" s="666"/>
      <c r="I491" s="666"/>
      <c r="J491" s="666"/>
      <c r="K491" s="666"/>
      <c r="L491" s="666"/>
      <c r="M491" s="666"/>
      <c r="N491" s="666"/>
      <c r="O491" s="666"/>
      <c r="P491" s="666"/>
      <c r="Q491" s="666"/>
      <c r="R491" s="666"/>
      <c r="S491" s="666"/>
      <c r="T491" s="666"/>
      <c r="U491" s="666"/>
      <c r="V491" s="666"/>
      <c r="W491" s="666"/>
      <c r="X491" s="666"/>
      <c r="Y491" s="666"/>
      <c r="Z491" s="666"/>
      <c r="AA491" s="666"/>
      <c r="AB491" s="666"/>
      <c r="AC491" s="666"/>
      <c r="AD491" s="666"/>
      <c r="AE491" s="666"/>
      <c r="AF491" s="666"/>
      <c r="AG491" s="666"/>
      <c r="AH491" s="666"/>
      <c r="AI491" s="666"/>
      <c r="AJ491" s="666"/>
      <c r="AK491" s="666"/>
      <c r="AL491" s="666"/>
      <c r="AM491" s="666"/>
      <c r="AN491" s="666"/>
      <c r="AO491" s="666"/>
      <c r="AP491" s="666"/>
      <c r="AQ491" s="666"/>
      <c r="AR491" s="666"/>
      <c r="AS491" s="666"/>
      <c r="AT491" s="666"/>
      <c r="AU491" s="666"/>
      <c r="AV491" s="666"/>
      <c r="AW491" s="666"/>
      <c r="AX491" s="666"/>
      <c r="AY491" s="666"/>
      <c r="AZ491" s="666"/>
      <c r="BA491" s="666"/>
      <c r="BB491" s="666"/>
      <c r="BC491" s="666"/>
      <c r="BD491" s="666"/>
      <c r="BE491" s="666"/>
      <c r="BF491" s="666"/>
      <c r="BG491" s="666"/>
      <c r="BH491" s="666"/>
      <c r="BI491" s="666"/>
      <c r="BJ491" s="666"/>
      <c r="BK491" s="666"/>
      <c r="BL491" s="666"/>
      <c r="BM491" s="666"/>
      <c r="BN491" s="666"/>
      <c r="BO491" s="666"/>
      <c r="BP491" s="666"/>
      <c r="BQ491" s="666"/>
      <c r="BR491" s="666"/>
      <c r="BS491" s="666"/>
      <c r="BT491" s="666"/>
      <c r="BU491" s="666"/>
      <c r="BV491" s="747"/>
      <c r="BW491" s="453"/>
    </row>
    <row r="492" spans="1:75" ht="15" customHeight="1" x14ac:dyDescent="0.2">
      <c r="A492" s="1752"/>
      <c r="B492" s="742"/>
      <c r="C492" s="746"/>
      <c r="D492" s="666"/>
      <c r="E492" s="666"/>
      <c r="F492" s="666"/>
      <c r="G492" s="666"/>
      <c r="H492" s="666"/>
      <c r="I492" s="666"/>
      <c r="J492" s="666"/>
      <c r="K492" s="666"/>
      <c r="L492" s="666"/>
      <c r="M492" s="666"/>
      <c r="N492" s="666"/>
      <c r="O492" s="666"/>
      <c r="P492" s="666"/>
      <c r="Q492" s="666"/>
      <c r="R492" s="666"/>
      <c r="S492" s="666"/>
      <c r="T492" s="666"/>
      <c r="U492" s="666"/>
      <c r="V492" s="666"/>
      <c r="W492" s="666"/>
      <c r="X492" s="666"/>
      <c r="Y492" s="666"/>
      <c r="Z492" s="666"/>
      <c r="AA492" s="666"/>
      <c r="AB492" s="666"/>
      <c r="AC492" s="666"/>
      <c r="AD492" s="666"/>
      <c r="AE492" s="666"/>
      <c r="AF492" s="666"/>
      <c r="AG492" s="666"/>
      <c r="AH492" s="666"/>
      <c r="AI492" s="666"/>
      <c r="AJ492" s="666"/>
      <c r="AK492" s="666"/>
      <c r="AL492" s="666"/>
      <c r="AM492" s="666"/>
      <c r="AN492" s="666"/>
      <c r="AO492" s="666"/>
      <c r="AP492" s="666"/>
      <c r="AQ492" s="666"/>
      <c r="AR492" s="666"/>
      <c r="AS492" s="666"/>
      <c r="AT492" s="666"/>
      <c r="AU492" s="666"/>
      <c r="AV492" s="666"/>
      <c r="AW492" s="666"/>
      <c r="AX492" s="666"/>
      <c r="AY492" s="666"/>
      <c r="AZ492" s="666"/>
      <c r="BA492" s="666"/>
      <c r="BB492" s="666"/>
      <c r="BC492" s="666"/>
      <c r="BD492" s="666"/>
      <c r="BE492" s="666"/>
      <c r="BF492" s="666"/>
      <c r="BG492" s="666"/>
      <c r="BH492" s="666"/>
      <c r="BI492" s="666"/>
      <c r="BJ492" s="666"/>
      <c r="BK492" s="666"/>
      <c r="BL492" s="666"/>
      <c r="BM492" s="666"/>
      <c r="BN492" s="666"/>
      <c r="BO492" s="666"/>
      <c r="BP492" s="666"/>
      <c r="BQ492" s="666"/>
      <c r="BR492" s="666"/>
      <c r="BS492" s="666"/>
      <c r="BT492" s="666"/>
      <c r="BU492" s="666"/>
      <c r="BV492" s="747"/>
      <c r="BW492" s="453"/>
    </row>
    <row r="493" spans="1:75" ht="15" customHeight="1" x14ac:dyDescent="0.2">
      <c r="A493" s="1752"/>
      <c r="B493" s="742"/>
      <c r="C493" s="746"/>
      <c r="D493" s="666"/>
      <c r="E493" s="666"/>
      <c r="F493" s="666"/>
      <c r="G493" s="666"/>
      <c r="H493" s="666"/>
      <c r="I493" s="666"/>
      <c r="J493" s="666"/>
      <c r="K493" s="666"/>
      <c r="L493" s="666"/>
      <c r="M493" s="666"/>
      <c r="N493" s="666"/>
      <c r="O493" s="666"/>
      <c r="P493" s="666"/>
      <c r="Q493" s="666"/>
      <c r="R493" s="666"/>
      <c r="S493" s="666"/>
      <c r="T493" s="666"/>
      <c r="U493" s="666"/>
      <c r="V493" s="666"/>
      <c r="W493" s="666"/>
      <c r="X493" s="666"/>
      <c r="Y493" s="666"/>
      <c r="Z493" s="666"/>
      <c r="AA493" s="666"/>
      <c r="AB493" s="666"/>
      <c r="AC493" s="666"/>
      <c r="AD493" s="666"/>
      <c r="AE493" s="666"/>
      <c r="AF493" s="666"/>
      <c r="AG493" s="666"/>
      <c r="AH493" s="666"/>
      <c r="AI493" s="666"/>
      <c r="AJ493" s="666"/>
      <c r="AK493" s="666"/>
      <c r="AL493" s="666"/>
      <c r="AM493" s="666"/>
      <c r="AN493" s="666"/>
      <c r="AO493" s="666"/>
      <c r="AP493" s="666"/>
      <c r="AQ493" s="666"/>
      <c r="AR493" s="666"/>
      <c r="AS493" s="666"/>
      <c r="AT493" s="666"/>
      <c r="AU493" s="666"/>
      <c r="AV493" s="666"/>
      <c r="AW493" s="666"/>
      <c r="AX493" s="666"/>
      <c r="AY493" s="666"/>
      <c r="AZ493" s="666"/>
      <c r="BA493" s="666"/>
      <c r="BB493" s="666"/>
      <c r="BC493" s="666"/>
      <c r="BD493" s="666"/>
      <c r="BE493" s="666"/>
      <c r="BF493" s="666"/>
      <c r="BG493" s="666"/>
      <c r="BH493" s="666"/>
      <c r="BI493" s="666"/>
      <c r="BJ493" s="666"/>
      <c r="BK493" s="666"/>
      <c r="BL493" s="666"/>
      <c r="BM493" s="666"/>
      <c r="BN493" s="666"/>
      <c r="BO493" s="666"/>
      <c r="BP493" s="666"/>
      <c r="BQ493" s="666"/>
      <c r="BR493" s="666"/>
      <c r="BS493" s="666"/>
      <c r="BT493" s="666"/>
      <c r="BU493" s="666"/>
      <c r="BV493" s="747"/>
      <c r="BW493" s="453"/>
    </row>
    <row r="494" spans="1:75" ht="15" customHeight="1" x14ac:dyDescent="0.2">
      <c r="A494" s="1752"/>
      <c r="B494" s="742"/>
      <c r="C494" s="746"/>
      <c r="D494" s="666"/>
      <c r="E494" s="666"/>
      <c r="F494" s="666"/>
      <c r="G494" s="666"/>
      <c r="H494" s="666"/>
      <c r="I494" s="666"/>
      <c r="J494" s="666"/>
      <c r="K494" s="666"/>
      <c r="L494" s="666"/>
      <c r="M494" s="666"/>
      <c r="N494" s="666"/>
      <c r="O494" s="666"/>
      <c r="P494" s="666"/>
      <c r="Q494" s="666"/>
      <c r="R494" s="666"/>
      <c r="S494" s="666"/>
      <c r="T494" s="666"/>
      <c r="U494" s="666"/>
      <c r="V494" s="666"/>
      <c r="W494" s="666"/>
      <c r="X494" s="666"/>
      <c r="Y494" s="666"/>
      <c r="Z494" s="666"/>
      <c r="AA494" s="666"/>
      <c r="AB494" s="666"/>
      <c r="AC494" s="666"/>
      <c r="AD494" s="666"/>
      <c r="AE494" s="666"/>
      <c r="AF494" s="666"/>
      <c r="AG494" s="666"/>
      <c r="AH494" s="666"/>
      <c r="AI494" s="666"/>
      <c r="AJ494" s="666"/>
      <c r="AK494" s="666"/>
      <c r="AL494" s="666"/>
      <c r="AM494" s="666"/>
      <c r="AN494" s="666"/>
      <c r="AO494" s="666"/>
      <c r="AP494" s="666"/>
      <c r="AQ494" s="666"/>
      <c r="AR494" s="666"/>
      <c r="AS494" s="666"/>
      <c r="AT494" s="666"/>
      <c r="AU494" s="666"/>
      <c r="AV494" s="666"/>
      <c r="AW494" s="666"/>
      <c r="AX494" s="666"/>
      <c r="AY494" s="666"/>
      <c r="AZ494" s="666"/>
      <c r="BA494" s="666"/>
      <c r="BB494" s="666"/>
      <c r="BC494" s="666"/>
      <c r="BD494" s="666"/>
      <c r="BE494" s="666"/>
      <c r="BF494" s="666"/>
      <c r="BG494" s="666"/>
      <c r="BH494" s="666"/>
      <c r="BI494" s="666"/>
      <c r="BJ494" s="666"/>
      <c r="BK494" s="666"/>
      <c r="BL494" s="666"/>
      <c r="BM494" s="666"/>
      <c r="BN494" s="666"/>
      <c r="BO494" s="666"/>
      <c r="BP494" s="666"/>
      <c r="BQ494" s="666"/>
      <c r="BR494" s="666"/>
      <c r="BS494" s="666"/>
      <c r="BT494" s="666"/>
      <c r="BU494" s="666"/>
      <c r="BV494" s="747"/>
      <c r="BW494" s="453"/>
    </row>
    <row r="495" spans="1:75" ht="15" customHeight="1" x14ac:dyDescent="0.2">
      <c r="A495" s="1752"/>
      <c r="B495" s="742"/>
      <c r="C495" s="746"/>
      <c r="D495" s="666"/>
      <c r="E495" s="666"/>
      <c r="F495" s="666"/>
      <c r="G495" s="666"/>
      <c r="H495" s="666"/>
      <c r="I495" s="666"/>
      <c r="J495" s="666"/>
      <c r="K495" s="666"/>
      <c r="L495" s="666"/>
      <c r="M495" s="666"/>
      <c r="N495" s="666"/>
      <c r="O495" s="666"/>
      <c r="P495" s="666"/>
      <c r="Q495" s="666"/>
      <c r="R495" s="666"/>
      <c r="S495" s="666"/>
      <c r="T495" s="666"/>
      <c r="U495" s="666"/>
      <c r="V495" s="666"/>
      <c r="W495" s="666"/>
      <c r="X495" s="666"/>
      <c r="Y495" s="666"/>
      <c r="Z495" s="666"/>
      <c r="AA495" s="666"/>
      <c r="AB495" s="666"/>
      <c r="AC495" s="666"/>
      <c r="AD495" s="666"/>
      <c r="AE495" s="666"/>
      <c r="AF495" s="666"/>
      <c r="AG495" s="666"/>
      <c r="AH495" s="666"/>
      <c r="AI495" s="666"/>
      <c r="AJ495" s="666"/>
      <c r="AK495" s="666"/>
      <c r="AL495" s="666"/>
      <c r="AM495" s="666"/>
      <c r="AN495" s="666"/>
      <c r="AO495" s="666"/>
      <c r="AP495" s="666"/>
      <c r="AQ495" s="666"/>
      <c r="AR495" s="666"/>
      <c r="AS495" s="666"/>
      <c r="AT495" s="666"/>
      <c r="AU495" s="666"/>
      <c r="AV495" s="666"/>
      <c r="AW495" s="666"/>
      <c r="AX495" s="666"/>
      <c r="AY495" s="666"/>
      <c r="AZ495" s="666"/>
      <c r="BA495" s="666"/>
      <c r="BB495" s="666"/>
      <c r="BC495" s="666"/>
      <c r="BD495" s="666"/>
      <c r="BE495" s="666"/>
      <c r="BF495" s="666"/>
      <c r="BG495" s="666"/>
      <c r="BH495" s="666"/>
      <c r="BI495" s="666"/>
      <c r="BJ495" s="666"/>
      <c r="BK495" s="666"/>
      <c r="BL495" s="666"/>
      <c r="BM495" s="666"/>
      <c r="BN495" s="666"/>
      <c r="BO495" s="666"/>
      <c r="BP495" s="666"/>
      <c r="BQ495" s="666"/>
      <c r="BR495" s="666"/>
      <c r="BS495" s="666"/>
      <c r="BT495" s="666"/>
      <c r="BU495" s="666"/>
      <c r="BV495" s="747"/>
      <c r="BW495" s="453"/>
    </row>
    <row r="496" spans="1:75" ht="15" customHeight="1" x14ac:dyDescent="0.2">
      <c r="A496" s="1752"/>
      <c r="B496" s="742"/>
      <c r="C496" s="746"/>
      <c r="D496" s="666"/>
      <c r="E496" s="666"/>
      <c r="F496" s="666"/>
      <c r="G496" s="666"/>
      <c r="H496" s="666"/>
      <c r="I496" s="666"/>
      <c r="J496" s="666"/>
      <c r="K496" s="666"/>
      <c r="L496" s="666"/>
      <c r="M496" s="666"/>
      <c r="N496" s="666"/>
      <c r="O496" s="666"/>
      <c r="P496" s="666"/>
      <c r="Q496" s="666"/>
      <c r="R496" s="666"/>
      <c r="S496" s="666"/>
      <c r="T496" s="666"/>
      <c r="U496" s="666"/>
      <c r="V496" s="666"/>
      <c r="W496" s="666"/>
      <c r="X496" s="666"/>
      <c r="Y496" s="666"/>
      <c r="Z496" s="666"/>
      <c r="AA496" s="666"/>
      <c r="AB496" s="666"/>
      <c r="AC496" s="666"/>
      <c r="AD496" s="666"/>
      <c r="AE496" s="666"/>
      <c r="AF496" s="666"/>
      <c r="AG496" s="666"/>
      <c r="AH496" s="666"/>
      <c r="AI496" s="666"/>
      <c r="AJ496" s="666"/>
      <c r="AK496" s="666"/>
      <c r="AL496" s="666"/>
      <c r="AM496" s="666"/>
      <c r="AN496" s="666"/>
      <c r="AO496" s="666"/>
      <c r="AP496" s="666"/>
      <c r="AQ496" s="666"/>
      <c r="AR496" s="666"/>
      <c r="AS496" s="666"/>
      <c r="AT496" s="666"/>
      <c r="AU496" s="666"/>
      <c r="AV496" s="666"/>
      <c r="AW496" s="666"/>
      <c r="AX496" s="666"/>
      <c r="AY496" s="666"/>
      <c r="AZ496" s="666"/>
      <c r="BA496" s="666"/>
      <c r="BB496" s="666"/>
      <c r="BC496" s="666"/>
      <c r="BD496" s="666"/>
      <c r="BE496" s="666"/>
      <c r="BF496" s="666"/>
      <c r="BG496" s="666"/>
      <c r="BH496" s="666"/>
      <c r="BI496" s="666"/>
      <c r="BJ496" s="666"/>
      <c r="BK496" s="666"/>
      <c r="BL496" s="666"/>
      <c r="BM496" s="666"/>
      <c r="BN496" s="666"/>
      <c r="BO496" s="666"/>
      <c r="BP496" s="666"/>
      <c r="BQ496" s="666"/>
      <c r="BR496" s="666"/>
      <c r="BS496" s="666"/>
      <c r="BT496" s="666"/>
      <c r="BU496" s="666"/>
      <c r="BV496" s="747"/>
      <c r="BW496" s="453"/>
    </row>
    <row r="497" spans="1:75" ht="15" customHeight="1" x14ac:dyDescent="0.2">
      <c r="A497" s="1752"/>
      <c r="B497" s="742"/>
      <c r="C497" s="746"/>
      <c r="D497" s="666"/>
      <c r="E497" s="666"/>
      <c r="F497" s="666"/>
      <c r="G497" s="666"/>
      <c r="H497" s="666"/>
      <c r="I497" s="666"/>
      <c r="J497" s="666"/>
      <c r="K497" s="666"/>
      <c r="L497" s="666"/>
      <c r="M497" s="666"/>
      <c r="N497" s="666"/>
      <c r="O497" s="666"/>
      <c r="P497" s="666"/>
      <c r="Q497" s="666"/>
      <c r="R497" s="666"/>
      <c r="S497" s="666"/>
      <c r="T497" s="666"/>
      <c r="U497" s="666"/>
      <c r="V497" s="666"/>
      <c r="W497" s="666"/>
      <c r="X497" s="666"/>
      <c r="Y497" s="666"/>
      <c r="Z497" s="666"/>
      <c r="AA497" s="666"/>
      <c r="AB497" s="666"/>
      <c r="AC497" s="666"/>
      <c r="AD497" s="666"/>
      <c r="AE497" s="666"/>
      <c r="AF497" s="666"/>
      <c r="AG497" s="666"/>
      <c r="AH497" s="666"/>
      <c r="AI497" s="666"/>
      <c r="AJ497" s="666"/>
      <c r="AK497" s="666"/>
      <c r="AL497" s="666"/>
      <c r="AM497" s="666"/>
      <c r="AN497" s="666"/>
      <c r="AO497" s="666"/>
      <c r="AP497" s="666"/>
      <c r="AQ497" s="666"/>
      <c r="AR497" s="666"/>
      <c r="AS497" s="666"/>
      <c r="AT497" s="666"/>
      <c r="AU497" s="666"/>
      <c r="AV497" s="666"/>
      <c r="AW497" s="666"/>
      <c r="AX497" s="666"/>
      <c r="AY497" s="666"/>
      <c r="AZ497" s="666"/>
      <c r="BA497" s="666"/>
      <c r="BB497" s="666"/>
      <c r="BC497" s="666"/>
      <c r="BD497" s="666"/>
      <c r="BE497" s="666"/>
      <c r="BF497" s="666"/>
      <c r="BG497" s="666"/>
      <c r="BH497" s="666"/>
      <c r="BI497" s="666"/>
      <c r="BJ497" s="666"/>
      <c r="BK497" s="666"/>
      <c r="BL497" s="666"/>
      <c r="BM497" s="666"/>
      <c r="BN497" s="666"/>
      <c r="BO497" s="666"/>
      <c r="BP497" s="666"/>
      <c r="BQ497" s="666"/>
      <c r="BR497" s="666"/>
      <c r="BS497" s="666"/>
      <c r="BT497" s="666"/>
      <c r="BU497" s="666"/>
      <c r="BV497" s="747"/>
      <c r="BW497" s="453"/>
    </row>
    <row r="498" spans="1:75" ht="15" customHeight="1" x14ac:dyDescent="0.2">
      <c r="A498" s="1752"/>
      <c r="B498" s="742"/>
      <c r="C498" s="746"/>
      <c r="D498" s="666"/>
      <c r="E498" s="666"/>
      <c r="F498" s="666"/>
      <c r="G498" s="666"/>
      <c r="H498" s="666"/>
      <c r="I498" s="666"/>
      <c r="J498" s="666"/>
      <c r="K498" s="666"/>
      <c r="L498" s="666"/>
      <c r="M498" s="666"/>
      <c r="N498" s="666"/>
      <c r="O498" s="666"/>
      <c r="P498" s="666"/>
      <c r="Q498" s="666"/>
      <c r="R498" s="666"/>
      <c r="S498" s="666"/>
      <c r="T498" s="666"/>
      <c r="U498" s="666"/>
      <c r="V498" s="666"/>
      <c r="W498" s="666"/>
      <c r="X498" s="666"/>
      <c r="Y498" s="666"/>
      <c r="Z498" s="666"/>
      <c r="AA498" s="666"/>
      <c r="AB498" s="666"/>
      <c r="AC498" s="666"/>
      <c r="AD498" s="666"/>
      <c r="AE498" s="666"/>
      <c r="AF498" s="666"/>
      <c r="AG498" s="666"/>
      <c r="AH498" s="666"/>
      <c r="AI498" s="666"/>
      <c r="AJ498" s="666"/>
      <c r="AK498" s="666"/>
      <c r="AL498" s="666"/>
      <c r="AM498" s="666"/>
      <c r="AN498" s="666"/>
      <c r="AO498" s="666"/>
      <c r="AP498" s="666"/>
      <c r="AQ498" s="666"/>
      <c r="AR498" s="666"/>
      <c r="AS498" s="666"/>
      <c r="AT498" s="666"/>
      <c r="AU498" s="666"/>
      <c r="AV498" s="666"/>
      <c r="AW498" s="666"/>
      <c r="AX498" s="666"/>
      <c r="AY498" s="666"/>
      <c r="AZ498" s="666"/>
      <c r="BA498" s="666"/>
      <c r="BB498" s="666"/>
      <c r="BC498" s="666"/>
      <c r="BD498" s="666"/>
      <c r="BE498" s="666"/>
      <c r="BF498" s="666"/>
      <c r="BG498" s="666"/>
      <c r="BH498" s="666"/>
      <c r="BI498" s="666"/>
      <c r="BJ498" s="666"/>
      <c r="BK498" s="666"/>
      <c r="BL498" s="666"/>
      <c r="BM498" s="666"/>
      <c r="BN498" s="666"/>
      <c r="BO498" s="666"/>
      <c r="BP498" s="666"/>
      <c r="BQ498" s="666"/>
      <c r="BR498" s="666"/>
      <c r="BS498" s="666"/>
      <c r="BT498" s="666"/>
      <c r="BU498" s="666"/>
      <c r="BV498" s="747"/>
      <c r="BW498" s="453"/>
    </row>
    <row r="499" spans="1:75" ht="15" customHeight="1" x14ac:dyDescent="0.2">
      <c r="A499" s="1752"/>
      <c r="B499" s="742"/>
      <c r="C499" s="746"/>
      <c r="D499" s="666"/>
      <c r="E499" s="666"/>
      <c r="F499" s="666"/>
      <c r="G499" s="666"/>
      <c r="H499" s="666"/>
      <c r="I499" s="666"/>
      <c r="J499" s="666"/>
      <c r="K499" s="666"/>
      <c r="L499" s="666"/>
      <c r="M499" s="666"/>
      <c r="N499" s="666"/>
      <c r="O499" s="666"/>
      <c r="P499" s="666"/>
      <c r="Q499" s="666"/>
      <c r="R499" s="666"/>
      <c r="S499" s="666"/>
      <c r="T499" s="666"/>
      <c r="U499" s="666"/>
      <c r="V499" s="666"/>
      <c r="W499" s="666"/>
      <c r="X499" s="666"/>
      <c r="Y499" s="666"/>
      <c r="Z499" s="666"/>
      <c r="AA499" s="666"/>
      <c r="AB499" s="666"/>
      <c r="AC499" s="666"/>
      <c r="AD499" s="666"/>
      <c r="AE499" s="666"/>
      <c r="AF499" s="666"/>
      <c r="AG499" s="666"/>
      <c r="AH499" s="666"/>
      <c r="AI499" s="666"/>
      <c r="AJ499" s="666"/>
      <c r="AK499" s="666"/>
      <c r="AL499" s="666"/>
      <c r="AM499" s="666"/>
      <c r="AN499" s="666"/>
      <c r="AO499" s="666"/>
      <c r="AP499" s="666"/>
      <c r="AQ499" s="666"/>
      <c r="AR499" s="666"/>
      <c r="AS499" s="666"/>
      <c r="AT499" s="666"/>
      <c r="AU499" s="666"/>
      <c r="AV499" s="666"/>
      <c r="AW499" s="666"/>
      <c r="AX499" s="666"/>
      <c r="AY499" s="666"/>
      <c r="AZ499" s="666"/>
      <c r="BA499" s="666"/>
      <c r="BB499" s="666"/>
      <c r="BC499" s="666"/>
      <c r="BD499" s="666"/>
      <c r="BE499" s="666"/>
      <c r="BF499" s="666"/>
      <c r="BG499" s="666"/>
      <c r="BH499" s="666"/>
      <c r="BI499" s="666"/>
      <c r="BJ499" s="666"/>
      <c r="BK499" s="666"/>
      <c r="BL499" s="666"/>
      <c r="BM499" s="666"/>
      <c r="BN499" s="666"/>
      <c r="BO499" s="666"/>
      <c r="BP499" s="666"/>
      <c r="BQ499" s="666"/>
      <c r="BR499" s="666"/>
      <c r="BS499" s="666"/>
      <c r="BT499" s="666"/>
      <c r="BU499" s="666"/>
      <c r="BV499" s="747"/>
      <c r="BW499" s="453"/>
    </row>
    <row r="500" spans="1:75" ht="15" customHeight="1" x14ac:dyDescent="0.2">
      <c r="A500" s="1752"/>
      <c r="B500" s="742"/>
      <c r="C500" s="746"/>
      <c r="D500" s="666"/>
      <c r="E500" s="666"/>
      <c r="F500" s="666"/>
      <c r="G500" s="666"/>
      <c r="H500" s="666"/>
      <c r="I500" s="666"/>
      <c r="J500" s="666"/>
      <c r="K500" s="666"/>
      <c r="L500" s="666"/>
      <c r="M500" s="666"/>
      <c r="N500" s="666"/>
      <c r="O500" s="666"/>
      <c r="P500" s="666"/>
      <c r="Q500" s="666"/>
      <c r="R500" s="666"/>
      <c r="S500" s="666"/>
      <c r="T500" s="666"/>
      <c r="U500" s="666"/>
      <c r="V500" s="666"/>
      <c r="W500" s="666"/>
      <c r="X500" s="666"/>
      <c r="Y500" s="666"/>
      <c r="Z500" s="666"/>
      <c r="AA500" s="666"/>
      <c r="AB500" s="666"/>
      <c r="AC500" s="666"/>
      <c r="AD500" s="666"/>
      <c r="AE500" s="666"/>
      <c r="AF500" s="666"/>
      <c r="AG500" s="666"/>
      <c r="AH500" s="666"/>
      <c r="AI500" s="666"/>
      <c r="AJ500" s="666"/>
      <c r="AK500" s="666"/>
      <c r="AL500" s="666"/>
      <c r="AM500" s="666"/>
      <c r="AN500" s="666"/>
      <c r="AO500" s="666"/>
      <c r="AP500" s="666"/>
      <c r="AQ500" s="666"/>
      <c r="AR500" s="666"/>
      <c r="AS500" s="666"/>
      <c r="AT500" s="666"/>
      <c r="AU500" s="666"/>
      <c r="AV500" s="666"/>
      <c r="AW500" s="666"/>
      <c r="AX500" s="666"/>
      <c r="AY500" s="666"/>
      <c r="AZ500" s="666"/>
      <c r="BA500" s="666"/>
      <c r="BB500" s="666"/>
      <c r="BC500" s="666"/>
      <c r="BD500" s="666"/>
      <c r="BE500" s="666"/>
      <c r="BF500" s="666"/>
      <c r="BG500" s="666"/>
      <c r="BH500" s="666"/>
      <c r="BI500" s="666"/>
      <c r="BJ500" s="666"/>
      <c r="BK500" s="666"/>
      <c r="BL500" s="666"/>
      <c r="BM500" s="666"/>
      <c r="BN500" s="666"/>
      <c r="BO500" s="666"/>
      <c r="BP500" s="666"/>
      <c r="BQ500" s="666"/>
      <c r="BR500" s="666"/>
      <c r="BS500" s="666"/>
      <c r="BT500" s="666"/>
      <c r="BU500" s="666"/>
      <c r="BV500" s="747"/>
      <c r="BW500" s="453"/>
    </row>
    <row r="501" spans="1:75" ht="15" customHeight="1" x14ac:dyDescent="0.2">
      <c r="A501" s="1752"/>
      <c r="B501" s="742"/>
      <c r="C501" s="746"/>
      <c r="D501" s="666"/>
      <c r="E501" s="666"/>
      <c r="F501" s="666"/>
      <c r="G501" s="666"/>
      <c r="H501" s="666"/>
      <c r="I501" s="666"/>
      <c r="J501" s="666"/>
      <c r="K501" s="666"/>
      <c r="L501" s="666"/>
      <c r="M501" s="666"/>
      <c r="N501" s="666"/>
      <c r="O501" s="666"/>
      <c r="P501" s="666"/>
      <c r="Q501" s="666"/>
      <c r="R501" s="666"/>
      <c r="S501" s="666"/>
      <c r="T501" s="666"/>
      <c r="U501" s="666"/>
      <c r="V501" s="666"/>
      <c r="W501" s="666"/>
      <c r="X501" s="666"/>
      <c r="Y501" s="666"/>
      <c r="Z501" s="666"/>
      <c r="AA501" s="666"/>
      <c r="AB501" s="666"/>
      <c r="AC501" s="666"/>
      <c r="AD501" s="666"/>
      <c r="AE501" s="666"/>
      <c r="AF501" s="666"/>
      <c r="AG501" s="666"/>
      <c r="AH501" s="666"/>
      <c r="AI501" s="666"/>
      <c r="AJ501" s="666"/>
      <c r="AK501" s="666"/>
      <c r="AL501" s="666"/>
      <c r="AM501" s="666"/>
      <c r="AN501" s="666"/>
      <c r="AO501" s="666"/>
      <c r="AP501" s="666"/>
      <c r="AQ501" s="666"/>
      <c r="AR501" s="666"/>
      <c r="AS501" s="666"/>
      <c r="AT501" s="666"/>
      <c r="AU501" s="666"/>
      <c r="AV501" s="666"/>
      <c r="AW501" s="666"/>
      <c r="AX501" s="666"/>
      <c r="AY501" s="666"/>
      <c r="AZ501" s="666"/>
      <c r="BA501" s="666"/>
      <c r="BB501" s="666"/>
      <c r="BC501" s="666"/>
      <c r="BD501" s="666"/>
      <c r="BE501" s="666"/>
      <c r="BF501" s="666"/>
      <c r="BG501" s="666"/>
      <c r="BH501" s="666"/>
      <c r="BI501" s="666"/>
      <c r="BJ501" s="666"/>
      <c r="BK501" s="666"/>
      <c r="BL501" s="666"/>
      <c r="BM501" s="666"/>
      <c r="BN501" s="666"/>
      <c r="BO501" s="666"/>
      <c r="BP501" s="666"/>
      <c r="BQ501" s="666"/>
      <c r="BR501" s="666"/>
      <c r="BS501" s="666"/>
      <c r="BT501" s="666"/>
      <c r="BU501" s="666"/>
      <c r="BV501" s="747"/>
      <c r="BW501" s="453"/>
    </row>
    <row r="502" spans="1:75" ht="15" customHeight="1" x14ac:dyDescent="0.2">
      <c r="A502" s="1752"/>
      <c r="B502" s="742"/>
      <c r="C502" s="746"/>
      <c r="D502" s="666"/>
      <c r="E502" s="666"/>
      <c r="F502" s="666"/>
      <c r="G502" s="666"/>
      <c r="H502" s="666"/>
      <c r="I502" s="666"/>
      <c r="J502" s="666"/>
      <c r="K502" s="666"/>
      <c r="L502" s="666"/>
      <c r="M502" s="666"/>
      <c r="N502" s="666"/>
      <c r="O502" s="666"/>
      <c r="P502" s="666"/>
      <c r="Q502" s="666"/>
      <c r="R502" s="666"/>
      <c r="S502" s="666"/>
      <c r="T502" s="666"/>
      <c r="U502" s="666"/>
      <c r="V502" s="666"/>
      <c r="W502" s="666"/>
      <c r="X502" s="666"/>
      <c r="Y502" s="666"/>
      <c r="Z502" s="666"/>
      <c r="AA502" s="666"/>
      <c r="AB502" s="666"/>
      <c r="AC502" s="666"/>
      <c r="AD502" s="666"/>
      <c r="AE502" s="666"/>
      <c r="AF502" s="666"/>
      <c r="AG502" s="666"/>
      <c r="AH502" s="666"/>
      <c r="AI502" s="666"/>
      <c r="AJ502" s="666"/>
      <c r="AK502" s="666"/>
      <c r="AL502" s="666"/>
      <c r="AM502" s="666"/>
      <c r="AN502" s="666"/>
      <c r="AO502" s="666"/>
      <c r="AP502" s="666"/>
      <c r="AQ502" s="666"/>
      <c r="AR502" s="666"/>
      <c r="AS502" s="666"/>
      <c r="AT502" s="666"/>
      <c r="AU502" s="666"/>
      <c r="AV502" s="666"/>
      <c r="AW502" s="666"/>
      <c r="AX502" s="666"/>
      <c r="AY502" s="666"/>
      <c r="AZ502" s="666"/>
      <c r="BA502" s="666"/>
      <c r="BB502" s="666"/>
      <c r="BC502" s="666"/>
      <c r="BD502" s="666"/>
      <c r="BE502" s="666"/>
      <c r="BF502" s="666"/>
      <c r="BG502" s="666"/>
      <c r="BH502" s="666"/>
      <c r="BI502" s="666"/>
      <c r="BJ502" s="666"/>
      <c r="BK502" s="666"/>
      <c r="BL502" s="666"/>
      <c r="BM502" s="666"/>
      <c r="BN502" s="666"/>
      <c r="BO502" s="666"/>
      <c r="BP502" s="666"/>
      <c r="BQ502" s="666"/>
      <c r="BR502" s="666"/>
      <c r="BS502" s="666"/>
      <c r="BT502" s="666"/>
      <c r="BU502" s="666"/>
      <c r="BV502" s="747"/>
      <c r="BW502" s="453"/>
    </row>
    <row r="503" spans="1:75" ht="15" customHeight="1" x14ac:dyDescent="0.2">
      <c r="A503" s="1752"/>
      <c r="B503" s="742"/>
      <c r="C503" s="746"/>
      <c r="D503" s="666"/>
      <c r="E503" s="666"/>
      <c r="F503" s="666"/>
      <c r="G503" s="666"/>
      <c r="H503" s="666"/>
      <c r="I503" s="666"/>
      <c r="J503" s="666"/>
      <c r="K503" s="666"/>
      <c r="L503" s="666"/>
      <c r="M503" s="666"/>
      <c r="N503" s="666"/>
      <c r="O503" s="666"/>
      <c r="P503" s="666"/>
      <c r="Q503" s="666"/>
      <c r="R503" s="666"/>
      <c r="S503" s="666"/>
      <c r="T503" s="666"/>
      <c r="U503" s="666"/>
      <c r="V503" s="666"/>
      <c r="W503" s="666"/>
      <c r="X503" s="666"/>
      <c r="Y503" s="666"/>
      <c r="Z503" s="666"/>
      <c r="AA503" s="666"/>
      <c r="AB503" s="666"/>
      <c r="AC503" s="666"/>
      <c r="AD503" s="666"/>
      <c r="AE503" s="666"/>
      <c r="AF503" s="666"/>
      <c r="AG503" s="666"/>
      <c r="AH503" s="666"/>
      <c r="AI503" s="666"/>
      <c r="AJ503" s="666"/>
      <c r="AK503" s="666"/>
      <c r="AL503" s="666"/>
      <c r="AM503" s="666"/>
      <c r="AN503" s="666"/>
      <c r="AO503" s="666"/>
      <c r="AP503" s="666"/>
      <c r="AQ503" s="666"/>
      <c r="AR503" s="666"/>
      <c r="AS503" s="666"/>
      <c r="AT503" s="666"/>
      <c r="AU503" s="666"/>
      <c r="AV503" s="666"/>
      <c r="AW503" s="666"/>
      <c r="AX503" s="666"/>
      <c r="AY503" s="666"/>
      <c r="AZ503" s="666"/>
      <c r="BA503" s="666"/>
      <c r="BB503" s="666"/>
      <c r="BC503" s="666"/>
      <c r="BD503" s="666"/>
      <c r="BE503" s="666"/>
      <c r="BF503" s="666"/>
      <c r="BG503" s="666"/>
      <c r="BH503" s="666"/>
      <c r="BI503" s="666"/>
      <c r="BJ503" s="666"/>
      <c r="BK503" s="666"/>
      <c r="BL503" s="666"/>
      <c r="BM503" s="666"/>
      <c r="BN503" s="666"/>
      <c r="BO503" s="666"/>
      <c r="BP503" s="666"/>
      <c r="BQ503" s="666"/>
      <c r="BR503" s="666"/>
      <c r="BS503" s="666"/>
      <c r="BT503" s="666"/>
      <c r="BU503" s="666"/>
      <c r="BV503" s="747"/>
      <c r="BW503" s="453"/>
    </row>
    <row r="504" spans="1:75" ht="15" customHeight="1" x14ac:dyDescent="0.2">
      <c r="A504" s="1752"/>
      <c r="B504" s="742"/>
      <c r="C504" s="746"/>
      <c r="D504" s="666"/>
      <c r="E504" s="666"/>
      <c r="F504" s="666"/>
      <c r="G504" s="666"/>
      <c r="H504" s="666"/>
      <c r="I504" s="666"/>
      <c r="J504" s="666"/>
      <c r="K504" s="666"/>
      <c r="L504" s="666"/>
      <c r="M504" s="666"/>
      <c r="N504" s="666"/>
      <c r="O504" s="666"/>
      <c r="P504" s="666"/>
      <c r="Q504" s="666"/>
      <c r="R504" s="666"/>
      <c r="S504" s="666"/>
      <c r="T504" s="666"/>
      <c r="U504" s="666"/>
      <c r="V504" s="666"/>
      <c r="W504" s="666"/>
      <c r="X504" s="666"/>
      <c r="Y504" s="666"/>
      <c r="Z504" s="666"/>
      <c r="AA504" s="666"/>
      <c r="AB504" s="666"/>
      <c r="AC504" s="666"/>
      <c r="AD504" s="666"/>
      <c r="AE504" s="666"/>
      <c r="AF504" s="666"/>
      <c r="AG504" s="666"/>
      <c r="AH504" s="666"/>
      <c r="AI504" s="666"/>
      <c r="AJ504" s="666"/>
      <c r="AK504" s="666"/>
      <c r="AL504" s="666"/>
      <c r="AM504" s="666"/>
      <c r="AN504" s="666"/>
      <c r="AO504" s="666"/>
      <c r="AP504" s="666"/>
      <c r="AQ504" s="666"/>
      <c r="AR504" s="666"/>
      <c r="AS504" s="666"/>
      <c r="AT504" s="666"/>
      <c r="AU504" s="666"/>
      <c r="AV504" s="666"/>
      <c r="AW504" s="666"/>
      <c r="AX504" s="666"/>
      <c r="AY504" s="666"/>
      <c r="AZ504" s="666"/>
      <c r="BA504" s="666"/>
      <c r="BB504" s="666"/>
      <c r="BC504" s="666"/>
      <c r="BD504" s="666"/>
      <c r="BE504" s="666"/>
      <c r="BF504" s="666"/>
      <c r="BG504" s="666"/>
      <c r="BH504" s="666"/>
      <c r="BI504" s="666"/>
      <c r="BJ504" s="666"/>
      <c r="BK504" s="666"/>
      <c r="BL504" s="666"/>
      <c r="BM504" s="666"/>
      <c r="BN504" s="666"/>
      <c r="BO504" s="666"/>
      <c r="BP504" s="666"/>
      <c r="BQ504" s="666"/>
      <c r="BR504" s="666"/>
      <c r="BS504" s="666"/>
      <c r="BT504" s="666"/>
      <c r="BU504" s="666"/>
      <c r="BV504" s="747"/>
      <c r="BW504" s="453"/>
    </row>
    <row r="505" spans="1:75" ht="15" customHeight="1" x14ac:dyDescent="0.2">
      <c r="A505" s="1752"/>
      <c r="B505" s="742"/>
      <c r="C505" s="746"/>
      <c r="D505" s="666"/>
      <c r="E505" s="666"/>
      <c r="F505" s="666"/>
      <c r="G505" s="666"/>
      <c r="H505" s="666"/>
      <c r="I505" s="666"/>
      <c r="J505" s="666"/>
      <c r="K505" s="666"/>
      <c r="L505" s="666"/>
      <c r="M505" s="666"/>
      <c r="N505" s="666"/>
      <c r="O505" s="666"/>
      <c r="P505" s="666"/>
      <c r="Q505" s="666"/>
      <c r="R505" s="666"/>
      <c r="S505" s="666"/>
      <c r="T505" s="666"/>
      <c r="U505" s="666"/>
      <c r="V505" s="666"/>
      <c r="W505" s="666"/>
      <c r="X505" s="666"/>
      <c r="Y505" s="666"/>
      <c r="Z505" s="666"/>
      <c r="AA505" s="666"/>
      <c r="AB505" s="666"/>
      <c r="AC505" s="666"/>
      <c r="AD505" s="666"/>
      <c r="AE505" s="666"/>
      <c r="AF505" s="666"/>
      <c r="AG505" s="666"/>
      <c r="AH505" s="666"/>
      <c r="AI505" s="666"/>
      <c r="AJ505" s="666"/>
      <c r="AK505" s="666"/>
      <c r="AL505" s="666"/>
      <c r="AM505" s="666"/>
      <c r="AN505" s="666"/>
      <c r="AO505" s="666"/>
      <c r="AP505" s="666"/>
      <c r="AQ505" s="666"/>
      <c r="AR505" s="666"/>
      <c r="AS505" s="666"/>
      <c r="AT505" s="666"/>
      <c r="AU505" s="666"/>
      <c r="AV505" s="666"/>
      <c r="AW505" s="666"/>
      <c r="AX505" s="666"/>
      <c r="AY505" s="666"/>
      <c r="AZ505" s="666"/>
      <c r="BA505" s="666"/>
      <c r="BB505" s="666"/>
      <c r="BC505" s="666"/>
      <c r="BD505" s="666"/>
      <c r="BE505" s="666"/>
      <c r="BF505" s="666"/>
      <c r="BG505" s="666"/>
      <c r="BH505" s="666"/>
      <c r="BI505" s="666"/>
      <c r="BJ505" s="666"/>
      <c r="BK505" s="666"/>
      <c r="BL505" s="666"/>
      <c r="BM505" s="666"/>
      <c r="BN505" s="666"/>
      <c r="BO505" s="666"/>
      <c r="BP505" s="666"/>
      <c r="BQ505" s="666"/>
      <c r="BR505" s="666"/>
      <c r="BS505" s="666"/>
      <c r="BT505" s="666"/>
      <c r="BU505" s="666"/>
      <c r="BV505" s="747"/>
      <c r="BW505" s="453"/>
    </row>
    <row r="506" spans="1:75" ht="15" customHeight="1" x14ac:dyDescent="0.2">
      <c r="A506" s="1752"/>
      <c r="B506" s="742"/>
      <c r="C506" s="746"/>
      <c r="D506" s="666"/>
      <c r="E506" s="666"/>
      <c r="F506" s="666"/>
      <c r="G506" s="666"/>
      <c r="H506" s="666"/>
      <c r="I506" s="666"/>
      <c r="J506" s="666"/>
      <c r="K506" s="666"/>
      <c r="L506" s="666"/>
      <c r="M506" s="666"/>
      <c r="N506" s="666"/>
      <c r="O506" s="666"/>
      <c r="P506" s="666"/>
      <c r="Q506" s="666"/>
      <c r="R506" s="666"/>
      <c r="S506" s="666"/>
      <c r="T506" s="666"/>
      <c r="U506" s="666"/>
      <c r="V506" s="666"/>
      <c r="W506" s="666"/>
      <c r="X506" s="666"/>
      <c r="Y506" s="666"/>
      <c r="Z506" s="666"/>
      <c r="AA506" s="666"/>
      <c r="AB506" s="666"/>
      <c r="AC506" s="666"/>
      <c r="AD506" s="666"/>
      <c r="AE506" s="666"/>
      <c r="AF506" s="666"/>
      <c r="AG506" s="666"/>
      <c r="AH506" s="666"/>
      <c r="AI506" s="666"/>
      <c r="AJ506" s="666"/>
      <c r="AK506" s="666"/>
      <c r="AL506" s="666"/>
      <c r="AM506" s="666"/>
      <c r="AN506" s="666"/>
      <c r="AO506" s="666"/>
      <c r="AP506" s="666"/>
      <c r="AQ506" s="666"/>
      <c r="AR506" s="666"/>
      <c r="AS506" s="666"/>
      <c r="AT506" s="666"/>
      <c r="AU506" s="666"/>
      <c r="AV506" s="666"/>
      <c r="AW506" s="666"/>
      <c r="AX506" s="666"/>
      <c r="AY506" s="666"/>
      <c r="AZ506" s="666"/>
      <c r="BA506" s="666"/>
      <c r="BB506" s="666"/>
      <c r="BC506" s="666"/>
      <c r="BD506" s="666"/>
      <c r="BE506" s="666"/>
      <c r="BF506" s="666"/>
      <c r="BG506" s="666"/>
      <c r="BH506" s="666"/>
      <c r="BI506" s="666"/>
      <c r="BJ506" s="666"/>
      <c r="BK506" s="666"/>
      <c r="BL506" s="666"/>
      <c r="BM506" s="666"/>
      <c r="BN506" s="666"/>
      <c r="BO506" s="666"/>
      <c r="BP506" s="666"/>
      <c r="BQ506" s="666"/>
      <c r="BR506" s="666"/>
      <c r="BS506" s="666"/>
      <c r="BT506" s="666"/>
      <c r="BU506" s="666"/>
      <c r="BV506" s="747"/>
      <c r="BW506" s="453"/>
    </row>
    <row r="507" spans="1:75" ht="15" customHeight="1" x14ac:dyDescent="0.2">
      <c r="A507" s="1752"/>
      <c r="B507" s="742"/>
      <c r="C507" s="746"/>
      <c r="D507" s="666"/>
      <c r="E507" s="666"/>
      <c r="F507" s="666"/>
      <c r="G507" s="666"/>
      <c r="H507" s="666"/>
      <c r="I507" s="666"/>
      <c r="J507" s="666"/>
      <c r="K507" s="666"/>
      <c r="L507" s="666"/>
      <c r="M507" s="666"/>
      <c r="N507" s="666"/>
      <c r="O507" s="666"/>
      <c r="P507" s="666"/>
      <c r="Q507" s="666"/>
      <c r="R507" s="666"/>
      <c r="S507" s="666"/>
      <c r="T507" s="666"/>
      <c r="U507" s="666"/>
      <c r="V507" s="666"/>
      <c r="W507" s="666"/>
      <c r="X507" s="666"/>
      <c r="Y507" s="666"/>
      <c r="Z507" s="666"/>
      <c r="AA507" s="666"/>
      <c r="AB507" s="666"/>
      <c r="AC507" s="666"/>
      <c r="AD507" s="666"/>
      <c r="AE507" s="666"/>
      <c r="AF507" s="666"/>
      <c r="AG507" s="666"/>
      <c r="AH507" s="666"/>
      <c r="AI507" s="666"/>
      <c r="AJ507" s="666"/>
      <c r="AK507" s="666"/>
      <c r="AL507" s="666"/>
      <c r="AM507" s="666"/>
      <c r="AN507" s="666"/>
      <c r="AO507" s="666"/>
      <c r="AP507" s="666"/>
      <c r="AQ507" s="666"/>
      <c r="AR507" s="666"/>
      <c r="AS507" s="666"/>
      <c r="AT507" s="666"/>
      <c r="AU507" s="666"/>
      <c r="AV507" s="666"/>
      <c r="AW507" s="666"/>
      <c r="AX507" s="666"/>
      <c r="AY507" s="666"/>
      <c r="AZ507" s="666"/>
      <c r="BA507" s="666"/>
      <c r="BB507" s="666"/>
      <c r="BC507" s="666"/>
      <c r="BD507" s="666"/>
      <c r="BE507" s="666"/>
      <c r="BF507" s="666"/>
      <c r="BG507" s="666"/>
      <c r="BH507" s="666"/>
      <c r="BI507" s="666"/>
      <c r="BJ507" s="666"/>
      <c r="BK507" s="666"/>
      <c r="BL507" s="666"/>
      <c r="BM507" s="666"/>
      <c r="BN507" s="666"/>
      <c r="BO507" s="666"/>
      <c r="BP507" s="666"/>
      <c r="BQ507" s="666"/>
      <c r="BR507" s="666"/>
      <c r="BS507" s="666"/>
      <c r="BT507" s="666"/>
      <c r="BU507" s="666"/>
      <c r="BV507" s="747"/>
      <c r="BW507" s="453"/>
    </row>
    <row r="508" spans="1:75" ht="15" customHeight="1" x14ac:dyDescent="0.2">
      <c r="A508" s="1752"/>
      <c r="B508" s="742"/>
      <c r="C508" s="746"/>
      <c r="D508" s="666"/>
      <c r="E508" s="666"/>
      <c r="F508" s="666"/>
      <c r="G508" s="666"/>
      <c r="H508" s="666"/>
      <c r="I508" s="666"/>
      <c r="J508" s="666"/>
      <c r="K508" s="666"/>
      <c r="L508" s="666"/>
      <c r="M508" s="666"/>
      <c r="N508" s="666"/>
      <c r="O508" s="666"/>
      <c r="P508" s="666"/>
      <c r="Q508" s="666"/>
      <c r="R508" s="666"/>
      <c r="S508" s="666"/>
      <c r="T508" s="666"/>
      <c r="U508" s="666"/>
      <c r="V508" s="666"/>
      <c r="W508" s="666"/>
      <c r="X508" s="666"/>
      <c r="Y508" s="666"/>
      <c r="Z508" s="666"/>
      <c r="AA508" s="666"/>
      <c r="AB508" s="666"/>
      <c r="AC508" s="666"/>
      <c r="AD508" s="666"/>
      <c r="AE508" s="666"/>
      <c r="AF508" s="666"/>
      <c r="AG508" s="666"/>
      <c r="AH508" s="666"/>
      <c r="AI508" s="666"/>
      <c r="AJ508" s="666"/>
      <c r="AK508" s="666"/>
      <c r="AL508" s="666"/>
      <c r="AM508" s="666"/>
      <c r="AN508" s="666"/>
      <c r="AO508" s="666"/>
      <c r="AP508" s="666"/>
      <c r="AQ508" s="666"/>
      <c r="AR508" s="666"/>
      <c r="AS508" s="666"/>
      <c r="AT508" s="666"/>
      <c r="AU508" s="666"/>
      <c r="AV508" s="666"/>
      <c r="AW508" s="666"/>
      <c r="AX508" s="666"/>
      <c r="AY508" s="666"/>
      <c r="AZ508" s="666"/>
      <c r="BA508" s="666"/>
      <c r="BB508" s="666"/>
      <c r="BC508" s="666"/>
      <c r="BD508" s="666"/>
      <c r="BE508" s="666"/>
      <c r="BF508" s="666"/>
      <c r="BG508" s="666"/>
      <c r="BH508" s="666"/>
      <c r="BI508" s="666"/>
      <c r="BJ508" s="666"/>
      <c r="BK508" s="666"/>
      <c r="BL508" s="666"/>
      <c r="BM508" s="666"/>
      <c r="BN508" s="666"/>
      <c r="BO508" s="666"/>
      <c r="BP508" s="666"/>
      <c r="BQ508" s="666"/>
      <c r="BR508" s="666"/>
      <c r="BS508" s="666"/>
      <c r="BT508" s="666"/>
      <c r="BU508" s="666"/>
      <c r="BV508" s="747"/>
      <c r="BW508" s="453"/>
    </row>
    <row r="509" spans="1:75" ht="15" customHeight="1" x14ac:dyDescent="0.2">
      <c r="A509" s="1752"/>
      <c r="B509" s="742"/>
      <c r="C509" s="746"/>
      <c r="D509" s="666"/>
      <c r="E509" s="666"/>
      <c r="F509" s="666"/>
      <c r="G509" s="666"/>
      <c r="H509" s="666"/>
      <c r="I509" s="666"/>
      <c r="J509" s="666"/>
      <c r="K509" s="666"/>
      <c r="L509" s="666"/>
      <c r="M509" s="666"/>
      <c r="N509" s="666"/>
      <c r="O509" s="666"/>
      <c r="P509" s="666"/>
      <c r="Q509" s="666"/>
      <c r="R509" s="666"/>
      <c r="S509" s="666"/>
      <c r="T509" s="666"/>
      <c r="U509" s="666"/>
      <c r="V509" s="666"/>
      <c r="W509" s="666"/>
      <c r="X509" s="666"/>
      <c r="Y509" s="666"/>
      <c r="Z509" s="666"/>
      <c r="AA509" s="666"/>
      <c r="AB509" s="666"/>
      <c r="AC509" s="666"/>
      <c r="AD509" s="666"/>
      <c r="AE509" s="666"/>
      <c r="AF509" s="666"/>
      <c r="AG509" s="666"/>
      <c r="AH509" s="666"/>
      <c r="AI509" s="666"/>
      <c r="AJ509" s="666"/>
      <c r="AK509" s="666"/>
      <c r="AL509" s="666"/>
      <c r="AM509" s="666"/>
      <c r="AN509" s="666"/>
      <c r="AO509" s="666"/>
      <c r="AP509" s="666"/>
      <c r="AQ509" s="666"/>
      <c r="AR509" s="666"/>
      <c r="AS509" s="666"/>
      <c r="AT509" s="666"/>
      <c r="AU509" s="666"/>
      <c r="AV509" s="666"/>
      <c r="AW509" s="666"/>
      <c r="AX509" s="666"/>
      <c r="AY509" s="666"/>
      <c r="AZ509" s="666"/>
      <c r="BA509" s="666"/>
      <c r="BB509" s="666"/>
      <c r="BC509" s="666"/>
      <c r="BD509" s="666"/>
      <c r="BE509" s="666"/>
      <c r="BF509" s="666"/>
      <c r="BG509" s="666"/>
      <c r="BH509" s="666"/>
      <c r="BI509" s="666"/>
      <c r="BJ509" s="666"/>
      <c r="BK509" s="666"/>
      <c r="BL509" s="666"/>
      <c r="BM509" s="666"/>
      <c r="BN509" s="666"/>
      <c r="BO509" s="666"/>
      <c r="BP509" s="666"/>
      <c r="BQ509" s="666"/>
      <c r="BR509" s="666"/>
      <c r="BS509" s="666"/>
      <c r="BT509" s="666"/>
      <c r="BU509" s="666"/>
      <c r="BV509" s="747"/>
      <c r="BW509" s="453"/>
    </row>
    <row r="510" spans="1:75" ht="15" customHeight="1" x14ac:dyDescent="0.2">
      <c r="A510" s="1752"/>
      <c r="B510" s="742"/>
      <c r="C510" s="746"/>
      <c r="D510" s="666"/>
      <c r="E510" s="666"/>
      <c r="F510" s="666"/>
      <c r="G510" s="666"/>
      <c r="H510" s="666"/>
      <c r="I510" s="666"/>
      <c r="J510" s="666"/>
      <c r="K510" s="666"/>
      <c r="L510" s="666"/>
      <c r="M510" s="666"/>
      <c r="N510" s="666"/>
      <c r="O510" s="666"/>
      <c r="P510" s="666"/>
      <c r="Q510" s="666"/>
      <c r="R510" s="666"/>
      <c r="S510" s="666"/>
      <c r="T510" s="666"/>
      <c r="U510" s="666"/>
      <c r="V510" s="666"/>
      <c r="W510" s="666"/>
      <c r="X510" s="666"/>
      <c r="Y510" s="666"/>
      <c r="Z510" s="666"/>
      <c r="AA510" s="666"/>
      <c r="AB510" s="666"/>
      <c r="AC510" s="666"/>
      <c r="AD510" s="666"/>
      <c r="AE510" s="666"/>
      <c r="AF510" s="666"/>
      <c r="AG510" s="666"/>
      <c r="AH510" s="666"/>
      <c r="AI510" s="666"/>
      <c r="AJ510" s="666"/>
      <c r="AK510" s="666"/>
      <c r="AL510" s="666"/>
      <c r="AM510" s="666"/>
      <c r="AN510" s="666"/>
      <c r="AO510" s="666"/>
      <c r="AP510" s="666"/>
      <c r="AQ510" s="666"/>
      <c r="AR510" s="666"/>
      <c r="AS510" s="666"/>
      <c r="AT510" s="666"/>
      <c r="AU510" s="666"/>
      <c r="AV510" s="666"/>
      <c r="AW510" s="666"/>
      <c r="AX510" s="666"/>
      <c r="AY510" s="666"/>
      <c r="AZ510" s="666"/>
      <c r="BA510" s="666"/>
      <c r="BB510" s="666"/>
      <c r="BC510" s="666"/>
      <c r="BD510" s="666"/>
      <c r="BE510" s="666"/>
      <c r="BF510" s="666"/>
      <c r="BG510" s="666"/>
      <c r="BH510" s="666"/>
      <c r="BI510" s="666"/>
      <c r="BJ510" s="666"/>
      <c r="BK510" s="666"/>
      <c r="BL510" s="666"/>
      <c r="BM510" s="666"/>
      <c r="BN510" s="666"/>
      <c r="BO510" s="666"/>
      <c r="BP510" s="666"/>
      <c r="BQ510" s="666"/>
      <c r="BR510" s="666"/>
      <c r="BS510" s="666"/>
      <c r="BT510" s="666"/>
      <c r="BU510" s="666"/>
      <c r="BV510" s="747"/>
      <c r="BW510" s="453"/>
    </row>
    <row r="511" spans="1:75" ht="15" customHeight="1" x14ac:dyDescent="0.2">
      <c r="A511" s="1752"/>
      <c r="B511" s="742"/>
      <c r="C511" s="746"/>
      <c r="D511" s="666"/>
      <c r="E511" s="666"/>
      <c r="F511" s="666"/>
      <c r="G511" s="666"/>
      <c r="H511" s="666"/>
      <c r="I511" s="666"/>
      <c r="J511" s="666"/>
      <c r="K511" s="666"/>
      <c r="L511" s="666"/>
      <c r="M511" s="666"/>
      <c r="N511" s="666"/>
      <c r="O511" s="666"/>
      <c r="P511" s="666"/>
      <c r="Q511" s="666"/>
      <c r="R511" s="666"/>
      <c r="S511" s="666"/>
      <c r="T511" s="666"/>
      <c r="U511" s="666"/>
      <c r="V511" s="666"/>
      <c r="W511" s="666"/>
      <c r="X511" s="666"/>
      <c r="Y511" s="666"/>
      <c r="Z511" s="666"/>
      <c r="AA511" s="666"/>
      <c r="AB511" s="666"/>
      <c r="AC511" s="666"/>
      <c r="AD511" s="666"/>
      <c r="AE511" s="666"/>
      <c r="AF511" s="666"/>
      <c r="AG511" s="666"/>
      <c r="AH511" s="666"/>
      <c r="AI511" s="666"/>
      <c r="AJ511" s="666"/>
      <c r="AK511" s="666"/>
      <c r="AL511" s="666"/>
      <c r="AM511" s="666"/>
      <c r="AN511" s="666"/>
      <c r="AO511" s="666"/>
      <c r="AP511" s="666"/>
      <c r="AQ511" s="666"/>
      <c r="AR511" s="666"/>
      <c r="AS511" s="666"/>
      <c r="AT511" s="666"/>
      <c r="AU511" s="666"/>
      <c r="AV511" s="666"/>
      <c r="AW511" s="666"/>
      <c r="AX511" s="666"/>
      <c r="AY511" s="666"/>
      <c r="AZ511" s="666"/>
      <c r="BA511" s="666"/>
      <c r="BB511" s="666"/>
      <c r="BC511" s="666"/>
      <c r="BD511" s="666"/>
      <c r="BE511" s="666"/>
      <c r="BF511" s="666"/>
      <c r="BG511" s="666"/>
      <c r="BH511" s="666"/>
      <c r="BI511" s="666"/>
      <c r="BJ511" s="666"/>
      <c r="BK511" s="666"/>
      <c r="BL511" s="666"/>
      <c r="BM511" s="666"/>
      <c r="BN511" s="666"/>
      <c r="BO511" s="666"/>
      <c r="BP511" s="666"/>
      <c r="BQ511" s="666"/>
      <c r="BR511" s="666"/>
      <c r="BS511" s="666"/>
      <c r="BT511" s="666"/>
      <c r="BU511" s="666"/>
      <c r="BV511" s="747"/>
      <c r="BW511" s="453"/>
    </row>
    <row r="512" spans="1:75" ht="15" customHeight="1" x14ac:dyDescent="0.2">
      <c r="A512" s="1752"/>
      <c r="B512" s="742"/>
      <c r="C512" s="746"/>
      <c r="D512" s="666"/>
      <c r="E512" s="666"/>
      <c r="F512" s="666"/>
      <c r="G512" s="666"/>
      <c r="H512" s="666"/>
      <c r="I512" s="666"/>
      <c r="J512" s="666"/>
      <c r="K512" s="666"/>
      <c r="L512" s="666"/>
      <c r="M512" s="666"/>
      <c r="N512" s="666"/>
      <c r="O512" s="666"/>
      <c r="P512" s="666"/>
      <c r="Q512" s="666"/>
      <c r="R512" s="666"/>
      <c r="S512" s="666"/>
      <c r="T512" s="666"/>
      <c r="U512" s="666"/>
      <c r="V512" s="666"/>
      <c r="W512" s="666"/>
      <c r="X512" s="666"/>
      <c r="Y512" s="666"/>
      <c r="Z512" s="666"/>
      <c r="AA512" s="666"/>
      <c r="AB512" s="666"/>
      <c r="AC512" s="666"/>
      <c r="AD512" s="666"/>
      <c r="AE512" s="666"/>
      <c r="AF512" s="666"/>
      <c r="AG512" s="666"/>
      <c r="AH512" s="666"/>
      <c r="AI512" s="666"/>
      <c r="AJ512" s="666"/>
      <c r="AK512" s="666"/>
      <c r="AL512" s="666"/>
      <c r="AM512" s="666"/>
      <c r="AN512" s="666"/>
      <c r="AO512" s="666"/>
      <c r="AP512" s="666"/>
      <c r="AQ512" s="666"/>
      <c r="AR512" s="666"/>
      <c r="AS512" s="666"/>
      <c r="AT512" s="666"/>
      <c r="AU512" s="666"/>
      <c r="AV512" s="666"/>
      <c r="AW512" s="666"/>
      <c r="AX512" s="666"/>
      <c r="AY512" s="666"/>
      <c r="AZ512" s="666"/>
      <c r="BA512" s="666"/>
      <c r="BB512" s="666"/>
      <c r="BC512" s="666"/>
      <c r="BD512" s="666"/>
      <c r="BE512" s="666"/>
      <c r="BF512" s="666"/>
      <c r="BG512" s="666"/>
      <c r="BH512" s="666"/>
      <c r="BI512" s="666"/>
      <c r="BJ512" s="666"/>
      <c r="BK512" s="666"/>
      <c r="BL512" s="666"/>
      <c r="BM512" s="666"/>
      <c r="BN512" s="666"/>
      <c r="BO512" s="666"/>
      <c r="BP512" s="666"/>
      <c r="BQ512" s="666"/>
      <c r="BR512" s="666"/>
      <c r="BS512" s="666"/>
      <c r="BT512" s="666"/>
      <c r="BU512" s="666"/>
      <c r="BV512" s="747"/>
      <c r="BW512" s="453"/>
    </row>
    <row r="513" spans="1:75" ht="15" customHeight="1" x14ac:dyDescent="0.2">
      <c r="A513" s="1752"/>
      <c r="B513" s="742"/>
      <c r="C513" s="746"/>
      <c r="D513" s="666"/>
      <c r="E513" s="666"/>
      <c r="F513" s="666"/>
      <c r="G513" s="666"/>
      <c r="H513" s="666"/>
      <c r="I513" s="666"/>
      <c r="J513" s="666"/>
      <c r="K513" s="666"/>
      <c r="L513" s="666"/>
      <c r="M513" s="666"/>
      <c r="N513" s="666"/>
      <c r="O513" s="666"/>
      <c r="P513" s="666"/>
      <c r="Q513" s="666"/>
      <c r="R513" s="666"/>
      <c r="S513" s="666"/>
      <c r="T513" s="666"/>
      <c r="U513" s="666"/>
      <c r="V513" s="666"/>
      <c r="W513" s="666"/>
      <c r="X513" s="666"/>
      <c r="Y513" s="666"/>
      <c r="Z513" s="666"/>
      <c r="AA513" s="666"/>
      <c r="AB513" s="666"/>
      <c r="AC513" s="666"/>
      <c r="AD513" s="666"/>
      <c r="AE513" s="666"/>
      <c r="AF513" s="666"/>
      <c r="AG513" s="666"/>
      <c r="AH513" s="666"/>
      <c r="AI513" s="666"/>
      <c r="AJ513" s="666"/>
      <c r="AK513" s="666"/>
      <c r="AL513" s="666"/>
      <c r="AM513" s="666"/>
      <c r="AN513" s="666"/>
      <c r="AO513" s="666"/>
      <c r="AP513" s="666"/>
      <c r="AQ513" s="666"/>
      <c r="AR513" s="666"/>
      <c r="AS513" s="666"/>
      <c r="AT513" s="666"/>
      <c r="AU513" s="666"/>
      <c r="AV513" s="666"/>
      <c r="AW513" s="666"/>
      <c r="AX513" s="666"/>
      <c r="AY513" s="666"/>
      <c r="AZ513" s="666"/>
      <c r="BA513" s="666"/>
      <c r="BB513" s="666"/>
      <c r="BC513" s="666"/>
      <c r="BD513" s="666"/>
      <c r="BE513" s="666"/>
      <c r="BF513" s="666"/>
      <c r="BG513" s="666"/>
      <c r="BH513" s="666"/>
      <c r="BI513" s="666"/>
      <c r="BJ513" s="666"/>
      <c r="BK513" s="666"/>
      <c r="BL513" s="666"/>
      <c r="BM513" s="666"/>
      <c r="BN513" s="666"/>
      <c r="BO513" s="666"/>
      <c r="BP513" s="666"/>
      <c r="BQ513" s="666"/>
      <c r="BR513" s="666"/>
      <c r="BS513" s="666"/>
      <c r="BT513" s="666"/>
      <c r="BU513" s="666"/>
      <c r="BV513" s="747"/>
      <c r="BW513" s="453"/>
    </row>
    <row r="514" spans="1:75" ht="15" customHeight="1" x14ac:dyDescent="0.2">
      <c r="A514" s="1752"/>
      <c r="B514" s="742"/>
      <c r="C514" s="746"/>
      <c r="D514" s="666"/>
      <c r="E514" s="666"/>
      <c r="F514" s="666"/>
      <c r="G514" s="666"/>
      <c r="H514" s="666"/>
      <c r="I514" s="666"/>
      <c r="J514" s="666"/>
      <c r="K514" s="666"/>
      <c r="L514" s="666"/>
      <c r="M514" s="666"/>
      <c r="N514" s="666"/>
      <c r="O514" s="666"/>
      <c r="P514" s="666"/>
      <c r="Q514" s="666"/>
      <c r="R514" s="666"/>
      <c r="S514" s="666"/>
      <c r="T514" s="666"/>
      <c r="U514" s="666"/>
      <c r="V514" s="666"/>
      <c r="W514" s="666"/>
      <c r="X514" s="666"/>
      <c r="Y514" s="666"/>
      <c r="Z514" s="666"/>
      <c r="AA514" s="666"/>
      <c r="AB514" s="666"/>
      <c r="AC514" s="666"/>
      <c r="AD514" s="666"/>
      <c r="AE514" s="666"/>
      <c r="AF514" s="666"/>
      <c r="AG514" s="666"/>
      <c r="AH514" s="666"/>
      <c r="AI514" s="666"/>
      <c r="AJ514" s="666"/>
      <c r="AK514" s="666"/>
      <c r="AL514" s="666"/>
      <c r="AM514" s="666"/>
      <c r="AN514" s="666"/>
      <c r="AO514" s="666"/>
      <c r="AP514" s="666"/>
      <c r="AQ514" s="666"/>
      <c r="AR514" s="666"/>
      <c r="AS514" s="666"/>
      <c r="AT514" s="666"/>
      <c r="AU514" s="666"/>
      <c r="AV514" s="666"/>
      <c r="AW514" s="666"/>
      <c r="AX514" s="666"/>
      <c r="AY514" s="666"/>
      <c r="AZ514" s="666"/>
      <c r="BA514" s="666"/>
      <c r="BB514" s="666"/>
      <c r="BC514" s="666"/>
      <c r="BD514" s="666"/>
      <c r="BE514" s="666"/>
      <c r="BF514" s="666"/>
      <c r="BG514" s="666"/>
      <c r="BH514" s="666"/>
      <c r="BI514" s="666"/>
      <c r="BJ514" s="666"/>
      <c r="BK514" s="666"/>
      <c r="BL514" s="666"/>
      <c r="BM514" s="666"/>
      <c r="BN514" s="666"/>
      <c r="BO514" s="666"/>
      <c r="BP514" s="666"/>
      <c r="BQ514" s="666"/>
      <c r="BR514" s="666"/>
      <c r="BS514" s="666"/>
      <c r="BT514" s="666"/>
      <c r="BU514" s="666"/>
      <c r="BV514" s="747"/>
      <c r="BW514" s="453"/>
    </row>
    <row r="515" spans="1:75" ht="15" customHeight="1" x14ac:dyDescent="0.2">
      <c r="A515" s="1752"/>
      <c r="B515" s="742"/>
      <c r="C515" s="746"/>
      <c r="D515" s="666"/>
      <c r="E515" s="666"/>
      <c r="F515" s="666"/>
      <c r="G515" s="666"/>
      <c r="H515" s="666"/>
      <c r="I515" s="666"/>
      <c r="J515" s="666"/>
      <c r="K515" s="666"/>
      <c r="L515" s="666"/>
      <c r="M515" s="666"/>
      <c r="N515" s="666"/>
      <c r="O515" s="666"/>
      <c r="P515" s="666"/>
      <c r="Q515" s="666"/>
      <c r="R515" s="666"/>
      <c r="S515" s="666"/>
      <c r="T515" s="666"/>
      <c r="U515" s="666"/>
      <c r="V515" s="666"/>
      <c r="W515" s="666"/>
      <c r="X515" s="666"/>
      <c r="Y515" s="666"/>
      <c r="Z515" s="666"/>
      <c r="AA515" s="666"/>
      <c r="AB515" s="666"/>
      <c r="AC515" s="666"/>
      <c r="AD515" s="666"/>
      <c r="AE515" s="666"/>
      <c r="AF515" s="666"/>
      <c r="AG515" s="666"/>
      <c r="AH515" s="666"/>
      <c r="AI515" s="666"/>
      <c r="AJ515" s="666"/>
      <c r="AK515" s="666"/>
      <c r="AL515" s="666"/>
      <c r="AM515" s="666"/>
      <c r="AN515" s="666"/>
      <c r="AO515" s="666"/>
      <c r="AP515" s="666"/>
      <c r="AQ515" s="666"/>
      <c r="AR515" s="666"/>
      <c r="AS515" s="666"/>
      <c r="AT515" s="666"/>
      <c r="AU515" s="666"/>
      <c r="AV515" s="666"/>
      <c r="AW515" s="666"/>
      <c r="AX515" s="666"/>
      <c r="AY515" s="666"/>
      <c r="AZ515" s="666"/>
      <c r="BA515" s="666"/>
      <c r="BB515" s="666"/>
      <c r="BC515" s="666"/>
      <c r="BD515" s="666"/>
      <c r="BE515" s="666"/>
      <c r="BF515" s="666"/>
      <c r="BG515" s="666"/>
      <c r="BH515" s="666"/>
      <c r="BI515" s="666"/>
      <c r="BJ515" s="666"/>
      <c r="BK515" s="666"/>
      <c r="BL515" s="666"/>
      <c r="BM515" s="666"/>
      <c r="BN515" s="666"/>
      <c r="BO515" s="666"/>
      <c r="BP515" s="666"/>
      <c r="BQ515" s="666"/>
      <c r="BR515" s="666"/>
      <c r="BS515" s="666"/>
      <c r="BT515" s="666"/>
      <c r="BU515" s="666"/>
      <c r="BV515" s="747"/>
      <c r="BW515" s="453"/>
    </row>
    <row r="516" spans="1:75" ht="15" customHeight="1" x14ac:dyDescent="0.2">
      <c r="A516" s="1752"/>
      <c r="B516" s="742"/>
      <c r="C516" s="746"/>
      <c r="D516" s="666"/>
      <c r="E516" s="666"/>
      <c r="F516" s="666"/>
      <c r="G516" s="666"/>
      <c r="H516" s="666"/>
      <c r="I516" s="666"/>
      <c r="J516" s="666"/>
      <c r="K516" s="666"/>
      <c r="L516" s="666"/>
      <c r="M516" s="666"/>
      <c r="N516" s="666"/>
      <c r="O516" s="666"/>
      <c r="P516" s="666"/>
      <c r="Q516" s="666"/>
      <c r="R516" s="666"/>
      <c r="S516" s="666"/>
      <c r="T516" s="666"/>
      <c r="U516" s="666"/>
      <c r="V516" s="666"/>
      <c r="W516" s="666"/>
      <c r="X516" s="666"/>
      <c r="Y516" s="666"/>
      <c r="Z516" s="666"/>
      <c r="AA516" s="666"/>
      <c r="AB516" s="666"/>
      <c r="AC516" s="666"/>
      <c r="AD516" s="666"/>
      <c r="AE516" s="666"/>
      <c r="AF516" s="666"/>
      <c r="AG516" s="666"/>
      <c r="AH516" s="666"/>
      <c r="AI516" s="666"/>
      <c r="AJ516" s="666"/>
      <c r="AK516" s="666"/>
      <c r="AL516" s="666"/>
      <c r="AM516" s="666"/>
      <c r="AN516" s="666"/>
      <c r="AO516" s="666"/>
      <c r="AP516" s="666"/>
      <c r="AQ516" s="666"/>
      <c r="AR516" s="666"/>
      <c r="AS516" s="666"/>
      <c r="AT516" s="666"/>
      <c r="AU516" s="666"/>
      <c r="AV516" s="666"/>
      <c r="AW516" s="666"/>
      <c r="AX516" s="666"/>
      <c r="AY516" s="666"/>
      <c r="AZ516" s="666"/>
      <c r="BA516" s="666"/>
      <c r="BB516" s="666"/>
      <c r="BC516" s="666"/>
      <c r="BD516" s="666"/>
      <c r="BE516" s="666"/>
      <c r="BF516" s="666"/>
      <c r="BG516" s="666"/>
      <c r="BH516" s="666"/>
      <c r="BI516" s="666"/>
      <c r="BJ516" s="666"/>
      <c r="BK516" s="666"/>
      <c r="BL516" s="666"/>
      <c r="BM516" s="666"/>
      <c r="BN516" s="666"/>
      <c r="BO516" s="666"/>
      <c r="BP516" s="666"/>
      <c r="BQ516" s="666"/>
      <c r="BR516" s="666"/>
      <c r="BS516" s="666"/>
      <c r="BT516" s="666"/>
      <c r="BU516" s="666"/>
      <c r="BV516" s="747"/>
      <c r="BW516" s="453"/>
    </row>
    <row r="517" spans="1:75" ht="15" customHeight="1" x14ac:dyDescent="0.2">
      <c r="A517" s="1752"/>
      <c r="B517" s="742"/>
      <c r="C517" s="746"/>
      <c r="D517" s="666"/>
      <c r="E517" s="666"/>
      <c r="F517" s="666"/>
      <c r="G517" s="666"/>
      <c r="H517" s="666"/>
      <c r="I517" s="666"/>
      <c r="J517" s="666"/>
      <c r="K517" s="666"/>
      <c r="L517" s="666"/>
      <c r="M517" s="666"/>
      <c r="N517" s="666"/>
      <c r="O517" s="666"/>
      <c r="P517" s="666"/>
      <c r="Q517" s="666"/>
      <c r="R517" s="666"/>
      <c r="S517" s="666"/>
      <c r="T517" s="666"/>
      <c r="U517" s="666"/>
      <c r="V517" s="666"/>
      <c r="W517" s="666"/>
      <c r="X517" s="666"/>
      <c r="Y517" s="666"/>
      <c r="Z517" s="666"/>
      <c r="AA517" s="666"/>
      <c r="AB517" s="666"/>
      <c r="AC517" s="666"/>
      <c r="AD517" s="666"/>
      <c r="AE517" s="666"/>
      <c r="AF517" s="666"/>
      <c r="AG517" s="666"/>
      <c r="AH517" s="666"/>
      <c r="AI517" s="666"/>
      <c r="AJ517" s="666"/>
      <c r="AK517" s="666"/>
      <c r="AL517" s="666"/>
      <c r="AM517" s="666"/>
      <c r="AN517" s="666"/>
      <c r="AO517" s="666"/>
      <c r="AP517" s="666"/>
      <c r="AQ517" s="666"/>
      <c r="AR517" s="666"/>
      <c r="AS517" s="666"/>
      <c r="AT517" s="666"/>
      <c r="AU517" s="666"/>
      <c r="AV517" s="666"/>
      <c r="AW517" s="666"/>
      <c r="AX517" s="666"/>
      <c r="AY517" s="666"/>
      <c r="AZ517" s="666"/>
      <c r="BA517" s="666"/>
      <c r="BB517" s="666"/>
      <c r="BC517" s="666"/>
      <c r="BD517" s="666"/>
      <c r="BE517" s="666"/>
      <c r="BF517" s="666"/>
      <c r="BG517" s="666"/>
      <c r="BH517" s="666"/>
      <c r="BI517" s="666"/>
      <c r="BJ517" s="666"/>
      <c r="BK517" s="666"/>
      <c r="BL517" s="666"/>
      <c r="BM517" s="666"/>
      <c r="BN517" s="666"/>
      <c r="BO517" s="666"/>
      <c r="BP517" s="666"/>
      <c r="BQ517" s="666"/>
      <c r="BR517" s="666"/>
      <c r="BS517" s="666"/>
      <c r="BT517" s="666"/>
      <c r="BU517" s="666"/>
      <c r="BV517" s="747"/>
      <c r="BW517" s="453"/>
    </row>
    <row r="518" spans="1:75" ht="15" customHeight="1" x14ac:dyDescent="0.2">
      <c r="A518" s="1752"/>
      <c r="B518" s="742"/>
      <c r="C518" s="746"/>
      <c r="D518" s="666"/>
      <c r="E518" s="666"/>
      <c r="F518" s="666"/>
      <c r="G518" s="666"/>
      <c r="H518" s="666"/>
      <c r="I518" s="666"/>
      <c r="J518" s="666"/>
      <c r="K518" s="666"/>
      <c r="L518" s="666"/>
      <c r="M518" s="666"/>
      <c r="N518" s="666"/>
      <c r="O518" s="666"/>
      <c r="P518" s="666"/>
      <c r="Q518" s="666"/>
      <c r="R518" s="666"/>
      <c r="S518" s="666"/>
      <c r="T518" s="666"/>
      <c r="U518" s="666"/>
      <c r="V518" s="666"/>
      <c r="W518" s="666"/>
      <c r="X518" s="666"/>
      <c r="Y518" s="666"/>
      <c r="Z518" s="666"/>
      <c r="AA518" s="666"/>
      <c r="AB518" s="666"/>
      <c r="AC518" s="666"/>
      <c r="AD518" s="666"/>
      <c r="AE518" s="666"/>
      <c r="AF518" s="666"/>
      <c r="AG518" s="666"/>
      <c r="AH518" s="666"/>
      <c r="AI518" s="666"/>
      <c r="AJ518" s="666"/>
      <c r="AK518" s="666"/>
      <c r="AL518" s="666"/>
      <c r="AM518" s="666"/>
      <c r="AN518" s="666"/>
      <c r="AO518" s="666"/>
      <c r="AP518" s="666"/>
      <c r="AQ518" s="666"/>
      <c r="AR518" s="666"/>
      <c r="AS518" s="666"/>
      <c r="AT518" s="666"/>
      <c r="AU518" s="666"/>
      <c r="AV518" s="666"/>
      <c r="AW518" s="666"/>
      <c r="AX518" s="666"/>
      <c r="AY518" s="666"/>
      <c r="AZ518" s="666"/>
      <c r="BA518" s="666"/>
      <c r="BB518" s="666"/>
      <c r="BC518" s="666"/>
      <c r="BD518" s="666"/>
      <c r="BE518" s="666"/>
      <c r="BF518" s="666"/>
      <c r="BG518" s="666"/>
      <c r="BH518" s="666"/>
      <c r="BI518" s="666"/>
      <c r="BJ518" s="666"/>
      <c r="BK518" s="666"/>
      <c r="BL518" s="666"/>
      <c r="BM518" s="666"/>
      <c r="BN518" s="666"/>
      <c r="BO518" s="666"/>
      <c r="BP518" s="666"/>
      <c r="BQ518" s="666"/>
      <c r="BR518" s="666"/>
      <c r="BS518" s="666"/>
      <c r="BT518" s="666"/>
      <c r="BU518" s="666"/>
      <c r="BV518" s="747"/>
      <c r="BW518" s="453"/>
    </row>
    <row r="519" spans="1:75" ht="15" customHeight="1" x14ac:dyDescent="0.2">
      <c r="A519" s="1752"/>
      <c r="B519" s="742"/>
      <c r="C519" s="746"/>
      <c r="D519" s="666"/>
      <c r="E519" s="666"/>
      <c r="F519" s="666"/>
      <c r="G519" s="666"/>
      <c r="H519" s="666"/>
      <c r="I519" s="666"/>
      <c r="J519" s="666"/>
      <c r="K519" s="666"/>
      <c r="L519" s="666"/>
      <c r="M519" s="666"/>
      <c r="N519" s="666"/>
      <c r="O519" s="666"/>
      <c r="P519" s="666"/>
      <c r="Q519" s="666"/>
      <c r="R519" s="666"/>
      <c r="S519" s="666"/>
      <c r="T519" s="666"/>
      <c r="U519" s="666"/>
      <c r="V519" s="666"/>
      <c r="W519" s="666"/>
      <c r="X519" s="666"/>
      <c r="Y519" s="666"/>
      <c r="Z519" s="666"/>
      <c r="AA519" s="666"/>
      <c r="AB519" s="666"/>
      <c r="AC519" s="666"/>
      <c r="AD519" s="666"/>
      <c r="AE519" s="666"/>
      <c r="AF519" s="666"/>
      <c r="AG519" s="666"/>
      <c r="AH519" s="666"/>
      <c r="AI519" s="666"/>
      <c r="AJ519" s="666"/>
      <c r="AK519" s="666"/>
      <c r="AL519" s="666"/>
      <c r="AM519" s="666"/>
      <c r="AN519" s="666"/>
      <c r="AO519" s="666"/>
      <c r="AP519" s="666"/>
      <c r="AQ519" s="666"/>
      <c r="AR519" s="666"/>
      <c r="AS519" s="666"/>
      <c r="AT519" s="666"/>
      <c r="AU519" s="666"/>
      <c r="AV519" s="666"/>
      <c r="AW519" s="666"/>
      <c r="AX519" s="666"/>
      <c r="AY519" s="666"/>
      <c r="AZ519" s="666"/>
      <c r="BA519" s="666"/>
      <c r="BB519" s="666"/>
      <c r="BC519" s="666"/>
      <c r="BD519" s="666"/>
      <c r="BE519" s="666"/>
      <c r="BF519" s="666"/>
      <c r="BG519" s="666"/>
      <c r="BH519" s="666"/>
      <c r="BI519" s="666"/>
      <c r="BJ519" s="666"/>
      <c r="BK519" s="666"/>
      <c r="BL519" s="666"/>
      <c r="BM519" s="666"/>
      <c r="BN519" s="666"/>
      <c r="BO519" s="666"/>
      <c r="BP519" s="666"/>
      <c r="BQ519" s="666"/>
      <c r="BR519" s="666"/>
      <c r="BS519" s="666"/>
      <c r="BT519" s="666"/>
      <c r="BU519" s="666"/>
      <c r="BV519" s="747"/>
      <c r="BW519" s="453"/>
    </row>
    <row r="520" spans="1:75" ht="15" customHeight="1" x14ac:dyDescent="0.2">
      <c r="A520" s="1752"/>
      <c r="B520" s="742"/>
      <c r="C520" s="746"/>
      <c r="D520" s="666"/>
      <c r="E520" s="666"/>
      <c r="F520" s="666"/>
      <c r="G520" s="666"/>
      <c r="H520" s="666"/>
      <c r="I520" s="666"/>
      <c r="J520" s="666"/>
      <c r="K520" s="666"/>
      <c r="L520" s="666"/>
      <c r="M520" s="666"/>
      <c r="N520" s="666"/>
      <c r="O520" s="666"/>
      <c r="P520" s="666"/>
      <c r="Q520" s="666"/>
      <c r="R520" s="666"/>
      <c r="S520" s="666"/>
      <c r="T520" s="666"/>
      <c r="U520" s="666"/>
      <c r="V520" s="666"/>
      <c r="W520" s="666"/>
      <c r="X520" s="666"/>
      <c r="Y520" s="666"/>
      <c r="Z520" s="666"/>
      <c r="AA520" s="666"/>
      <c r="AB520" s="666"/>
      <c r="AC520" s="666"/>
      <c r="AD520" s="666"/>
      <c r="AE520" s="666"/>
      <c r="AF520" s="666"/>
      <c r="AG520" s="666"/>
      <c r="AH520" s="666"/>
      <c r="AI520" s="666"/>
      <c r="AJ520" s="666"/>
      <c r="AK520" s="666"/>
      <c r="AL520" s="666"/>
      <c r="AM520" s="666"/>
      <c r="AN520" s="666"/>
      <c r="AO520" s="666"/>
      <c r="AP520" s="666"/>
      <c r="AQ520" s="666"/>
      <c r="AR520" s="666"/>
      <c r="AS520" s="666"/>
      <c r="AT520" s="666"/>
      <c r="AU520" s="666"/>
      <c r="AV520" s="666"/>
      <c r="AW520" s="666"/>
      <c r="AX520" s="666"/>
      <c r="AY520" s="666"/>
      <c r="AZ520" s="666"/>
      <c r="BA520" s="666"/>
      <c r="BB520" s="666"/>
      <c r="BC520" s="666"/>
      <c r="BD520" s="666"/>
      <c r="BE520" s="666"/>
      <c r="BF520" s="666"/>
      <c r="BG520" s="666"/>
      <c r="BH520" s="666"/>
      <c r="BI520" s="666"/>
      <c r="BJ520" s="666"/>
      <c r="BK520" s="666"/>
      <c r="BL520" s="666"/>
      <c r="BM520" s="666"/>
      <c r="BN520" s="666"/>
      <c r="BO520" s="666"/>
      <c r="BP520" s="666"/>
      <c r="BQ520" s="666"/>
      <c r="BR520" s="666"/>
      <c r="BS520" s="666"/>
      <c r="BT520" s="666"/>
      <c r="BU520" s="666"/>
      <c r="BV520" s="747"/>
      <c r="BW520" s="453"/>
    </row>
    <row r="521" spans="1:75" ht="15" customHeight="1" x14ac:dyDescent="0.2">
      <c r="A521" s="1752"/>
      <c r="B521" s="742"/>
      <c r="C521" s="746"/>
      <c r="D521" s="666"/>
      <c r="E521" s="666"/>
      <c r="F521" s="666"/>
      <c r="G521" s="666"/>
      <c r="H521" s="666"/>
      <c r="I521" s="666"/>
      <c r="J521" s="666"/>
      <c r="K521" s="666"/>
      <c r="L521" s="666"/>
      <c r="M521" s="666"/>
      <c r="N521" s="666"/>
      <c r="O521" s="666"/>
      <c r="P521" s="666"/>
      <c r="Q521" s="666"/>
      <c r="R521" s="666"/>
      <c r="S521" s="666"/>
      <c r="T521" s="666"/>
      <c r="U521" s="666"/>
      <c r="V521" s="666"/>
      <c r="W521" s="666"/>
      <c r="X521" s="666"/>
      <c r="Y521" s="666"/>
      <c r="Z521" s="666"/>
      <c r="AA521" s="666"/>
      <c r="AB521" s="666"/>
      <c r="AC521" s="666"/>
      <c r="AD521" s="666"/>
      <c r="AE521" s="666"/>
      <c r="AF521" s="666"/>
      <c r="AG521" s="666"/>
      <c r="AH521" s="666"/>
      <c r="AI521" s="666"/>
      <c r="AJ521" s="666"/>
      <c r="AK521" s="666"/>
      <c r="AL521" s="666"/>
      <c r="AM521" s="666"/>
      <c r="AN521" s="666"/>
      <c r="AO521" s="666"/>
      <c r="AP521" s="666"/>
      <c r="AQ521" s="666"/>
      <c r="AR521" s="666"/>
      <c r="AS521" s="666"/>
      <c r="AT521" s="666"/>
      <c r="AU521" s="666"/>
      <c r="AV521" s="666"/>
      <c r="AW521" s="666"/>
      <c r="AX521" s="666"/>
      <c r="AY521" s="666"/>
      <c r="AZ521" s="666"/>
      <c r="BA521" s="666"/>
      <c r="BB521" s="666"/>
      <c r="BC521" s="666"/>
      <c r="BD521" s="666"/>
      <c r="BE521" s="666"/>
      <c r="BF521" s="666"/>
      <c r="BG521" s="666"/>
      <c r="BH521" s="666"/>
      <c r="BI521" s="666"/>
      <c r="BJ521" s="666"/>
      <c r="BK521" s="666"/>
      <c r="BL521" s="666"/>
      <c r="BM521" s="666"/>
      <c r="BN521" s="666"/>
      <c r="BO521" s="666"/>
      <c r="BP521" s="666"/>
      <c r="BQ521" s="666"/>
      <c r="BR521" s="666"/>
      <c r="BS521" s="666"/>
      <c r="BT521" s="666"/>
      <c r="BU521" s="666"/>
      <c r="BV521" s="747"/>
      <c r="BW521" s="453"/>
    </row>
    <row r="522" spans="1:75" ht="15" customHeight="1" x14ac:dyDescent="0.2">
      <c r="A522" s="1752"/>
      <c r="B522" s="742"/>
      <c r="C522" s="746"/>
      <c r="D522" s="666"/>
      <c r="E522" s="666"/>
      <c r="F522" s="666"/>
      <c r="G522" s="666"/>
      <c r="H522" s="666"/>
      <c r="I522" s="666"/>
      <c r="J522" s="666"/>
      <c r="K522" s="666"/>
      <c r="L522" s="666"/>
      <c r="M522" s="666"/>
      <c r="N522" s="666"/>
      <c r="O522" s="666"/>
      <c r="P522" s="666"/>
      <c r="Q522" s="666"/>
      <c r="R522" s="666"/>
      <c r="S522" s="666"/>
      <c r="T522" s="666"/>
      <c r="U522" s="666"/>
      <c r="V522" s="666"/>
      <c r="W522" s="666"/>
      <c r="X522" s="666"/>
      <c r="Y522" s="666"/>
      <c r="Z522" s="666"/>
      <c r="AA522" s="666"/>
      <c r="AB522" s="666"/>
      <c r="AC522" s="666"/>
      <c r="AD522" s="666"/>
      <c r="AE522" s="666"/>
      <c r="AF522" s="666"/>
      <c r="AG522" s="666"/>
      <c r="AH522" s="666"/>
      <c r="AI522" s="666"/>
      <c r="AJ522" s="666"/>
      <c r="AK522" s="666"/>
      <c r="AL522" s="666"/>
      <c r="AM522" s="666"/>
      <c r="AN522" s="666"/>
      <c r="AO522" s="666"/>
      <c r="AP522" s="666"/>
      <c r="AQ522" s="666"/>
      <c r="AR522" s="666"/>
      <c r="AS522" s="666"/>
      <c r="AT522" s="666"/>
      <c r="AU522" s="666"/>
      <c r="AV522" s="666"/>
      <c r="AW522" s="666"/>
      <c r="AX522" s="666"/>
      <c r="AY522" s="666"/>
      <c r="AZ522" s="666"/>
      <c r="BA522" s="666"/>
      <c r="BB522" s="666"/>
      <c r="BC522" s="666"/>
      <c r="BD522" s="666"/>
      <c r="BE522" s="666"/>
      <c r="BF522" s="666"/>
      <c r="BG522" s="666"/>
      <c r="BH522" s="666"/>
      <c r="BI522" s="666"/>
      <c r="BJ522" s="666"/>
      <c r="BK522" s="666"/>
      <c r="BL522" s="666"/>
      <c r="BM522" s="666"/>
      <c r="BN522" s="666"/>
      <c r="BO522" s="666"/>
      <c r="BP522" s="666"/>
      <c r="BQ522" s="666"/>
      <c r="BR522" s="666"/>
      <c r="BS522" s="666"/>
      <c r="BT522" s="666"/>
      <c r="BU522" s="666"/>
      <c r="BV522" s="747"/>
      <c r="BW522" s="453"/>
    </row>
    <row r="523" spans="1:75" ht="15" customHeight="1" x14ac:dyDescent="0.2">
      <c r="A523" s="1752"/>
      <c r="B523" s="742"/>
      <c r="C523" s="746"/>
      <c r="D523" s="666"/>
      <c r="E523" s="666"/>
      <c r="F523" s="666"/>
      <c r="G523" s="666"/>
      <c r="H523" s="666"/>
      <c r="I523" s="666"/>
      <c r="J523" s="666"/>
      <c r="K523" s="666"/>
      <c r="L523" s="666"/>
      <c r="M523" s="666"/>
      <c r="N523" s="666"/>
      <c r="O523" s="666"/>
      <c r="P523" s="666"/>
      <c r="Q523" s="666"/>
      <c r="R523" s="666"/>
      <c r="S523" s="666"/>
      <c r="T523" s="666"/>
      <c r="U523" s="666"/>
      <c r="V523" s="666"/>
      <c r="W523" s="666"/>
      <c r="X523" s="666"/>
      <c r="Y523" s="666"/>
      <c r="Z523" s="666"/>
      <c r="AA523" s="666"/>
      <c r="AB523" s="666"/>
      <c r="AC523" s="666"/>
      <c r="AD523" s="666"/>
      <c r="AE523" s="666"/>
      <c r="AF523" s="666"/>
      <c r="AG523" s="666"/>
      <c r="AH523" s="666"/>
      <c r="AI523" s="666"/>
      <c r="AJ523" s="666"/>
      <c r="AK523" s="666"/>
      <c r="AL523" s="666"/>
      <c r="AM523" s="666"/>
      <c r="AN523" s="666"/>
      <c r="AO523" s="666"/>
      <c r="AP523" s="666"/>
      <c r="AQ523" s="666"/>
      <c r="AR523" s="666"/>
      <c r="AS523" s="666"/>
      <c r="AT523" s="666"/>
      <c r="AU523" s="666"/>
      <c r="AV523" s="666"/>
      <c r="AW523" s="666"/>
      <c r="AX523" s="666"/>
      <c r="AY523" s="666"/>
      <c r="AZ523" s="666"/>
      <c r="BA523" s="666"/>
      <c r="BB523" s="666"/>
      <c r="BC523" s="666"/>
      <c r="BD523" s="666"/>
      <c r="BE523" s="666"/>
      <c r="BF523" s="666"/>
      <c r="BG523" s="666"/>
      <c r="BH523" s="666"/>
      <c r="BI523" s="666"/>
      <c r="BJ523" s="666"/>
      <c r="BK523" s="666"/>
      <c r="BL523" s="666"/>
      <c r="BM523" s="666"/>
      <c r="BN523" s="666"/>
      <c r="BO523" s="666"/>
      <c r="BP523" s="666"/>
      <c r="BQ523" s="666"/>
      <c r="BR523" s="666"/>
      <c r="BS523" s="666"/>
      <c r="BT523" s="666"/>
      <c r="BU523" s="666"/>
      <c r="BV523" s="747"/>
      <c r="BW523" s="453"/>
    </row>
    <row r="524" spans="1:75" ht="15" customHeight="1" x14ac:dyDescent="0.2">
      <c r="A524" s="1752"/>
      <c r="B524" s="742"/>
      <c r="C524" s="746"/>
      <c r="D524" s="666"/>
      <c r="E524" s="666"/>
      <c r="F524" s="666"/>
      <c r="G524" s="666"/>
      <c r="H524" s="666"/>
      <c r="I524" s="666"/>
      <c r="J524" s="666"/>
      <c r="K524" s="666"/>
      <c r="L524" s="666"/>
      <c r="M524" s="666"/>
      <c r="N524" s="666"/>
      <c r="O524" s="666"/>
      <c r="P524" s="666"/>
      <c r="Q524" s="666"/>
      <c r="R524" s="666"/>
      <c r="S524" s="666"/>
      <c r="T524" s="666"/>
      <c r="U524" s="666"/>
      <c r="V524" s="666"/>
      <c r="W524" s="666"/>
      <c r="X524" s="666"/>
      <c r="Y524" s="666"/>
      <c r="Z524" s="666"/>
      <c r="AA524" s="666"/>
      <c r="AB524" s="666"/>
      <c r="AC524" s="666"/>
      <c r="AD524" s="666"/>
      <c r="AE524" s="666"/>
      <c r="AF524" s="666"/>
      <c r="AG524" s="666"/>
      <c r="AH524" s="666"/>
      <c r="AI524" s="666"/>
      <c r="AJ524" s="666"/>
      <c r="AK524" s="666"/>
      <c r="AL524" s="666"/>
      <c r="AM524" s="666"/>
      <c r="AN524" s="666"/>
      <c r="AO524" s="666"/>
      <c r="AP524" s="666"/>
      <c r="AQ524" s="666"/>
      <c r="AR524" s="666"/>
      <c r="AS524" s="666"/>
      <c r="AT524" s="666"/>
      <c r="AU524" s="666"/>
      <c r="AV524" s="666"/>
      <c r="AW524" s="666"/>
      <c r="AX524" s="666"/>
      <c r="AY524" s="666"/>
      <c r="AZ524" s="666"/>
      <c r="BA524" s="666"/>
      <c r="BB524" s="666"/>
      <c r="BC524" s="666"/>
      <c r="BD524" s="666"/>
      <c r="BE524" s="666"/>
      <c r="BF524" s="666"/>
      <c r="BG524" s="666"/>
      <c r="BH524" s="666"/>
      <c r="BI524" s="666"/>
      <c r="BJ524" s="666"/>
      <c r="BK524" s="666"/>
      <c r="BL524" s="666"/>
      <c r="BM524" s="666"/>
      <c r="BN524" s="666"/>
      <c r="BO524" s="666"/>
      <c r="BP524" s="666"/>
      <c r="BQ524" s="666"/>
      <c r="BR524" s="666"/>
      <c r="BS524" s="666"/>
      <c r="BT524" s="666"/>
      <c r="BU524" s="666"/>
      <c r="BV524" s="747"/>
      <c r="BW524" s="453"/>
    </row>
    <row r="525" spans="1:75" ht="15" customHeight="1" x14ac:dyDescent="0.2">
      <c r="A525" s="1752"/>
      <c r="B525" s="742"/>
      <c r="C525" s="746"/>
      <c r="D525" s="666"/>
      <c r="E525" s="666"/>
      <c r="F525" s="666"/>
      <c r="G525" s="666"/>
      <c r="H525" s="666"/>
      <c r="I525" s="666"/>
      <c r="J525" s="666"/>
      <c r="K525" s="666"/>
      <c r="L525" s="666"/>
      <c r="M525" s="666"/>
      <c r="N525" s="666"/>
      <c r="O525" s="666"/>
      <c r="P525" s="666"/>
      <c r="Q525" s="666"/>
      <c r="R525" s="666"/>
      <c r="S525" s="666"/>
      <c r="T525" s="666"/>
      <c r="U525" s="666"/>
      <c r="V525" s="666"/>
      <c r="W525" s="666"/>
      <c r="X525" s="666"/>
      <c r="Y525" s="666"/>
      <c r="Z525" s="666"/>
      <c r="AA525" s="666"/>
      <c r="AB525" s="666"/>
      <c r="AC525" s="666"/>
      <c r="AD525" s="666"/>
      <c r="AE525" s="666"/>
      <c r="AF525" s="666"/>
      <c r="AG525" s="666"/>
      <c r="AH525" s="666"/>
      <c r="AI525" s="666"/>
      <c r="AJ525" s="666"/>
      <c r="AK525" s="666"/>
      <c r="AL525" s="666"/>
      <c r="AM525" s="666"/>
      <c r="AN525" s="666"/>
      <c r="AO525" s="666"/>
      <c r="AP525" s="666"/>
      <c r="AQ525" s="666"/>
      <c r="AR525" s="666"/>
      <c r="AS525" s="666"/>
      <c r="AT525" s="666"/>
      <c r="AU525" s="666"/>
      <c r="AV525" s="666"/>
      <c r="AW525" s="666"/>
      <c r="AX525" s="666"/>
      <c r="AY525" s="666"/>
      <c r="AZ525" s="666"/>
      <c r="BA525" s="666"/>
      <c r="BB525" s="666"/>
      <c r="BC525" s="666"/>
      <c r="BD525" s="666"/>
      <c r="BE525" s="666"/>
      <c r="BF525" s="666"/>
      <c r="BG525" s="666"/>
      <c r="BH525" s="666"/>
      <c r="BI525" s="666"/>
      <c r="BJ525" s="666"/>
      <c r="BK525" s="666"/>
      <c r="BL525" s="666"/>
      <c r="BM525" s="666"/>
      <c r="BN525" s="666"/>
      <c r="BO525" s="666"/>
      <c r="BP525" s="666"/>
      <c r="BQ525" s="666"/>
      <c r="BR525" s="666"/>
      <c r="BS525" s="666"/>
      <c r="BT525" s="666"/>
      <c r="BU525" s="666"/>
      <c r="BV525" s="747"/>
      <c r="BW525" s="453"/>
    </row>
    <row r="526" spans="1:75" ht="15" customHeight="1" x14ac:dyDescent="0.2">
      <c r="A526" s="1752"/>
      <c r="B526" s="742"/>
      <c r="C526" s="746"/>
      <c r="D526" s="666"/>
      <c r="E526" s="666"/>
      <c r="F526" s="666"/>
      <c r="G526" s="666"/>
      <c r="H526" s="666"/>
      <c r="I526" s="666"/>
      <c r="J526" s="666"/>
      <c r="K526" s="666"/>
      <c r="L526" s="666"/>
      <c r="M526" s="666"/>
      <c r="N526" s="666"/>
      <c r="O526" s="666"/>
      <c r="P526" s="666"/>
      <c r="Q526" s="666"/>
      <c r="R526" s="666"/>
      <c r="S526" s="666"/>
      <c r="T526" s="666"/>
      <c r="U526" s="666"/>
      <c r="V526" s="666"/>
      <c r="W526" s="666"/>
      <c r="X526" s="666"/>
      <c r="Y526" s="666"/>
      <c r="Z526" s="666"/>
      <c r="AA526" s="666"/>
      <c r="AB526" s="666"/>
      <c r="AC526" s="666"/>
      <c r="AD526" s="666"/>
      <c r="AE526" s="666"/>
      <c r="AF526" s="666"/>
      <c r="AG526" s="666"/>
      <c r="AH526" s="666"/>
      <c r="AI526" s="666"/>
      <c r="AJ526" s="666"/>
      <c r="AK526" s="666"/>
      <c r="AL526" s="666"/>
      <c r="AM526" s="666"/>
      <c r="AN526" s="666"/>
      <c r="AO526" s="666"/>
      <c r="AP526" s="666"/>
      <c r="AQ526" s="666"/>
      <c r="AR526" s="666"/>
      <c r="AS526" s="666"/>
      <c r="AT526" s="666"/>
      <c r="AU526" s="666"/>
      <c r="AV526" s="666"/>
      <c r="AW526" s="666"/>
      <c r="AX526" s="666"/>
      <c r="AY526" s="666"/>
      <c r="AZ526" s="666"/>
      <c r="BA526" s="666"/>
      <c r="BB526" s="666"/>
      <c r="BC526" s="666"/>
      <c r="BD526" s="666"/>
      <c r="BE526" s="666"/>
      <c r="BF526" s="666"/>
      <c r="BG526" s="666"/>
      <c r="BH526" s="666"/>
      <c r="BI526" s="666"/>
      <c r="BJ526" s="666"/>
      <c r="BK526" s="666"/>
      <c r="BL526" s="666"/>
      <c r="BM526" s="666"/>
      <c r="BN526" s="666"/>
      <c r="BO526" s="666"/>
      <c r="BP526" s="666"/>
      <c r="BQ526" s="666"/>
      <c r="BR526" s="666"/>
      <c r="BS526" s="666"/>
      <c r="BT526" s="666"/>
      <c r="BU526" s="666"/>
      <c r="BV526" s="747"/>
      <c r="BW526" s="453"/>
    </row>
    <row r="527" spans="1:75" ht="15" customHeight="1" x14ac:dyDescent="0.2">
      <c r="A527" s="1752"/>
      <c r="B527" s="742"/>
      <c r="C527" s="746"/>
      <c r="D527" s="666"/>
      <c r="E527" s="666"/>
      <c r="F527" s="666"/>
      <c r="G527" s="666"/>
      <c r="H527" s="666"/>
      <c r="I527" s="666"/>
      <c r="J527" s="666"/>
      <c r="K527" s="666"/>
      <c r="L527" s="666"/>
      <c r="M527" s="666"/>
      <c r="N527" s="666"/>
      <c r="O527" s="666"/>
      <c r="P527" s="666"/>
      <c r="Q527" s="666"/>
      <c r="R527" s="666"/>
      <c r="S527" s="666"/>
      <c r="T527" s="666"/>
      <c r="U527" s="666"/>
      <c r="V527" s="666"/>
      <c r="W527" s="666"/>
      <c r="X527" s="666"/>
      <c r="Y527" s="666"/>
      <c r="Z527" s="666"/>
      <c r="AA527" s="666"/>
      <c r="AB527" s="666"/>
      <c r="AC527" s="666"/>
      <c r="AD527" s="666"/>
      <c r="AE527" s="666"/>
      <c r="AF527" s="666"/>
      <c r="AG527" s="666"/>
      <c r="AH527" s="666"/>
      <c r="AI527" s="666"/>
      <c r="AJ527" s="666"/>
      <c r="AK527" s="666"/>
      <c r="AL527" s="666"/>
      <c r="AM527" s="666"/>
      <c r="AN527" s="666"/>
      <c r="AO527" s="666"/>
      <c r="AP527" s="666"/>
      <c r="AQ527" s="666"/>
      <c r="AR527" s="666"/>
      <c r="AS527" s="666"/>
      <c r="AT527" s="666"/>
      <c r="AU527" s="666"/>
      <c r="AV527" s="666"/>
      <c r="AW527" s="666"/>
      <c r="AX527" s="666"/>
      <c r="AY527" s="666"/>
      <c r="AZ527" s="666"/>
      <c r="BA527" s="666"/>
      <c r="BB527" s="666"/>
      <c r="BC527" s="666"/>
      <c r="BD527" s="666"/>
      <c r="BE527" s="666"/>
      <c r="BF527" s="666"/>
      <c r="BG527" s="666"/>
      <c r="BH527" s="666"/>
      <c r="BI527" s="666"/>
      <c r="BJ527" s="666"/>
      <c r="BK527" s="666"/>
      <c r="BL527" s="666"/>
      <c r="BM527" s="666"/>
      <c r="BN527" s="666"/>
      <c r="BO527" s="666"/>
      <c r="BP527" s="666"/>
      <c r="BQ527" s="666"/>
      <c r="BR527" s="666"/>
      <c r="BS527" s="666"/>
      <c r="BT527" s="666"/>
      <c r="BU527" s="666"/>
      <c r="BV527" s="747"/>
      <c r="BW527" s="453"/>
    </row>
    <row r="528" spans="1:75" ht="15" customHeight="1" x14ac:dyDescent="0.2">
      <c r="A528" s="1752"/>
      <c r="B528" s="742"/>
      <c r="C528" s="746"/>
      <c r="D528" s="666"/>
      <c r="E528" s="666"/>
      <c r="F528" s="666"/>
      <c r="G528" s="666"/>
      <c r="H528" s="666"/>
      <c r="I528" s="666"/>
      <c r="J528" s="666"/>
      <c r="K528" s="666"/>
      <c r="L528" s="666"/>
      <c r="M528" s="666"/>
      <c r="N528" s="666"/>
      <c r="O528" s="666"/>
      <c r="P528" s="666"/>
      <c r="Q528" s="666"/>
      <c r="R528" s="666"/>
      <c r="S528" s="666"/>
      <c r="T528" s="666"/>
      <c r="U528" s="666"/>
      <c r="V528" s="666"/>
      <c r="W528" s="666"/>
      <c r="X528" s="666"/>
      <c r="Y528" s="666"/>
      <c r="Z528" s="666"/>
      <c r="AA528" s="666"/>
      <c r="AB528" s="666"/>
      <c r="AC528" s="666"/>
      <c r="AD528" s="666"/>
      <c r="AE528" s="666"/>
      <c r="AF528" s="666"/>
      <c r="AG528" s="666"/>
      <c r="AH528" s="666"/>
      <c r="AI528" s="666"/>
      <c r="AJ528" s="666"/>
      <c r="AK528" s="666"/>
      <c r="AL528" s="666"/>
      <c r="AM528" s="666"/>
      <c r="AN528" s="666"/>
      <c r="AO528" s="666"/>
      <c r="AP528" s="666"/>
      <c r="AQ528" s="666"/>
      <c r="AR528" s="666"/>
      <c r="AS528" s="666"/>
      <c r="AT528" s="666"/>
      <c r="AU528" s="666"/>
      <c r="AV528" s="666"/>
      <c r="AW528" s="666"/>
      <c r="AX528" s="666"/>
      <c r="AY528" s="666"/>
      <c r="AZ528" s="666"/>
      <c r="BA528" s="666"/>
      <c r="BB528" s="666"/>
      <c r="BC528" s="666"/>
      <c r="BD528" s="666"/>
      <c r="BE528" s="666"/>
      <c r="BF528" s="666"/>
      <c r="BG528" s="666"/>
      <c r="BH528" s="666"/>
      <c r="BI528" s="666"/>
      <c r="BJ528" s="666"/>
      <c r="BK528" s="666"/>
      <c r="BL528" s="666"/>
      <c r="BM528" s="666"/>
      <c r="BN528" s="666"/>
      <c r="BO528" s="666"/>
      <c r="BP528" s="666"/>
      <c r="BQ528" s="666"/>
      <c r="BR528" s="666"/>
      <c r="BS528" s="666"/>
      <c r="BT528" s="666"/>
      <c r="BU528" s="666"/>
      <c r="BV528" s="747"/>
      <c r="BW528" s="453"/>
    </row>
    <row r="529" spans="1:75" ht="15" customHeight="1" x14ac:dyDescent="0.2">
      <c r="A529" s="1752"/>
      <c r="B529" s="742"/>
      <c r="C529" s="746"/>
      <c r="D529" s="666"/>
      <c r="E529" s="666"/>
      <c r="F529" s="666"/>
      <c r="G529" s="666"/>
      <c r="H529" s="666"/>
      <c r="I529" s="666"/>
      <c r="J529" s="666"/>
      <c r="K529" s="666"/>
      <c r="L529" s="666"/>
      <c r="M529" s="666"/>
      <c r="N529" s="666"/>
      <c r="O529" s="666"/>
      <c r="P529" s="666"/>
      <c r="Q529" s="666"/>
      <c r="R529" s="666"/>
      <c r="S529" s="666"/>
      <c r="T529" s="666"/>
      <c r="U529" s="666"/>
      <c r="V529" s="666"/>
      <c r="W529" s="666"/>
      <c r="X529" s="666"/>
      <c r="Y529" s="666"/>
      <c r="Z529" s="666"/>
      <c r="AA529" s="666"/>
      <c r="AB529" s="666"/>
      <c r="AC529" s="666"/>
      <c r="AD529" s="666"/>
      <c r="AE529" s="666"/>
      <c r="AF529" s="666"/>
      <c r="AG529" s="666"/>
      <c r="AH529" s="666"/>
      <c r="AI529" s="666"/>
      <c r="AJ529" s="666"/>
      <c r="AK529" s="666"/>
      <c r="AL529" s="666"/>
      <c r="AM529" s="666"/>
      <c r="AN529" s="666"/>
      <c r="AO529" s="666"/>
      <c r="AP529" s="666"/>
      <c r="AQ529" s="666"/>
      <c r="AR529" s="666"/>
      <c r="AS529" s="666"/>
      <c r="AT529" s="666"/>
      <c r="AU529" s="666"/>
      <c r="AV529" s="666"/>
      <c r="AW529" s="666"/>
      <c r="AX529" s="666"/>
      <c r="AY529" s="666"/>
      <c r="AZ529" s="666"/>
      <c r="BA529" s="666"/>
      <c r="BB529" s="666"/>
      <c r="BC529" s="666"/>
      <c r="BD529" s="666"/>
      <c r="BE529" s="666"/>
      <c r="BF529" s="666"/>
      <c r="BG529" s="666"/>
      <c r="BH529" s="666"/>
      <c r="BI529" s="666"/>
      <c r="BJ529" s="666"/>
      <c r="BK529" s="666"/>
      <c r="BL529" s="666"/>
      <c r="BM529" s="666"/>
      <c r="BN529" s="666"/>
      <c r="BO529" s="666"/>
      <c r="BP529" s="666"/>
      <c r="BQ529" s="666"/>
      <c r="BR529" s="666"/>
      <c r="BS529" s="666"/>
      <c r="BT529" s="666"/>
      <c r="BU529" s="666"/>
      <c r="BV529" s="747"/>
      <c r="BW529" s="453"/>
    </row>
    <row r="530" spans="1:75" ht="15" customHeight="1" x14ac:dyDescent="0.2">
      <c r="A530" s="1752"/>
      <c r="B530" s="742"/>
      <c r="C530" s="746"/>
      <c r="D530" s="666"/>
      <c r="E530" s="666"/>
      <c r="F530" s="666"/>
      <c r="G530" s="666"/>
      <c r="H530" s="666"/>
      <c r="I530" s="666"/>
      <c r="J530" s="666"/>
      <c r="K530" s="666"/>
      <c r="L530" s="666"/>
      <c r="M530" s="666"/>
      <c r="N530" s="666"/>
      <c r="O530" s="666"/>
      <c r="P530" s="666"/>
      <c r="Q530" s="666"/>
      <c r="R530" s="666"/>
      <c r="S530" s="666"/>
      <c r="T530" s="666"/>
      <c r="U530" s="666"/>
      <c r="V530" s="666"/>
      <c r="W530" s="666"/>
      <c r="X530" s="666"/>
      <c r="Y530" s="666"/>
      <c r="Z530" s="666"/>
      <c r="AA530" s="666"/>
      <c r="AB530" s="666"/>
      <c r="AC530" s="666"/>
      <c r="AD530" s="666"/>
      <c r="AE530" s="666"/>
      <c r="AF530" s="666"/>
      <c r="AG530" s="666"/>
      <c r="AH530" s="666"/>
      <c r="AI530" s="666"/>
      <c r="AJ530" s="666"/>
      <c r="AK530" s="666"/>
      <c r="AL530" s="666"/>
      <c r="AM530" s="666"/>
      <c r="AN530" s="666"/>
      <c r="AO530" s="666"/>
      <c r="AP530" s="666"/>
      <c r="AQ530" s="666"/>
      <c r="AR530" s="666"/>
      <c r="AS530" s="666"/>
      <c r="AT530" s="666"/>
      <c r="AU530" s="666"/>
      <c r="AV530" s="666"/>
      <c r="AW530" s="666"/>
      <c r="AX530" s="666"/>
      <c r="AY530" s="666"/>
      <c r="AZ530" s="666"/>
      <c r="BA530" s="666"/>
      <c r="BB530" s="666"/>
      <c r="BC530" s="666"/>
      <c r="BD530" s="666"/>
      <c r="BE530" s="666"/>
      <c r="BF530" s="666"/>
      <c r="BG530" s="666"/>
      <c r="BH530" s="666"/>
      <c r="BI530" s="666"/>
      <c r="BJ530" s="666"/>
      <c r="BK530" s="666"/>
      <c r="BL530" s="666"/>
      <c r="BM530" s="666"/>
      <c r="BN530" s="666"/>
      <c r="BO530" s="666"/>
      <c r="BP530" s="666"/>
      <c r="BQ530" s="666"/>
      <c r="BR530" s="666"/>
      <c r="BS530" s="666"/>
      <c r="BT530" s="666"/>
      <c r="BU530" s="666"/>
      <c r="BV530" s="747"/>
      <c r="BW530" s="453"/>
    </row>
    <row r="531" spans="1:75" ht="15" customHeight="1" x14ac:dyDescent="0.2">
      <c r="A531" s="1752"/>
      <c r="B531" s="742"/>
      <c r="C531" s="746"/>
      <c r="D531" s="666"/>
      <c r="E531" s="666"/>
      <c r="F531" s="666"/>
      <c r="G531" s="666"/>
      <c r="H531" s="666"/>
      <c r="I531" s="666"/>
      <c r="J531" s="666"/>
      <c r="K531" s="666"/>
      <c r="L531" s="666"/>
      <c r="M531" s="666"/>
      <c r="N531" s="666"/>
      <c r="O531" s="666"/>
      <c r="P531" s="666"/>
      <c r="Q531" s="666"/>
      <c r="R531" s="666"/>
      <c r="S531" s="666"/>
      <c r="T531" s="666"/>
      <c r="U531" s="666"/>
      <c r="V531" s="666"/>
      <c r="W531" s="666"/>
      <c r="X531" s="666"/>
      <c r="Y531" s="666"/>
      <c r="Z531" s="666"/>
      <c r="AA531" s="666"/>
      <c r="AB531" s="666"/>
      <c r="AC531" s="666"/>
      <c r="AD531" s="666"/>
      <c r="AE531" s="666"/>
      <c r="AF531" s="666"/>
      <c r="AG531" s="666"/>
      <c r="AH531" s="666"/>
      <c r="AI531" s="666"/>
      <c r="AJ531" s="666"/>
      <c r="AK531" s="666"/>
      <c r="AL531" s="666"/>
      <c r="AM531" s="666"/>
      <c r="AN531" s="666"/>
      <c r="AO531" s="666"/>
      <c r="AP531" s="666"/>
      <c r="AQ531" s="666"/>
      <c r="AR531" s="666"/>
      <c r="AS531" s="666"/>
      <c r="AT531" s="666"/>
      <c r="AU531" s="666"/>
      <c r="AV531" s="666"/>
      <c r="AW531" s="666"/>
      <c r="AX531" s="666"/>
      <c r="AY531" s="666"/>
      <c r="AZ531" s="666"/>
      <c r="BA531" s="666"/>
      <c r="BB531" s="666"/>
      <c r="BC531" s="666"/>
      <c r="BD531" s="666"/>
      <c r="BE531" s="666"/>
      <c r="BF531" s="666"/>
      <c r="BG531" s="666"/>
      <c r="BH531" s="666"/>
      <c r="BI531" s="666"/>
      <c r="BJ531" s="666"/>
      <c r="BK531" s="666"/>
      <c r="BL531" s="666"/>
      <c r="BM531" s="666"/>
      <c r="BN531" s="666"/>
      <c r="BO531" s="666"/>
      <c r="BP531" s="666"/>
      <c r="BQ531" s="666"/>
      <c r="BR531" s="666"/>
      <c r="BS531" s="666"/>
      <c r="BT531" s="666"/>
      <c r="BU531" s="666"/>
      <c r="BV531" s="747"/>
      <c r="BW531" s="453"/>
    </row>
    <row r="532" spans="1:75" ht="15" customHeight="1" x14ac:dyDescent="0.2">
      <c r="A532" s="1752"/>
      <c r="B532" s="742"/>
      <c r="C532" s="746"/>
      <c r="D532" s="666"/>
      <c r="E532" s="666"/>
      <c r="F532" s="666"/>
      <c r="G532" s="666"/>
      <c r="H532" s="666"/>
      <c r="I532" s="666"/>
      <c r="J532" s="666"/>
      <c r="K532" s="666"/>
      <c r="L532" s="666"/>
      <c r="M532" s="666"/>
      <c r="N532" s="666"/>
      <c r="O532" s="666"/>
      <c r="P532" s="666"/>
      <c r="Q532" s="666"/>
      <c r="R532" s="666"/>
      <c r="S532" s="666"/>
      <c r="T532" s="666"/>
      <c r="U532" s="666"/>
      <c r="V532" s="666"/>
      <c r="W532" s="666"/>
      <c r="X532" s="666"/>
      <c r="Y532" s="666"/>
      <c r="Z532" s="666"/>
      <c r="AA532" s="666"/>
      <c r="AB532" s="666"/>
      <c r="AC532" s="666"/>
      <c r="AD532" s="666"/>
      <c r="AE532" s="666"/>
      <c r="AF532" s="666"/>
      <c r="AG532" s="666"/>
      <c r="AH532" s="666"/>
      <c r="AI532" s="666"/>
      <c r="AJ532" s="666"/>
      <c r="AK532" s="666"/>
      <c r="AL532" s="666"/>
      <c r="AM532" s="666"/>
      <c r="AN532" s="666"/>
      <c r="AO532" s="666"/>
      <c r="AP532" s="666"/>
      <c r="AQ532" s="666"/>
      <c r="AR532" s="666"/>
      <c r="AS532" s="666"/>
      <c r="AT532" s="666"/>
      <c r="AU532" s="666"/>
      <c r="AV532" s="666"/>
      <c r="AW532" s="666"/>
      <c r="AX532" s="666"/>
      <c r="AY532" s="666"/>
      <c r="AZ532" s="666"/>
      <c r="BA532" s="666"/>
      <c r="BB532" s="666"/>
      <c r="BC532" s="666"/>
      <c r="BD532" s="666"/>
      <c r="BE532" s="666"/>
      <c r="BF532" s="666"/>
      <c r="BG532" s="666"/>
      <c r="BH532" s="666"/>
      <c r="BI532" s="666"/>
      <c r="BJ532" s="666"/>
      <c r="BK532" s="666"/>
      <c r="BL532" s="666"/>
      <c r="BM532" s="666"/>
      <c r="BN532" s="666"/>
      <c r="BO532" s="666"/>
      <c r="BP532" s="666"/>
      <c r="BQ532" s="666"/>
      <c r="BR532" s="666"/>
      <c r="BS532" s="666"/>
      <c r="BT532" s="666"/>
      <c r="BU532" s="666"/>
      <c r="BV532" s="747"/>
      <c r="BW532" s="453"/>
    </row>
    <row r="533" spans="1:75" ht="15" customHeight="1" x14ac:dyDescent="0.2">
      <c r="A533" s="1752"/>
      <c r="B533" s="742"/>
      <c r="C533" s="746"/>
      <c r="D533" s="666"/>
      <c r="E533" s="666"/>
      <c r="F533" s="666"/>
      <c r="G533" s="666"/>
      <c r="H533" s="666"/>
      <c r="I533" s="666"/>
      <c r="J533" s="666"/>
      <c r="K533" s="666"/>
      <c r="L533" s="666"/>
      <c r="M533" s="666"/>
      <c r="N533" s="666"/>
      <c r="O533" s="666"/>
      <c r="P533" s="666"/>
      <c r="Q533" s="666"/>
      <c r="R533" s="666"/>
      <c r="S533" s="666"/>
      <c r="T533" s="666"/>
      <c r="U533" s="666"/>
      <c r="V533" s="666"/>
      <c r="W533" s="666"/>
      <c r="X533" s="666"/>
      <c r="Y533" s="666"/>
      <c r="Z533" s="666"/>
      <c r="AA533" s="666"/>
      <c r="AB533" s="666"/>
      <c r="AC533" s="666"/>
      <c r="AD533" s="666"/>
      <c r="AE533" s="666"/>
      <c r="AF533" s="666"/>
      <c r="AG533" s="666"/>
      <c r="AH533" s="666"/>
      <c r="AI533" s="666"/>
      <c r="AJ533" s="666"/>
      <c r="AK533" s="666"/>
      <c r="AL533" s="666"/>
      <c r="AM533" s="666"/>
      <c r="AN533" s="666"/>
      <c r="AO533" s="666"/>
      <c r="AP533" s="666"/>
      <c r="AQ533" s="666"/>
      <c r="AR533" s="666"/>
      <c r="AS533" s="666"/>
      <c r="AT533" s="666"/>
      <c r="AU533" s="666"/>
      <c r="AV533" s="666"/>
      <c r="AW533" s="666"/>
      <c r="AX533" s="666"/>
      <c r="AY533" s="666"/>
      <c r="AZ533" s="666"/>
      <c r="BA533" s="666"/>
      <c r="BB533" s="666"/>
      <c r="BC533" s="666"/>
      <c r="BD533" s="666"/>
      <c r="BE533" s="666"/>
      <c r="BF533" s="666"/>
      <c r="BG533" s="666"/>
      <c r="BH533" s="666"/>
      <c r="BI533" s="666"/>
      <c r="BJ533" s="666"/>
      <c r="BK533" s="666"/>
      <c r="BL533" s="666"/>
      <c r="BM533" s="666"/>
      <c r="BN533" s="666"/>
      <c r="BO533" s="666"/>
      <c r="BP533" s="666"/>
      <c r="BQ533" s="666"/>
      <c r="BR533" s="666"/>
      <c r="BS533" s="666"/>
      <c r="BT533" s="666"/>
      <c r="BU533" s="666"/>
      <c r="BV533" s="747"/>
      <c r="BW533" s="453"/>
    </row>
    <row r="534" spans="1:75" ht="15" customHeight="1" x14ac:dyDescent="0.2">
      <c r="A534" s="1752"/>
      <c r="B534" s="742"/>
      <c r="C534" s="746"/>
      <c r="D534" s="666"/>
      <c r="E534" s="666"/>
      <c r="F534" s="666"/>
      <c r="G534" s="666"/>
      <c r="H534" s="666"/>
      <c r="I534" s="666"/>
      <c r="J534" s="666"/>
      <c r="K534" s="666"/>
      <c r="L534" s="666"/>
      <c r="M534" s="666"/>
      <c r="N534" s="666"/>
      <c r="O534" s="666"/>
      <c r="P534" s="666"/>
      <c r="Q534" s="666"/>
      <c r="R534" s="666"/>
      <c r="S534" s="666"/>
      <c r="T534" s="666"/>
      <c r="U534" s="666"/>
      <c r="V534" s="666"/>
      <c r="W534" s="666"/>
      <c r="X534" s="666"/>
      <c r="Y534" s="666"/>
      <c r="Z534" s="666"/>
      <c r="AA534" s="666"/>
      <c r="AB534" s="666"/>
      <c r="AC534" s="666"/>
      <c r="AD534" s="666"/>
      <c r="AE534" s="666"/>
      <c r="AF534" s="666"/>
      <c r="AG534" s="666"/>
      <c r="AH534" s="666"/>
      <c r="AI534" s="666"/>
      <c r="AJ534" s="666"/>
      <c r="AK534" s="666"/>
      <c r="AL534" s="666"/>
      <c r="AM534" s="666"/>
      <c r="AN534" s="666"/>
      <c r="AO534" s="666"/>
      <c r="AP534" s="666"/>
      <c r="AQ534" s="666"/>
      <c r="AR534" s="666"/>
      <c r="AS534" s="666"/>
      <c r="AT534" s="666"/>
      <c r="AU534" s="666"/>
      <c r="AV534" s="666"/>
      <c r="AW534" s="666"/>
      <c r="AX534" s="666"/>
      <c r="AY534" s="666"/>
      <c r="AZ534" s="666"/>
      <c r="BA534" s="666"/>
      <c r="BB534" s="666"/>
      <c r="BC534" s="666"/>
      <c r="BD534" s="666"/>
      <c r="BE534" s="666"/>
      <c r="BF534" s="666"/>
      <c r="BG534" s="666"/>
      <c r="BH534" s="666"/>
      <c r="BI534" s="666"/>
      <c r="BJ534" s="666"/>
      <c r="BK534" s="666"/>
      <c r="BL534" s="666"/>
      <c r="BM534" s="666"/>
      <c r="BN534" s="666"/>
      <c r="BO534" s="666"/>
      <c r="BP534" s="666"/>
      <c r="BQ534" s="666"/>
      <c r="BR534" s="666"/>
      <c r="BS534" s="666"/>
      <c r="BT534" s="666"/>
      <c r="BU534" s="666"/>
      <c r="BV534" s="747"/>
      <c r="BW534" s="453"/>
    </row>
    <row r="535" spans="1:75" ht="15" customHeight="1" x14ac:dyDescent="0.2">
      <c r="A535" s="1752"/>
      <c r="B535" s="742"/>
      <c r="C535" s="746"/>
      <c r="D535" s="666"/>
      <c r="E535" s="666"/>
      <c r="F535" s="666"/>
      <c r="G535" s="666"/>
      <c r="H535" s="666"/>
      <c r="I535" s="666"/>
      <c r="J535" s="666"/>
      <c r="K535" s="666"/>
      <c r="L535" s="666"/>
      <c r="M535" s="666"/>
      <c r="N535" s="666"/>
      <c r="O535" s="666"/>
      <c r="P535" s="666"/>
      <c r="Q535" s="666"/>
      <c r="R535" s="666"/>
      <c r="S535" s="666"/>
      <c r="T535" s="666"/>
      <c r="U535" s="666"/>
      <c r="V535" s="666"/>
      <c r="W535" s="666"/>
      <c r="X535" s="666"/>
      <c r="Y535" s="666"/>
      <c r="Z535" s="666"/>
      <c r="AA535" s="666"/>
      <c r="AB535" s="666"/>
      <c r="AC535" s="666"/>
      <c r="AD535" s="666"/>
      <c r="AE535" s="666"/>
      <c r="AF535" s="666"/>
      <c r="AG535" s="666"/>
      <c r="AH535" s="666"/>
      <c r="AI535" s="666"/>
      <c r="AJ535" s="666"/>
      <c r="AK535" s="666"/>
      <c r="AL535" s="666"/>
      <c r="AM535" s="666"/>
      <c r="AN535" s="666"/>
      <c r="AO535" s="666"/>
      <c r="AP535" s="666"/>
      <c r="AQ535" s="666"/>
      <c r="AR535" s="666"/>
      <c r="AS535" s="666"/>
      <c r="AT535" s="666"/>
      <c r="AU535" s="666"/>
      <c r="AV535" s="666"/>
      <c r="AW535" s="666"/>
      <c r="AX535" s="666"/>
      <c r="AY535" s="666"/>
      <c r="AZ535" s="666"/>
      <c r="BA535" s="666"/>
      <c r="BB535" s="666"/>
      <c r="BC535" s="666"/>
      <c r="BD535" s="666"/>
      <c r="BE535" s="666"/>
      <c r="BF535" s="666"/>
      <c r="BG535" s="666"/>
      <c r="BH535" s="666"/>
      <c r="BI535" s="666"/>
      <c r="BJ535" s="666"/>
      <c r="BK535" s="666"/>
      <c r="BL535" s="666"/>
      <c r="BM535" s="666"/>
      <c r="BN535" s="666"/>
      <c r="BO535" s="666"/>
      <c r="BP535" s="666"/>
      <c r="BQ535" s="666"/>
      <c r="BR535" s="666"/>
      <c r="BS535" s="666"/>
      <c r="BT535" s="666"/>
      <c r="BU535" s="666"/>
      <c r="BV535" s="747"/>
      <c r="BW535" s="453"/>
    </row>
    <row r="536" spans="1:75" ht="15" customHeight="1" x14ac:dyDescent="0.2">
      <c r="A536" s="1752"/>
      <c r="B536" s="742"/>
      <c r="C536" s="746"/>
      <c r="D536" s="666"/>
      <c r="E536" s="666"/>
      <c r="F536" s="666"/>
      <c r="G536" s="666"/>
      <c r="H536" s="666"/>
      <c r="I536" s="666"/>
      <c r="J536" s="666"/>
      <c r="K536" s="666"/>
      <c r="L536" s="666"/>
      <c r="M536" s="666"/>
      <c r="N536" s="666"/>
      <c r="O536" s="666"/>
      <c r="P536" s="666"/>
      <c r="Q536" s="666"/>
      <c r="R536" s="666"/>
      <c r="S536" s="666"/>
      <c r="T536" s="666"/>
      <c r="U536" s="666"/>
      <c r="V536" s="666"/>
      <c r="W536" s="666"/>
      <c r="X536" s="666"/>
      <c r="Y536" s="666"/>
      <c r="Z536" s="666"/>
      <c r="AA536" s="666"/>
      <c r="AB536" s="666"/>
      <c r="AC536" s="666"/>
      <c r="AD536" s="666"/>
      <c r="AE536" s="666"/>
      <c r="AF536" s="666"/>
      <c r="AG536" s="666"/>
      <c r="AH536" s="666"/>
      <c r="AI536" s="666"/>
      <c r="AJ536" s="666"/>
      <c r="AK536" s="666"/>
      <c r="AL536" s="666"/>
      <c r="AM536" s="666"/>
      <c r="AN536" s="666"/>
      <c r="AO536" s="666"/>
      <c r="AP536" s="666"/>
      <c r="AQ536" s="666"/>
      <c r="AR536" s="666"/>
      <c r="AS536" s="666"/>
      <c r="AT536" s="666"/>
      <c r="AU536" s="666"/>
      <c r="AV536" s="666"/>
      <c r="AW536" s="666"/>
      <c r="AX536" s="666"/>
      <c r="AY536" s="666"/>
      <c r="AZ536" s="666"/>
      <c r="BA536" s="666"/>
      <c r="BB536" s="666"/>
      <c r="BC536" s="666"/>
      <c r="BD536" s="666"/>
      <c r="BE536" s="666"/>
      <c r="BF536" s="666"/>
      <c r="BG536" s="666"/>
      <c r="BH536" s="666"/>
      <c r="BI536" s="666"/>
      <c r="BJ536" s="666"/>
      <c r="BK536" s="666"/>
      <c r="BL536" s="666"/>
      <c r="BM536" s="666"/>
      <c r="BN536" s="666"/>
      <c r="BO536" s="666"/>
      <c r="BP536" s="666"/>
      <c r="BQ536" s="666"/>
      <c r="BR536" s="666"/>
      <c r="BS536" s="666"/>
      <c r="BT536" s="666"/>
      <c r="BU536" s="666"/>
      <c r="BV536" s="747"/>
      <c r="BW536" s="453"/>
    </row>
    <row r="537" spans="1:75" ht="15" customHeight="1" x14ac:dyDescent="0.2">
      <c r="A537" s="1752"/>
      <c r="B537" s="742"/>
      <c r="C537" s="746"/>
      <c r="D537" s="666"/>
      <c r="E537" s="666"/>
      <c r="F537" s="666"/>
      <c r="G537" s="666"/>
      <c r="H537" s="666"/>
      <c r="I537" s="666"/>
      <c r="J537" s="666"/>
      <c r="K537" s="666"/>
      <c r="L537" s="666"/>
      <c r="M537" s="666"/>
      <c r="N537" s="666"/>
      <c r="O537" s="666"/>
      <c r="P537" s="666"/>
      <c r="Q537" s="666"/>
      <c r="R537" s="666"/>
      <c r="S537" s="666"/>
      <c r="T537" s="666"/>
      <c r="U537" s="666"/>
      <c r="V537" s="666"/>
      <c r="W537" s="666"/>
      <c r="X537" s="666"/>
      <c r="Y537" s="666"/>
      <c r="Z537" s="666"/>
      <c r="AA537" s="666"/>
      <c r="AB537" s="666"/>
      <c r="AC537" s="666"/>
      <c r="AD537" s="666"/>
      <c r="AE537" s="666"/>
      <c r="AF537" s="666"/>
      <c r="AG537" s="666"/>
      <c r="AH537" s="666"/>
      <c r="AI537" s="666"/>
      <c r="AJ537" s="666"/>
      <c r="AK537" s="666"/>
      <c r="AL537" s="666"/>
      <c r="AM537" s="666"/>
      <c r="AN537" s="666"/>
      <c r="AO537" s="666"/>
      <c r="AP537" s="666"/>
      <c r="AQ537" s="666"/>
      <c r="AR537" s="666"/>
      <c r="AS537" s="666"/>
      <c r="AT537" s="666"/>
      <c r="AU537" s="666"/>
      <c r="AV537" s="666"/>
      <c r="AW537" s="666"/>
      <c r="AX537" s="666"/>
      <c r="AY537" s="666"/>
      <c r="AZ537" s="666"/>
      <c r="BA537" s="666"/>
      <c r="BB537" s="666"/>
      <c r="BC537" s="666"/>
      <c r="BD537" s="666"/>
      <c r="BE537" s="666"/>
      <c r="BF537" s="666"/>
      <c r="BG537" s="666"/>
      <c r="BH537" s="666"/>
      <c r="BI537" s="666"/>
      <c r="BJ537" s="666"/>
      <c r="BK537" s="666"/>
      <c r="BL537" s="666"/>
      <c r="BM537" s="666"/>
      <c r="BN537" s="666"/>
      <c r="BO537" s="666"/>
      <c r="BP537" s="666"/>
      <c r="BQ537" s="666"/>
      <c r="BR537" s="666"/>
      <c r="BS537" s="666"/>
      <c r="BT537" s="666"/>
      <c r="BU537" s="666"/>
      <c r="BV537" s="747"/>
      <c r="BW537" s="453"/>
    </row>
    <row r="538" spans="1:75" ht="15" customHeight="1" x14ac:dyDescent="0.2">
      <c r="A538" s="1752"/>
      <c r="B538" s="742"/>
      <c r="C538" s="746"/>
      <c r="D538" s="666"/>
      <c r="E538" s="666"/>
      <c r="F538" s="666"/>
      <c r="G538" s="666"/>
      <c r="H538" s="666"/>
      <c r="I538" s="666"/>
      <c r="J538" s="666"/>
      <c r="K538" s="666"/>
      <c r="L538" s="666"/>
      <c r="M538" s="666"/>
      <c r="N538" s="666"/>
      <c r="O538" s="666"/>
      <c r="P538" s="666"/>
      <c r="Q538" s="666"/>
      <c r="R538" s="666"/>
      <c r="S538" s="666"/>
      <c r="T538" s="666"/>
      <c r="U538" s="666"/>
      <c r="V538" s="666"/>
      <c r="W538" s="666"/>
      <c r="X538" s="666"/>
      <c r="Y538" s="666"/>
      <c r="Z538" s="666"/>
      <c r="AA538" s="666"/>
      <c r="AB538" s="666"/>
      <c r="AC538" s="666"/>
      <c r="AD538" s="666"/>
      <c r="AE538" s="666"/>
      <c r="AF538" s="666"/>
      <c r="AG538" s="666"/>
      <c r="AH538" s="666"/>
      <c r="AI538" s="666"/>
      <c r="AJ538" s="666"/>
      <c r="AK538" s="666"/>
      <c r="AL538" s="666"/>
      <c r="AM538" s="666"/>
      <c r="AN538" s="666"/>
      <c r="AO538" s="666"/>
      <c r="AP538" s="666"/>
      <c r="AQ538" s="666"/>
      <c r="AR538" s="666"/>
      <c r="AS538" s="666"/>
      <c r="AT538" s="666"/>
      <c r="AU538" s="666"/>
      <c r="AV538" s="666"/>
      <c r="AW538" s="666"/>
      <c r="AX538" s="666"/>
      <c r="AY538" s="666"/>
      <c r="AZ538" s="666"/>
      <c r="BA538" s="666"/>
      <c r="BB538" s="666"/>
      <c r="BC538" s="666"/>
      <c r="BD538" s="666"/>
      <c r="BE538" s="666"/>
      <c r="BF538" s="666"/>
      <c r="BG538" s="666"/>
      <c r="BH538" s="666"/>
      <c r="BI538" s="666"/>
      <c r="BJ538" s="666"/>
      <c r="BK538" s="666"/>
      <c r="BL538" s="666"/>
      <c r="BM538" s="666"/>
      <c r="BN538" s="666"/>
      <c r="BO538" s="666"/>
      <c r="BP538" s="666"/>
      <c r="BQ538" s="666"/>
      <c r="BR538" s="666"/>
      <c r="BS538" s="666"/>
      <c r="BT538" s="666"/>
      <c r="BU538" s="666"/>
      <c r="BV538" s="747"/>
      <c r="BW538" s="453"/>
    </row>
    <row r="539" spans="1:75" ht="15" customHeight="1" x14ac:dyDescent="0.2">
      <c r="A539" s="1752"/>
      <c r="B539" s="742"/>
      <c r="C539" s="746"/>
      <c r="D539" s="666"/>
      <c r="E539" s="666"/>
      <c r="F539" s="666"/>
      <c r="G539" s="666"/>
      <c r="H539" s="666"/>
      <c r="I539" s="666"/>
      <c r="J539" s="666"/>
      <c r="K539" s="666"/>
      <c r="L539" s="666"/>
      <c r="M539" s="666"/>
      <c r="N539" s="666"/>
      <c r="O539" s="666"/>
      <c r="P539" s="666"/>
      <c r="Q539" s="666"/>
      <c r="R539" s="666"/>
      <c r="S539" s="666"/>
      <c r="T539" s="666"/>
      <c r="U539" s="666"/>
      <c r="V539" s="666"/>
      <c r="W539" s="666"/>
      <c r="X539" s="666"/>
      <c r="Y539" s="666"/>
      <c r="Z539" s="666"/>
      <c r="AA539" s="666"/>
      <c r="AB539" s="666"/>
      <c r="AC539" s="666"/>
      <c r="AD539" s="666"/>
      <c r="AE539" s="666"/>
      <c r="AF539" s="666"/>
      <c r="AG539" s="666"/>
      <c r="AH539" s="666"/>
      <c r="AI539" s="666"/>
      <c r="AJ539" s="666"/>
      <c r="AK539" s="666"/>
      <c r="AL539" s="666"/>
      <c r="AM539" s="666"/>
      <c r="AN539" s="666"/>
      <c r="AO539" s="666"/>
      <c r="AP539" s="666"/>
      <c r="AQ539" s="666"/>
      <c r="AR539" s="666"/>
      <c r="AS539" s="666"/>
      <c r="AT539" s="666"/>
      <c r="AU539" s="666"/>
      <c r="AV539" s="666"/>
      <c r="AW539" s="666"/>
      <c r="AX539" s="666"/>
      <c r="AY539" s="666"/>
      <c r="AZ539" s="666"/>
      <c r="BA539" s="666"/>
      <c r="BB539" s="666"/>
      <c r="BC539" s="666"/>
      <c r="BD539" s="666"/>
      <c r="BE539" s="666"/>
      <c r="BF539" s="666"/>
      <c r="BG539" s="666"/>
      <c r="BH539" s="666"/>
      <c r="BI539" s="666"/>
      <c r="BJ539" s="666"/>
      <c r="BK539" s="666"/>
      <c r="BL539" s="666"/>
      <c r="BM539" s="666"/>
      <c r="BN539" s="666"/>
      <c r="BO539" s="666"/>
      <c r="BP539" s="666"/>
      <c r="BQ539" s="666"/>
      <c r="BR539" s="666"/>
      <c r="BS539" s="666"/>
      <c r="BT539" s="666"/>
      <c r="BU539" s="666"/>
      <c r="BV539" s="747"/>
      <c r="BW539" s="453"/>
    </row>
    <row r="540" spans="1:75" ht="15" customHeight="1" x14ac:dyDescent="0.2">
      <c r="A540" s="1752"/>
      <c r="B540" s="742"/>
      <c r="C540" s="746"/>
      <c r="D540" s="666"/>
      <c r="E540" s="666"/>
      <c r="F540" s="666"/>
      <c r="G540" s="666"/>
      <c r="H540" s="666"/>
      <c r="I540" s="666"/>
      <c r="J540" s="666"/>
      <c r="K540" s="666"/>
      <c r="L540" s="666"/>
      <c r="M540" s="666"/>
      <c r="N540" s="666"/>
      <c r="O540" s="666"/>
      <c r="P540" s="666"/>
      <c r="Q540" s="666"/>
      <c r="R540" s="666"/>
      <c r="S540" s="666"/>
      <c r="T540" s="666"/>
      <c r="U540" s="666"/>
      <c r="V540" s="666"/>
      <c r="W540" s="666"/>
      <c r="X540" s="666"/>
      <c r="Y540" s="666"/>
      <c r="Z540" s="666"/>
      <c r="AA540" s="666"/>
      <c r="AB540" s="666"/>
      <c r="AC540" s="666"/>
      <c r="AD540" s="666"/>
      <c r="AE540" s="666"/>
      <c r="AF540" s="666"/>
      <c r="AG540" s="666"/>
      <c r="AH540" s="666"/>
      <c r="AI540" s="666"/>
      <c r="AJ540" s="666"/>
      <c r="AK540" s="666"/>
      <c r="AL540" s="666"/>
      <c r="AM540" s="666"/>
      <c r="AN540" s="666"/>
      <c r="AO540" s="666"/>
      <c r="AP540" s="666"/>
      <c r="AQ540" s="666"/>
      <c r="AR540" s="666"/>
      <c r="AS540" s="666"/>
      <c r="AT540" s="666"/>
      <c r="AU540" s="666"/>
      <c r="AV540" s="666"/>
      <c r="AW540" s="666"/>
      <c r="AX540" s="666"/>
      <c r="AY540" s="666"/>
      <c r="AZ540" s="666"/>
      <c r="BA540" s="666"/>
      <c r="BB540" s="666"/>
      <c r="BC540" s="666"/>
      <c r="BD540" s="666"/>
      <c r="BE540" s="666"/>
      <c r="BF540" s="666"/>
      <c r="BG540" s="666"/>
      <c r="BH540" s="666"/>
      <c r="BI540" s="666"/>
      <c r="BJ540" s="666"/>
      <c r="BK540" s="666"/>
      <c r="BL540" s="666"/>
      <c r="BM540" s="666"/>
      <c r="BN540" s="666"/>
      <c r="BO540" s="666"/>
      <c r="BP540" s="666"/>
      <c r="BQ540" s="666"/>
      <c r="BR540" s="666"/>
      <c r="BS540" s="666"/>
      <c r="BT540" s="666"/>
      <c r="BU540" s="666"/>
      <c r="BV540" s="747"/>
      <c r="BW540" s="453"/>
    </row>
    <row r="541" spans="1:75" ht="15" customHeight="1" x14ac:dyDescent="0.2">
      <c r="A541" s="1752"/>
      <c r="B541" s="742"/>
      <c r="C541" s="746"/>
      <c r="D541" s="666"/>
      <c r="E541" s="666"/>
      <c r="F541" s="666"/>
      <c r="G541" s="666"/>
      <c r="H541" s="666"/>
      <c r="I541" s="666"/>
      <c r="J541" s="666"/>
      <c r="K541" s="666"/>
      <c r="L541" s="666"/>
      <c r="M541" s="666"/>
      <c r="N541" s="666"/>
      <c r="O541" s="666"/>
      <c r="P541" s="666"/>
      <c r="Q541" s="666"/>
      <c r="R541" s="666"/>
      <c r="S541" s="666"/>
      <c r="T541" s="666"/>
      <c r="U541" s="666"/>
      <c r="V541" s="666"/>
      <c r="W541" s="666"/>
      <c r="X541" s="666"/>
      <c r="Y541" s="666"/>
      <c r="Z541" s="666"/>
      <c r="AA541" s="666"/>
      <c r="AB541" s="666"/>
      <c r="AC541" s="666"/>
      <c r="AD541" s="666"/>
      <c r="AE541" s="666"/>
      <c r="AF541" s="666"/>
      <c r="AG541" s="666"/>
      <c r="AH541" s="666"/>
      <c r="AI541" s="666"/>
      <c r="AJ541" s="666"/>
      <c r="AK541" s="666"/>
      <c r="AL541" s="666"/>
      <c r="AM541" s="666"/>
      <c r="AN541" s="666"/>
      <c r="AO541" s="666"/>
      <c r="AP541" s="666"/>
      <c r="AQ541" s="666"/>
      <c r="AR541" s="666"/>
      <c r="AS541" s="666"/>
      <c r="AT541" s="666"/>
      <c r="AU541" s="666"/>
      <c r="AV541" s="666"/>
      <c r="AW541" s="666"/>
      <c r="AX541" s="666"/>
      <c r="AY541" s="666"/>
      <c r="AZ541" s="666"/>
      <c r="BA541" s="666"/>
      <c r="BB541" s="666"/>
      <c r="BC541" s="666"/>
      <c r="BD541" s="666"/>
      <c r="BE541" s="666"/>
      <c r="BF541" s="666"/>
      <c r="BG541" s="666"/>
      <c r="BH541" s="666"/>
      <c r="BI541" s="666"/>
      <c r="BJ541" s="666"/>
      <c r="BK541" s="666"/>
      <c r="BL541" s="666"/>
      <c r="BM541" s="666"/>
      <c r="BN541" s="666"/>
      <c r="BO541" s="666"/>
      <c r="BP541" s="666"/>
      <c r="BQ541" s="666"/>
      <c r="BR541" s="666"/>
      <c r="BS541" s="666"/>
      <c r="BT541" s="666"/>
      <c r="BU541" s="666"/>
      <c r="BV541" s="747"/>
      <c r="BW541" s="453"/>
    </row>
    <row r="542" spans="1:75" ht="15" customHeight="1" x14ac:dyDescent="0.2">
      <c r="A542" s="1752"/>
      <c r="B542" s="742"/>
      <c r="C542" s="746"/>
      <c r="D542" s="666"/>
      <c r="E542" s="666"/>
      <c r="F542" s="666"/>
      <c r="G542" s="666"/>
      <c r="H542" s="666"/>
      <c r="I542" s="666"/>
      <c r="J542" s="666"/>
      <c r="K542" s="666"/>
      <c r="L542" s="666"/>
      <c r="M542" s="666"/>
      <c r="N542" s="666"/>
      <c r="O542" s="666"/>
      <c r="P542" s="666"/>
      <c r="Q542" s="666"/>
      <c r="R542" s="666"/>
      <c r="S542" s="666"/>
      <c r="T542" s="666"/>
      <c r="U542" s="666"/>
      <c r="V542" s="666"/>
      <c r="W542" s="666"/>
      <c r="X542" s="666"/>
      <c r="Y542" s="666"/>
      <c r="Z542" s="666"/>
      <c r="AA542" s="666"/>
      <c r="AB542" s="666"/>
      <c r="AC542" s="666"/>
      <c r="AD542" s="666"/>
      <c r="AE542" s="666"/>
      <c r="AF542" s="666"/>
      <c r="AG542" s="666"/>
      <c r="AH542" s="666"/>
      <c r="AI542" s="666"/>
      <c r="AJ542" s="666"/>
      <c r="AK542" s="666"/>
      <c r="AL542" s="666"/>
      <c r="AM542" s="666"/>
      <c r="AN542" s="666"/>
      <c r="AO542" s="666"/>
      <c r="AP542" s="666"/>
      <c r="AQ542" s="666"/>
      <c r="AR542" s="666"/>
      <c r="AS542" s="666"/>
      <c r="AT542" s="666"/>
      <c r="AU542" s="666"/>
      <c r="AV542" s="666"/>
      <c r="AW542" s="666"/>
      <c r="AX542" s="666"/>
      <c r="AY542" s="666"/>
      <c r="AZ542" s="666"/>
      <c r="BA542" s="666"/>
      <c r="BB542" s="666"/>
      <c r="BC542" s="666"/>
      <c r="BD542" s="666"/>
      <c r="BE542" s="666"/>
      <c r="BF542" s="666"/>
      <c r="BG542" s="666"/>
      <c r="BH542" s="666"/>
      <c r="BI542" s="666"/>
      <c r="BJ542" s="666"/>
      <c r="BK542" s="666"/>
      <c r="BL542" s="666"/>
      <c r="BM542" s="666"/>
      <c r="BN542" s="666"/>
      <c r="BO542" s="666"/>
      <c r="BP542" s="666"/>
      <c r="BQ542" s="666"/>
      <c r="BR542" s="666"/>
      <c r="BS542" s="666"/>
      <c r="BT542" s="666"/>
      <c r="BU542" s="666"/>
      <c r="BV542" s="747"/>
      <c r="BW542" s="453"/>
    </row>
    <row r="543" spans="1:75" ht="15" customHeight="1" x14ac:dyDescent="0.2">
      <c r="A543" s="1752"/>
      <c r="B543" s="742"/>
      <c r="C543" s="746"/>
      <c r="D543" s="666"/>
      <c r="E543" s="666"/>
      <c r="F543" s="666"/>
      <c r="G543" s="666"/>
      <c r="H543" s="666"/>
      <c r="I543" s="666"/>
      <c r="J543" s="666"/>
      <c r="K543" s="666"/>
      <c r="L543" s="666"/>
      <c r="M543" s="666"/>
      <c r="N543" s="666"/>
      <c r="O543" s="666"/>
      <c r="P543" s="666"/>
      <c r="Q543" s="666"/>
      <c r="R543" s="666"/>
      <c r="S543" s="666"/>
      <c r="T543" s="666"/>
      <c r="U543" s="666"/>
      <c r="V543" s="666"/>
      <c r="W543" s="666"/>
      <c r="X543" s="666"/>
      <c r="Y543" s="666"/>
      <c r="Z543" s="666"/>
      <c r="AA543" s="666"/>
      <c r="AB543" s="666"/>
      <c r="AC543" s="666"/>
      <c r="AD543" s="666"/>
      <c r="AE543" s="666"/>
      <c r="AF543" s="666"/>
      <c r="AG543" s="666"/>
      <c r="AH543" s="666"/>
      <c r="AI543" s="666"/>
      <c r="AJ543" s="666"/>
      <c r="AK543" s="666"/>
      <c r="AL543" s="666"/>
      <c r="AM543" s="666"/>
      <c r="AN543" s="666"/>
      <c r="AO543" s="666"/>
      <c r="AP543" s="666"/>
      <c r="AQ543" s="666"/>
      <c r="AR543" s="666"/>
      <c r="AS543" s="666"/>
      <c r="AT543" s="666"/>
      <c r="AU543" s="666"/>
      <c r="AV543" s="666"/>
      <c r="AW543" s="666"/>
      <c r="AX543" s="666"/>
      <c r="AY543" s="666"/>
      <c r="AZ543" s="666"/>
      <c r="BA543" s="666"/>
      <c r="BB543" s="666"/>
      <c r="BC543" s="666"/>
      <c r="BD543" s="666"/>
      <c r="BE543" s="666"/>
      <c r="BF543" s="666"/>
      <c r="BG543" s="666"/>
      <c r="BH543" s="666"/>
      <c r="BI543" s="666"/>
      <c r="BJ543" s="666"/>
      <c r="BK543" s="666"/>
      <c r="BL543" s="666"/>
      <c r="BM543" s="666"/>
      <c r="BN543" s="666"/>
      <c r="BO543" s="666"/>
      <c r="BP543" s="666"/>
      <c r="BQ543" s="666"/>
      <c r="BR543" s="666"/>
      <c r="BS543" s="666"/>
      <c r="BT543" s="666"/>
      <c r="BU543" s="666"/>
      <c r="BV543" s="747"/>
      <c r="BW543" s="453"/>
    </row>
    <row r="544" spans="1:75" ht="15" customHeight="1" x14ac:dyDescent="0.2">
      <c r="A544" s="1752"/>
      <c r="B544" s="742"/>
      <c r="C544" s="746"/>
      <c r="D544" s="666"/>
      <c r="E544" s="666"/>
      <c r="F544" s="666"/>
      <c r="G544" s="666"/>
      <c r="H544" s="666"/>
      <c r="I544" s="666"/>
      <c r="J544" s="666"/>
      <c r="K544" s="666"/>
      <c r="L544" s="666"/>
      <c r="M544" s="666"/>
      <c r="N544" s="666"/>
      <c r="O544" s="666"/>
      <c r="P544" s="666"/>
      <c r="Q544" s="666"/>
      <c r="R544" s="666"/>
      <c r="S544" s="666"/>
      <c r="T544" s="666"/>
      <c r="U544" s="666"/>
      <c r="V544" s="666"/>
      <c r="W544" s="666"/>
      <c r="X544" s="666"/>
      <c r="Y544" s="666"/>
      <c r="Z544" s="666"/>
      <c r="AA544" s="666"/>
      <c r="AB544" s="666"/>
      <c r="AC544" s="666"/>
      <c r="AD544" s="666"/>
      <c r="AE544" s="666"/>
      <c r="AF544" s="666"/>
      <c r="AG544" s="666"/>
      <c r="AH544" s="666"/>
      <c r="AI544" s="666"/>
      <c r="AJ544" s="666"/>
      <c r="AK544" s="666"/>
      <c r="AL544" s="666"/>
      <c r="AM544" s="666"/>
      <c r="AN544" s="666"/>
      <c r="AO544" s="666"/>
      <c r="AP544" s="666"/>
      <c r="AQ544" s="666"/>
      <c r="AR544" s="666"/>
      <c r="AS544" s="666"/>
      <c r="AT544" s="666"/>
      <c r="AU544" s="666"/>
      <c r="AV544" s="666"/>
      <c r="AW544" s="666"/>
      <c r="AX544" s="666"/>
      <c r="AY544" s="666"/>
      <c r="AZ544" s="666"/>
      <c r="BA544" s="666"/>
      <c r="BB544" s="666"/>
      <c r="BC544" s="666"/>
      <c r="BD544" s="666"/>
      <c r="BE544" s="666"/>
      <c r="BF544" s="666"/>
      <c r="BG544" s="666"/>
      <c r="BH544" s="666"/>
      <c r="BI544" s="666"/>
      <c r="BJ544" s="666"/>
      <c r="BK544" s="666"/>
      <c r="BL544" s="666"/>
      <c r="BM544" s="666"/>
      <c r="BN544" s="666"/>
      <c r="BO544" s="666"/>
      <c r="BP544" s="666"/>
      <c r="BQ544" s="666"/>
      <c r="BR544" s="666"/>
      <c r="BS544" s="666"/>
      <c r="BT544" s="666"/>
      <c r="BU544" s="666"/>
      <c r="BV544" s="747"/>
      <c r="BW544" s="453"/>
    </row>
    <row r="545" spans="1:75" ht="15" customHeight="1" x14ac:dyDescent="0.2">
      <c r="A545" s="1752"/>
      <c r="B545" s="742"/>
      <c r="C545" s="746"/>
      <c r="D545" s="666"/>
      <c r="E545" s="666"/>
      <c r="F545" s="666"/>
      <c r="G545" s="666"/>
      <c r="H545" s="666"/>
      <c r="I545" s="666"/>
      <c r="J545" s="666"/>
      <c r="K545" s="666"/>
      <c r="L545" s="666"/>
      <c r="M545" s="666"/>
      <c r="N545" s="666"/>
      <c r="O545" s="666"/>
      <c r="P545" s="666"/>
      <c r="Q545" s="666"/>
      <c r="R545" s="666"/>
      <c r="S545" s="666"/>
      <c r="T545" s="666"/>
      <c r="U545" s="666"/>
      <c r="V545" s="666"/>
      <c r="W545" s="666"/>
      <c r="X545" s="666"/>
      <c r="Y545" s="666"/>
      <c r="Z545" s="666"/>
      <c r="AA545" s="666"/>
      <c r="AB545" s="666"/>
      <c r="AC545" s="666"/>
      <c r="AD545" s="666"/>
      <c r="AE545" s="666"/>
      <c r="AF545" s="666"/>
      <c r="AG545" s="666"/>
      <c r="AH545" s="666"/>
      <c r="AI545" s="666"/>
      <c r="AJ545" s="666"/>
      <c r="AK545" s="666"/>
      <c r="AL545" s="666"/>
      <c r="AM545" s="666"/>
      <c r="AN545" s="666"/>
      <c r="AO545" s="666"/>
      <c r="AP545" s="666"/>
      <c r="AQ545" s="666"/>
      <c r="AR545" s="666"/>
      <c r="AS545" s="666"/>
      <c r="AT545" s="666"/>
      <c r="AU545" s="666"/>
      <c r="AV545" s="666"/>
      <c r="AW545" s="666"/>
      <c r="AX545" s="666"/>
      <c r="AY545" s="666"/>
      <c r="AZ545" s="666"/>
      <c r="BA545" s="666"/>
      <c r="BB545" s="666"/>
      <c r="BC545" s="666"/>
      <c r="BD545" s="666"/>
      <c r="BE545" s="666"/>
      <c r="BF545" s="666"/>
      <c r="BG545" s="666"/>
      <c r="BH545" s="666"/>
      <c r="BI545" s="666"/>
      <c r="BJ545" s="666"/>
      <c r="BK545" s="666"/>
      <c r="BL545" s="666"/>
      <c r="BM545" s="666"/>
      <c r="BN545" s="666"/>
      <c r="BO545" s="666"/>
      <c r="BP545" s="666"/>
      <c r="BQ545" s="666"/>
      <c r="BR545" s="666"/>
      <c r="BS545" s="666"/>
      <c r="BT545" s="666"/>
      <c r="BU545" s="666"/>
      <c r="BV545" s="747"/>
      <c r="BW545" s="453"/>
    </row>
    <row r="546" spans="1:75" ht="15" customHeight="1" x14ac:dyDescent="0.2">
      <c r="A546" s="1752"/>
      <c r="B546" s="742"/>
      <c r="C546" s="746"/>
      <c r="D546" s="666"/>
      <c r="E546" s="666"/>
      <c r="F546" s="666"/>
      <c r="G546" s="666"/>
      <c r="H546" s="666"/>
      <c r="I546" s="666"/>
      <c r="J546" s="666"/>
      <c r="K546" s="666"/>
      <c r="L546" s="666"/>
      <c r="M546" s="666"/>
      <c r="N546" s="666"/>
      <c r="O546" s="666"/>
      <c r="P546" s="666"/>
      <c r="Q546" s="666"/>
      <c r="R546" s="666"/>
      <c r="S546" s="666"/>
      <c r="T546" s="666"/>
      <c r="U546" s="666"/>
      <c r="V546" s="666"/>
      <c r="W546" s="666"/>
      <c r="X546" s="666"/>
      <c r="Y546" s="666"/>
      <c r="Z546" s="666"/>
      <c r="AA546" s="666"/>
      <c r="AB546" s="666"/>
      <c r="AC546" s="666"/>
      <c r="AD546" s="666"/>
      <c r="AE546" s="666"/>
      <c r="AF546" s="666"/>
      <c r="AG546" s="666"/>
      <c r="AH546" s="666"/>
      <c r="AI546" s="666"/>
      <c r="AJ546" s="666"/>
      <c r="AK546" s="666"/>
      <c r="AL546" s="666"/>
      <c r="AM546" s="666"/>
      <c r="AN546" s="666"/>
      <c r="AO546" s="666"/>
      <c r="AP546" s="666"/>
      <c r="AQ546" s="666"/>
      <c r="AR546" s="666"/>
      <c r="AS546" s="666"/>
      <c r="AT546" s="666"/>
      <c r="AU546" s="666"/>
      <c r="AV546" s="666"/>
      <c r="AW546" s="666"/>
      <c r="AX546" s="666"/>
      <c r="AY546" s="666"/>
      <c r="AZ546" s="666"/>
      <c r="BA546" s="666"/>
      <c r="BB546" s="666"/>
      <c r="BC546" s="666"/>
      <c r="BD546" s="666"/>
      <c r="BE546" s="666"/>
      <c r="BF546" s="666"/>
      <c r="BG546" s="666"/>
      <c r="BH546" s="666"/>
      <c r="BI546" s="666"/>
      <c r="BJ546" s="666"/>
      <c r="BK546" s="666"/>
      <c r="BL546" s="666"/>
      <c r="BM546" s="666"/>
      <c r="BN546" s="666"/>
      <c r="BO546" s="666"/>
      <c r="BP546" s="666"/>
      <c r="BQ546" s="666"/>
      <c r="BR546" s="666"/>
      <c r="BS546" s="666"/>
      <c r="BT546" s="666"/>
      <c r="BU546" s="666"/>
      <c r="BV546" s="747"/>
      <c r="BW546" s="453"/>
    </row>
    <row r="547" spans="1:75" ht="15" customHeight="1" x14ac:dyDescent="0.2">
      <c r="A547" s="1752"/>
      <c r="B547" s="742"/>
      <c r="C547" s="746"/>
      <c r="D547" s="666"/>
      <c r="E547" s="666"/>
      <c r="F547" s="666"/>
      <c r="G547" s="666"/>
      <c r="H547" s="666"/>
      <c r="I547" s="666"/>
      <c r="J547" s="666"/>
      <c r="K547" s="666"/>
      <c r="L547" s="666"/>
      <c r="M547" s="666"/>
      <c r="N547" s="666"/>
      <c r="O547" s="666"/>
      <c r="P547" s="666"/>
      <c r="Q547" s="666"/>
      <c r="R547" s="666"/>
      <c r="S547" s="666"/>
      <c r="T547" s="666"/>
      <c r="U547" s="666"/>
      <c r="V547" s="666"/>
      <c r="W547" s="666"/>
      <c r="X547" s="666"/>
      <c r="Y547" s="666"/>
      <c r="Z547" s="666"/>
      <c r="AA547" s="666"/>
      <c r="AB547" s="666"/>
      <c r="AC547" s="666"/>
      <c r="AD547" s="666"/>
      <c r="AE547" s="666"/>
      <c r="AF547" s="666"/>
      <c r="AG547" s="666"/>
      <c r="AH547" s="666"/>
      <c r="AI547" s="666"/>
      <c r="AJ547" s="666"/>
      <c r="AK547" s="666"/>
      <c r="AL547" s="666"/>
      <c r="AM547" s="666"/>
      <c r="AN547" s="666"/>
      <c r="AO547" s="666"/>
      <c r="AP547" s="666"/>
      <c r="AQ547" s="666"/>
      <c r="AR547" s="666"/>
      <c r="AS547" s="666"/>
      <c r="AT547" s="666"/>
      <c r="AU547" s="666"/>
      <c r="AV547" s="666"/>
      <c r="AW547" s="666"/>
      <c r="AX547" s="666"/>
      <c r="AY547" s="666"/>
      <c r="AZ547" s="666"/>
      <c r="BA547" s="666"/>
      <c r="BB547" s="666"/>
      <c r="BC547" s="666"/>
      <c r="BD547" s="666"/>
      <c r="BE547" s="666"/>
      <c r="BF547" s="666"/>
      <c r="BG547" s="666"/>
      <c r="BH547" s="666"/>
      <c r="BI547" s="666"/>
      <c r="BJ547" s="666"/>
      <c r="BK547" s="666"/>
      <c r="BL547" s="666"/>
      <c r="BM547" s="666"/>
      <c r="BN547" s="666"/>
      <c r="BO547" s="666"/>
      <c r="BP547" s="666"/>
      <c r="BQ547" s="666"/>
      <c r="BR547" s="666"/>
      <c r="BS547" s="666"/>
      <c r="BT547" s="666"/>
      <c r="BU547" s="666"/>
      <c r="BV547" s="747"/>
      <c r="BW547" s="453"/>
    </row>
    <row r="548" spans="1:75" ht="15" customHeight="1" x14ac:dyDescent="0.2">
      <c r="A548" s="1752"/>
      <c r="B548" s="742"/>
      <c r="C548" s="746"/>
      <c r="D548" s="666"/>
      <c r="E548" s="666"/>
      <c r="F548" s="666"/>
      <c r="G548" s="666"/>
      <c r="H548" s="666"/>
      <c r="I548" s="666"/>
      <c r="J548" s="666"/>
      <c r="K548" s="666"/>
      <c r="L548" s="666"/>
      <c r="M548" s="666"/>
      <c r="N548" s="666"/>
      <c r="O548" s="666"/>
      <c r="P548" s="666"/>
      <c r="Q548" s="666"/>
      <c r="R548" s="666"/>
      <c r="S548" s="666"/>
      <c r="T548" s="666"/>
      <c r="U548" s="666"/>
      <c r="V548" s="666"/>
      <c r="W548" s="666"/>
      <c r="X548" s="666"/>
      <c r="Y548" s="666"/>
      <c r="Z548" s="666"/>
      <c r="AA548" s="666"/>
      <c r="AB548" s="666"/>
      <c r="AC548" s="666"/>
      <c r="AD548" s="666"/>
      <c r="AE548" s="666"/>
      <c r="AF548" s="666"/>
      <c r="AG548" s="666"/>
      <c r="AH548" s="666"/>
      <c r="AI548" s="666"/>
      <c r="AJ548" s="666"/>
      <c r="AK548" s="666"/>
      <c r="AL548" s="666"/>
      <c r="AM548" s="666"/>
      <c r="AN548" s="666"/>
      <c r="AO548" s="666"/>
      <c r="AP548" s="666"/>
      <c r="AQ548" s="666"/>
      <c r="AR548" s="666"/>
      <c r="AS548" s="666"/>
      <c r="AT548" s="666"/>
      <c r="AU548" s="666"/>
      <c r="AV548" s="666"/>
      <c r="AW548" s="666"/>
      <c r="AX548" s="666"/>
      <c r="AY548" s="666"/>
      <c r="AZ548" s="666"/>
      <c r="BA548" s="666"/>
      <c r="BB548" s="666"/>
      <c r="BC548" s="666"/>
      <c r="BD548" s="666"/>
      <c r="BE548" s="666"/>
      <c r="BF548" s="666"/>
      <c r="BG548" s="666"/>
      <c r="BH548" s="666"/>
      <c r="BI548" s="666"/>
      <c r="BJ548" s="666"/>
      <c r="BK548" s="666"/>
      <c r="BL548" s="666"/>
      <c r="BM548" s="666"/>
      <c r="BN548" s="666"/>
      <c r="BO548" s="666"/>
      <c r="BP548" s="666"/>
      <c r="BQ548" s="666"/>
      <c r="BR548" s="666"/>
      <c r="BS548" s="666"/>
      <c r="BT548" s="666"/>
      <c r="BU548" s="666"/>
      <c r="BV548" s="747"/>
      <c r="BW548" s="453"/>
    </row>
    <row r="549" spans="1:75" ht="15" customHeight="1" x14ac:dyDescent="0.2">
      <c r="A549" s="1752"/>
      <c r="B549" s="742"/>
      <c r="C549" s="746"/>
      <c r="D549" s="666"/>
      <c r="E549" s="666"/>
      <c r="F549" s="666"/>
      <c r="G549" s="666"/>
      <c r="H549" s="666"/>
      <c r="I549" s="666"/>
      <c r="J549" s="666"/>
      <c r="K549" s="666"/>
      <c r="L549" s="666"/>
      <c r="M549" s="666"/>
      <c r="N549" s="666"/>
      <c r="O549" s="666"/>
      <c r="P549" s="666"/>
      <c r="Q549" s="666"/>
      <c r="R549" s="666"/>
      <c r="S549" s="666"/>
      <c r="T549" s="666"/>
      <c r="U549" s="666"/>
      <c r="V549" s="666"/>
      <c r="W549" s="666"/>
      <c r="X549" s="666"/>
      <c r="Y549" s="666"/>
      <c r="Z549" s="666"/>
      <c r="AA549" s="666"/>
      <c r="AB549" s="666"/>
      <c r="AC549" s="666"/>
      <c r="AD549" s="666"/>
      <c r="AE549" s="666"/>
      <c r="AF549" s="666"/>
      <c r="AG549" s="666"/>
      <c r="AH549" s="666"/>
      <c r="AI549" s="666"/>
      <c r="AJ549" s="666"/>
      <c r="AK549" s="666"/>
      <c r="AL549" s="666"/>
      <c r="AM549" s="666"/>
      <c r="AN549" s="666"/>
      <c r="AO549" s="666"/>
      <c r="AP549" s="666"/>
      <c r="AQ549" s="666"/>
      <c r="AR549" s="666"/>
      <c r="AS549" s="666"/>
      <c r="AT549" s="666"/>
      <c r="AU549" s="666"/>
      <c r="AV549" s="666"/>
      <c r="AW549" s="666"/>
      <c r="AX549" s="666"/>
      <c r="AY549" s="666"/>
      <c r="AZ549" s="666"/>
      <c r="BA549" s="666"/>
      <c r="BB549" s="666"/>
      <c r="BC549" s="666"/>
      <c r="BD549" s="666"/>
      <c r="BE549" s="666"/>
      <c r="BF549" s="666"/>
      <c r="BG549" s="666"/>
      <c r="BH549" s="666"/>
      <c r="BI549" s="666"/>
      <c r="BJ549" s="666"/>
      <c r="BK549" s="666"/>
      <c r="BL549" s="666"/>
      <c r="BM549" s="666"/>
      <c r="BN549" s="666"/>
      <c r="BO549" s="666"/>
      <c r="BP549" s="666"/>
      <c r="BQ549" s="666"/>
      <c r="BR549" s="666"/>
      <c r="BS549" s="666"/>
      <c r="BT549" s="666"/>
      <c r="BU549" s="666"/>
      <c r="BV549" s="747"/>
      <c r="BW549" s="453"/>
    </row>
    <row r="550" spans="1:75" ht="15" customHeight="1" x14ac:dyDescent="0.2">
      <c r="A550" s="1752"/>
      <c r="B550" s="742"/>
      <c r="C550" s="746"/>
      <c r="D550" s="666"/>
      <c r="E550" s="666"/>
      <c r="F550" s="666"/>
      <c r="G550" s="666"/>
      <c r="H550" s="666"/>
      <c r="I550" s="666"/>
      <c r="J550" s="666"/>
      <c r="K550" s="666"/>
      <c r="L550" s="666"/>
      <c r="M550" s="666"/>
      <c r="N550" s="666"/>
      <c r="O550" s="666"/>
      <c r="P550" s="666"/>
      <c r="Q550" s="666"/>
      <c r="R550" s="666"/>
      <c r="S550" s="666"/>
      <c r="T550" s="666"/>
      <c r="U550" s="666"/>
      <c r="V550" s="666"/>
      <c r="W550" s="666"/>
      <c r="X550" s="666"/>
      <c r="Y550" s="666"/>
      <c r="Z550" s="666"/>
      <c r="AA550" s="666"/>
      <c r="AB550" s="666"/>
      <c r="AC550" s="666"/>
      <c r="AD550" s="666"/>
      <c r="AE550" s="666"/>
      <c r="AF550" s="666"/>
      <c r="AG550" s="666"/>
      <c r="AH550" s="666"/>
      <c r="AI550" s="666"/>
      <c r="AJ550" s="666"/>
      <c r="AK550" s="666"/>
      <c r="AL550" s="666"/>
      <c r="AM550" s="666"/>
      <c r="AN550" s="666"/>
      <c r="AO550" s="666"/>
      <c r="AP550" s="666"/>
      <c r="AQ550" s="666"/>
      <c r="AR550" s="666"/>
      <c r="AS550" s="666"/>
      <c r="AT550" s="666"/>
      <c r="AU550" s="666"/>
      <c r="AV550" s="666"/>
      <c r="AW550" s="666"/>
      <c r="AX550" s="666"/>
      <c r="AY550" s="666"/>
      <c r="AZ550" s="666"/>
      <c r="BA550" s="666"/>
      <c r="BB550" s="666"/>
      <c r="BC550" s="666"/>
      <c r="BD550" s="666"/>
      <c r="BE550" s="666"/>
      <c r="BF550" s="666"/>
      <c r="BG550" s="666"/>
      <c r="BH550" s="666"/>
      <c r="BI550" s="666"/>
      <c r="BJ550" s="666"/>
      <c r="BK550" s="666"/>
      <c r="BL550" s="666"/>
      <c r="BM550" s="666"/>
      <c r="BN550" s="666"/>
      <c r="BO550" s="666"/>
      <c r="BP550" s="666"/>
      <c r="BQ550" s="666"/>
      <c r="BR550" s="666"/>
      <c r="BS550" s="666"/>
      <c r="BT550" s="666"/>
      <c r="BU550" s="666"/>
      <c r="BV550" s="747"/>
      <c r="BW550" s="453"/>
    </row>
    <row r="551" spans="1:75" ht="15" customHeight="1" x14ac:dyDescent="0.2">
      <c r="A551" s="1752"/>
      <c r="B551" s="742"/>
      <c r="C551" s="746"/>
      <c r="D551" s="666"/>
      <c r="E551" s="666"/>
      <c r="F551" s="666"/>
      <c r="G551" s="666"/>
      <c r="H551" s="666"/>
      <c r="I551" s="666"/>
      <c r="J551" s="666"/>
      <c r="K551" s="666"/>
      <c r="L551" s="666"/>
      <c r="M551" s="666"/>
      <c r="N551" s="666"/>
      <c r="O551" s="666"/>
      <c r="P551" s="666"/>
      <c r="Q551" s="666"/>
      <c r="R551" s="666"/>
      <c r="S551" s="666"/>
      <c r="T551" s="666"/>
      <c r="U551" s="666"/>
      <c r="V551" s="666"/>
      <c r="W551" s="666"/>
      <c r="X551" s="666"/>
      <c r="Y551" s="666"/>
      <c r="Z551" s="666"/>
      <c r="AA551" s="666"/>
      <c r="AB551" s="666"/>
      <c r="AC551" s="666"/>
      <c r="AD551" s="666"/>
      <c r="AE551" s="666"/>
      <c r="AF551" s="666"/>
      <c r="AG551" s="666"/>
      <c r="AH551" s="666"/>
      <c r="AI551" s="666"/>
      <c r="AJ551" s="666"/>
      <c r="AK551" s="666"/>
      <c r="AL551" s="666"/>
      <c r="AM551" s="666"/>
      <c r="AN551" s="666"/>
      <c r="AO551" s="666"/>
      <c r="AP551" s="666"/>
      <c r="AQ551" s="666"/>
      <c r="AR551" s="666"/>
      <c r="AS551" s="666"/>
      <c r="AT551" s="666"/>
      <c r="AU551" s="666"/>
      <c r="AV551" s="666"/>
      <c r="AW551" s="666"/>
      <c r="AX551" s="666"/>
      <c r="AY551" s="666"/>
      <c r="AZ551" s="666"/>
      <c r="BA551" s="666"/>
      <c r="BB551" s="666"/>
      <c r="BC551" s="666"/>
      <c r="BD551" s="666"/>
      <c r="BE551" s="666"/>
      <c r="BF551" s="666"/>
      <c r="BG551" s="666"/>
      <c r="BH551" s="666"/>
      <c r="BI551" s="666"/>
      <c r="BJ551" s="666"/>
      <c r="BK551" s="666"/>
      <c r="BL551" s="666"/>
      <c r="BM551" s="666"/>
      <c r="BN551" s="666"/>
      <c r="BO551" s="666"/>
      <c r="BP551" s="666"/>
      <c r="BQ551" s="666"/>
      <c r="BR551" s="666"/>
      <c r="BS551" s="666"/>
      <c r="BT551" s="666"/>
      <c r="BU551" s="666"/>
      <c r="BV551" s="747"/>
      <c r="BW551" s="453"/>
    </row>
    <row r="552" spans="1:75" ht="15" customHeight="1" x14ac:dyDescent="0.2">
      <c r="A552" s="1752"/>
      <c r="B552" s="742"/>
      <c r="C552" s="746"/>
      <c r="D552" s="666"/>
      <c r="E552" s="666"/>
      <c r="F552" s="666"/>
      <c r="G552" s="666"/>
      <c r="H552" s="666"/>
      <c r="I552" s="666"/>
      <c r="J552" s="666"/>
      <c r="K552" s="666"/>
      <c r="L552" s="666"/>
      <c r="M552" s="666"/>
      <c r="N552" s="666"/>
      <c r="O552" s="666"/>
      <c r="P552" s="666"/>
      <c r="Q552" s="666"/>
      <c r="R552" s="666"/>
      <c r="S552" s="666"/>
      <c r="T552" s="666"/>
      <c r="U552" s="666"/>
      <c r="V552" s="666"/>
      <c r="W552" s="666"/>
      <c r="X552" s="666"/>
      <c r="Y552" s="666"/>
      <c r="Z552" s="666"/>
      <c r="AA552" s="666"/>
      <c r="AB552" s="666"/>
      <c r="AC552" s="666"/>
      <c r="AD552" s="666"/>
      <c r="AE552" s="666"/>
      <c r="AF552" s="666"/>
      <c r="AG552" s="666"/>
      <c r="AH552" s="666"/>
      <c r="AI552" s="666"/>
      <c r="AJ552" s="666"/>
      <c r="AK552" s="666"/>
      <c r="AL552" s="666"/>
      <c r="AM552" s="666"/>
      <c r="AN552" s="666"/>
      <c r="AO552" s="666"/>
      <c r="AP552" s="666"/>
      <c r="AQ552" s="666"/>
      <c r="AR552" s="666"/>
      <c r="AS552" s="666"/>
      <c r="AT552" s="666"/>
      <c r="AU552" s="666"/>
      <c r="AV552" s="666"/>
      <c r="AW552" s="666"/>
      <c r="AX552" s="666"/>
      <c r="AY552" s="666"/>
      <c r="AZ552" s="666"/>
      <c r="BA552" s="666"/>
      <c r="BB552" s="666"/>
      <c r="BC552" s="666"/>
      <c r="BD552" s="666"/>
      <c r="BE552" s="666"/>
      <c r="BF552" s="666"/>
      <c r="BG552" s="666"/>
      <c r="BH552" s="666"/>
      <c r="BI552" s="666"/>
      <c r="BJ552" s="666"/>
      <c r="BK552" s="666"/>
      <c r="BL552" s="666"/>
      <c r="BM552" s="666"/>
      <c r="BN552" s="666"/>
      <c r="BO552" s="666"/>
      <c r="BP552" s="666"/>
      <c r="BQ552" s="666"/>
      <c r="BR552" s="666"/>
      <c r="BS552" s="666"/>
      <c r="BT552" s="666"/>
      <c r="BU552" s="666"/>
      <c r="BV552" s="747"/>
      <c r="BW552" s="443"/>
    </row>
    <row r="553" spans="1:75" ht="15" customHeight="1" x14ac:dyDescent="0.2">
      <c r="A553" s="1752"/>
      <c r="B553" s="742"/>
      <c r="C553" s="746"/>
      <c r="D553" s="666"/>
      <c r="E553" s="666"/>
      <c r="F553" s="666"/>
      <c r="G553" s="666"/>
      <c r="H553" s="666"/>
      <c r="I553" s="666"/>
      <c r="J553" s="666"/>
      <c r="K553" s="666"/>
      <c r="L553" s="666"/>
      <c r="M553" s="666"/>
      <c r="N553" s="666"/>
      <c r="O553" s="666"/>
      <c r="P553" s="666"/>
      <c r="Q553" s="666"/>
      <c r="R553" s="666"/>
      <c r="S553" s="666"/>
      <c r="T553" s="666"/>
      <c r="U553" s="666"/>
      <c r="V553" s="666"/>
      <c r="W553" s="666"/>
      <c r="X553" s="666"/>
      <c r="Y553" s="666"/>
      <c r="Z553" s="666"/>
      <c r="AA553" s="666"/>
      <c r="AB553" s="666"/>
      <c r="AC553" s="666"/>
      <c r="AD553" s="666"/>
      <c r="AE553" s="666"/>
      <c r="AF553" s="666"/>
      <c r="AG553" s="666"/>
      <c r="AH553" s="666"/>
      <c r="AI553" s="666"/>
      <c r="AJ553" s="666"/>
      <c r="AK553" s="666"/>
      <c r="AL553" s="666"/>
      <c r="AM553" s="666"/>
      <c r="AN553" s="666"/>
      <c r="AO553" s="666"/>
      <c r="AP553" s="666"/>
      <c r="AQ553" s="666"/>
      <c r="AR553" s="666"/>
      <c r="AS553" s="666"/>
      <c r="AT553" s="666"/>
      <c r="AU553" s="666"/>
      <c r="AV553" s="666"/>
      <c r="AW553" s="666"/>
      <c r="AX553" s="666"/>
      <c r="AY553" s="666"/>
      <c r="AZ553" s="666"/>
      <c r="BA553" s="666"/>
      <c r="BB553" s="666"/>
      <c r="BC553" s="666"/>
      <c r="BD553" s="666"/>
      <c r="BE553" s="666"/>
      <c r="BF553" s="666"/>
      <c r="BG553" s="666"/>
      <c r="BH553" s="666"/>
      <c r="BI553" s="666"/>
      <c r="BJ553" s="666"/>
      <c r="BK553" s="666"/>
      <c r="BL553" s="666"/>
      <c r="BM553" s="666"/>
      <c r="BN553" s="666"/>
      <c r="BO553" s="666"/>
      <c r="BP553" s="666"/>
      <c r="BQ553" s="666"/>
      <c r="BR553" s="666"/>
      <c r="BS553" s="666"/>
      <c r="BT553" s="666"/>
      <c r="BU553" s="666"/>
      <c r="BV553" s="747"/>
      <c r="BW553" s="443"/>
    </row>
    <row r="554" spans="1:75" ht="15" customHeight="1" thickBot="1" x14ac:dyDescent="0.25">
      <c r="A554" s="1752"/>
      <c r="B554" s="742"/>
      <c r="C554" s="748"/>
      <c r="D554" s="502"/>
      <c r="E554" s="502"/>
      <c r="F554" s="502"/>
      <c r="G554" s="502"/>
      <c r="H554" s="502"/>
      <c r="I554" s="502"/>
      <c r="J554" s="502"/>
      <c r="K554" s="502"/>
      <c r="L554" s="502"/>
      <c r="M554" s="502"/>
      <c r="N554" s="502"/>
      <c r="O554" s="502"/>
      <c r="P554" s="502"/>
      <c r="Q554" s="502"/>
      <c r="R554" s="502"/>
      <c r="S554" s="502"/>
      <c r="T554" s="502"/>
      <c r="U554" s="502"/>
      <c r="V554" s="502"/>
      <c r="W554" s="502"/>
      <c r="X554" s="502"/>
      <c r="Y554" s="502"/>
      <c r="Z554" s="502"/>
      <c r="AA554" s="502"/>
      <c r="AB554" s="502"/>
      <c r="AC554" s="502"/>
      <c r="AD554" s="502"/>
      <c r="AE554" s="502"/>
      <c r="AF554" s="502"/>
      <c r="AG554" s="502"/>
      <c r="AH554" s="502"/>
      <c r="AI554" s="502"/>
      <c r="AJ554" s="502"/>
      <c r="AK554" s="502"/>
      <c r="AL554" s="502"/>
      <c r="AM554" s="502"/>
      <c r="AN554" s="502"/>
      <c r="AO554" s="502"/>
      <c r="AP554" s="502"/>
      <c r="AQ554" s="502"/>
      <c r="AR554" s="502"/>
      <c r="AS554" s="502"/>
      <c r="AT554" s="502"/>
      <c r="AU554" s="502"/>
      <c r="AV554" s="502"/>
      <c r="AW554" s="502"/>
      <c r="AX554" s="502"/>
      <c r="AY554" s="502"/>
      <c r="AZ554" s="502"/>
      <c r="BA554" s="502"/>
      <c r="BB554" s="502"/>
      <c r="BC554" s="502"/>
      <c r="BD554" s="502"/>
      <c r="BE554" s="502"/>
      <c r="BF554" s="502"/>
      <c r="BG554" s="502"/>
      <c r="BH554" s="502"/>
      <c r="BI554" s="502"/>
      <c r="BJ554" s="502"/>
      <c r="BK554" s="502"/>
      <c r="BL554" s="502"/>
      <c r="BM554" s="502"/>
      <c r="BN554" s="502"/>
      <c r="BO554" s="502"/>
      <c r="BP554" s="502"/>
      <c r="BQ554" s="502"/>
      <c r="BR554" s="502"/>
      <c r="BS554" s="502"/>
      <c r="BT554" s="502"/>
      <c r="BU554" s="502"/>
      <c r="BV554" s="749"/>
      <c r="BW554" s="443"/>
    </row>
    <row r="555" spans="1:75" ht="15" customHeight="1" x14ac:dyDescent="0.2">
      <c r="BW555" s="443"/>
    </row>
    <row r="556" spans="1:75" ht="15" customHeight="1" x14ac:dyDescent="0.2">
      <c r="BW556" s="443"/>
    </row>
    <row r="557" spans="1:75" ht="15" customHeight="1" x14ac:dyDescent="0.2">
      <c r="BW557" s="443"/>
    </row>
    <row r="558" spans="1:75" ht="15" customHeight="1" x14ac:dyDescent="0.2">
      <c r="BW558" s="443"/>
    </row>
    <row r="559" spans="1:75" ht="15" customHeight="1" x14ac:dyDescent="0.2">
      <c r="BW559" s="443"/>
    </row>
    <row r="560" spans="1:75" ht="15" customHeight="1" x14ac:dyDescent="0.2">
      <c r="BW560" s="443"/>
    </row>
  </sheetData>
  <dataConsolidate/>
  <mergeCells count="852">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BK39:BV39"/>
    <mergeCell ref="BF53:BI53"/>
    <mergeCell ref="BF54:BI54"/>
    <mergeCell ref="BK40:BV40"/>
    <mergeCell ref="BK45:BV45"/>
    <mergeCell ref="BK41:BV41"/>
    <mergeCell ref="BP54:BV54"/>
    <mergeCell ref="BP53:BV53"/>
    <mergeCell ref="BK43:BV43"/>
    <mergeCell ref="BK42:BV42"/>
    <mergeCell ref="BB58:BE58"/>
    <mergeCell ref="AY41:BA41"/>
    <mergeCell ref="AY46:BA46"/>
    <mergeCell ref="BB55:BE55"/>
    <mergeCell ref="BB53:BE53"/>
    <mergeCell ref="AY56:BA56"/>
    <mergeCell ref="BF56:BI56"/>
    <mergeCell ref="AY45:BA45"/>
    <mergeCell ref="AY44:BA44"/>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CR145:DU145"/>
    <mergeCell ref="DV145:ED145"/>
    <mergeCell ref="EE145:FB145"/>
    <mergeCell ref="CJ146:CQ146"/>
    <mergeCell ref="CR146:DU146"/>
    <mergeCell ref="DV146:ED146"/>
    <mergeCell ref="EE146:FB146"/>
    <mergeCell ref="CJ145:CQ145"/>
    <mergeCell ref="CY165:CZ16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disablePrompts="1" count="22">
    <dataValidation allowBlank="1" showInputMessage="1" showErrorMessage="1" promptTitle="Factor de mercado" prompt="Ej. 0.2" sqref="BD66" xr:uid="{00000000-0002-0000-0300-000000000000}">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xr:uid="{00000000-0002-0000-0300-000001000000}"/>
    <dataValidation type="list" allowBlank="1" showInputMessage="1" showErrorMessage="1" sqref="AP169:AT170" xr:uid="{00000000-0002-0000-0300-000002000000}">
      <formula1>$BW$39:$BW$42</formula1>
      <formula2>0</formula2>
    </dataValidation>
    <dataValidation allowBlank="1" showInputMessage="1" showErrorMessage="1" prompt="Ingrese metraje del Frente del Terreno" sqref="AV167:AY167" xr:uid="{00000000-0002-0000-0300-000003000000}">
      <formula1>0</formula1>
      <formula2>0</formula2>
    </dataValidation>
    <dataValidation allowBlank="1" showInputMessage="1" showErrorMessage="1" prompt="Ingrese m² del Terreno Tasado" sqref="I167:N170" xr:uid="{00000000-0002-0000-0300-000004000000}">
      <formula1>0</formula1>
      <formula2>0</formula2>
    </dataValidation>
    <dataValidation type="textLength" operator="greaterThan" allowBlank="1" showInputMessage="1" showErrorMessage="1" error="Agradecere explicar en forma mas detallada" sqref="AR176" xr:uid="{00000000-0002-0000-0300-000005000000}">
      <formula1>50</formula1>
      <formula2>0</formula2>
    </dataValidation>
    <dataValidation type="list" allowBlank="1" sqref="AY172:AY176" xr:uid="{00000000-0002-0000-0300-000006000000}">
      <formula1>"MALO,DEFICIENTE,REGULAR,SATISFACTORIO,BUENO,NUEVO - S/USO,EN CONSTRUC.,INCONCLUSO"</formula1>
      <formula2>0</formula2>
    </dataValidation>
    <dataValidation type="list" allowBlank="1" sqref="L172:L176" xr:uid="{00000000-0002-0000-0300-000007000000}">
      <formula1>"INDIVIDUAL,CONJUNTO,POBLACION,CONDOMINIO,VILLA,PARCELACION,EDIFICIO,CENTRO COMERCIAL"</formula1>
      <formula2>0</formula2>
    </dataValidation>
    <dataValidation allowBlank="1" showInputMessage="1" showErrorMessage="1" promptTitle="Superficie Construcción" prompt="m2" sqref="AN31:AN35 AN40:AN43" xr:uid="{00000000-0002-0000-0300-000008000000}">
      <formula1>0</formula1>
      <formula2>0</formula2>
    </dataValidation>
    <dataValidation type="list" allowBlank="1" showInputMessage="1" showErrorMessage="1" error="Debe usar lista desplegable" prompt="Indique si la propiedad es una Oferta ó Venta Real (CBR,)" sqref="G31:G35 G40:G43" xr:uid="{00000000-0002-0000-0300-000009000000}">
      <formula1>"Ofert.,CBR."</formula1>
      <formula2>0</formula2>
    </dataValidation>
    <dataValidation allowBlank="1" showInputMessage="1" showErrorMessage="1" promptTitle="N° de Teléfono" prompt="Ingrese N° de teléfono del contacto" sqref="AA30 AA39" xr:uid="{00000000-0002-0000-0300-00000A000000}">
      <formula1>0</formula1>
      <formula2>0</formula2>
    </dataValidation>
    <dataValidation allowBlank="1" showInputMessage="1" showErrorMessage="1" promptTitle="Valor Total" prompt="UF" sqref="AE31:AE35 AE40:AE43" xr:uid="{00000000-0002-0000-0300-00000B000000}">
      <formula1>0</formula1>
      <formula2>0</formula2>
    </dataValidation>
    <dataValidation allowBlank="1" showInputMessage="1" showErrorMessage="1" promptTitle="Obras Complementarias" prompt="UF" sqref="AS31:AS35 AS40:AS43" xr:uid="{00000000-0002-0000-0300-00000C000000}">
      <formula1>0</formula1>
      <formula2>0</formula2>
    </dataValidation>
    <dataValidation allowBlank="1" showInputMessage="1" showErrorMessage="1" promptTitle="Vida Util Remanente (Propiedad)" prompt="No considera cambio de instalaciones y estructura" sqref="BH39" xr:uid="{00000000-0002-0000-0300-00000D000000}">
      <formula1>0</formula1>
      <formula2>0</formula2>
    </dataValidation>
    <dataValidation allowBlank="1" showInputMessage="1" showErrorMessage="1" promptTitle="Superficie Terreno" prompt="m2" sqref="AI31:AI35 AI40:AI43" xr:uid="{00000000-0002-0000-0300-00000E000000}">
      <formula1>0</formula1>
      <formula2>0</formula2>
    </dataValidation>
    <dataValidation type="date" operator="greaterThan" allowBlank="1" showInputMessage="1" showErrorMessage="1" errorTitle="FECHA VISITA" error="Ingrese fecha según ejemplo:_x000a_25/11/73" sqref="I82:I83" xr:uid="{00000000-0002-0000-0300-00000F000000}">
      <formula1>26992</formula1>
      <formula2>0</formula2>
    </dataValidation>
    <dataValidation type="list" allowBlank="1" sqref="AD159:AI159 AD161:AI161" xr:uid="{00000000-0002-0000-0300-000010000000}">
      <formula1>"Licuado,Red Pública,Red Particular, Full eléctica,No existe"</formula1>
    </dataValidation>
    <dataValidation type="list" allowBlank="1" sqref="AD157:AI157" xr:uid="{00000000-0002-0000-0300-000011000000}">
      <formula1>"Red Aérea,Red Subterránea,No Hay Red"</formula1>
      <formula2>0</formula2>
    </dataValidation>
    <dataValidation type="list" allowBlank="1" sqref="AD156" xr:uid="{00000000-0002-0000-0300-000012000000}">
      <formula1>"Sí,NO"</formula1>
      <formula2>0</formula2>
    </dataValidation>
    <dataValidation type="list" allowBlank="1" sqref="AD158" xr:uid="{00000000-0002-0000-0300-000013000000}">
      <formula1>"Matriz Pública,Matriz Privada,Sol. Particular,No cuenta"</formula1>
      <formula2>0</formula2>
    </dataValidation>
    <dataValidation type="list" allowBlank="1" showInputMessage="1" showErrorMessage="1" sqref="AD163:AD164 AD160" xr:uid="{00000000-0002-0000-0300-000014000000}">
      <formula1>"Estacionario,Renovación,Creciente,Decreciente"</formula1>
      <formula2>0</formula2>
    </dataValidation>
    <dataValidation type="list" allowBlank="1" showInputMessage="1" showErrorMessage="1" sqref="AZ15" xr:uid="{00000000-0002-0000-0300-000015000000}">
      <formula1>"SI,NO,S/INF."</formula1>
      <formula2>0</formula2>
    </dataValidation>
  </dataValidations>
  <printOptions horizontalCentered="1"/>
  <pageMargins left="0.19685039370078741" right="0.19685039370078741" top="0.19685039370078741" bottom="0" header="0" footer="0"/>
  <pageSetup scale="61"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171450</xdr:rowOff>
                  </from>
                  <to>
                    <xdr:col>75</xdr:col>
                    <xdr:colOff>2800350</xdr:colOff>
                    <xdr:row>11</xdr:row>
                    <xdr:rowOff>57150</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123825</xdr:colOff>
                    <xdr:row>14</xdr:row>
                    <xdr:rowOff>28575</xdr:rowOff>
                  </from>
                  <to>
                    <xdr:col>75</xdr:col>
                    <xdr:colOff>2838450</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2828925</xdr:colOff>
                    <xdr:row>25</xdr:row>
                    <xdr:rowOff>9525</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1304925</xdr:colOff>
                    <xdr:row>29</xdr:row>
                    <xdr:rowOff>85725</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104775</xdr:colOff>
                    <xdr:row>30</xdr:row>
                    <xdr:rowOff>66675</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57150</xdr:rowOff>
                  </from>
                  <to>
                    <xdr:col>75</xdr:col>
                    <xdr:colOff>2943225</xdr:colOff>
                    <xdr:row>29</xdr:row>
                    <xdr:rowOff>104775</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57150</xdr:rowOff>
                  </from>
                  <to>
                    <xdr:col>75</xdr:col>
                    <xdr:colOff>2943225</xdr:colOff>
                    <xdr:row>32</xdr:row>
                    <xdr:rowOff>104775</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390525</xdr:colOff>
                    <xdr:row>477</xdr:row>
                    <xdr:rowOff>114300</xdr:rowOff>
                  </from>
                  <to>
                    <xdr:col>75</xdr:col>
                    <xdr:colOff>2886075</xdr:colOff>
                    <xdr:row>481</xdr:row>
                    <xdr:rowOff>95250</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390525</xdr:colOff>
                    <xdr:row>394</xdr:row>
                    <xdr:rowOff>114300</xdr:rowOff>
                  </from>
                  <to>
                    <xdr:col>75</xdr:col>
                    <xdr:colOff>2886075</xdr:colOff>
                    <xdr:row>398</xdr:row>
                    <xdr:rowOff>95250</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390525</xdr:colOff>
                    <xdr:row>306</xdr:row>
                    <xdr:rowOff>114300</xdr:rowOff>
                  </from>
                  <to>
                    <xdr:col>75</xdr:col>
                    <xdr:colOff>2886075</xdr:colOff>
                    <xdr:row>310</xdr:row>
                    <xdr:rowOff>95250</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390525</xdr:colOff>
                    <xdr:row>223</xdr:row>
                    <xdr:rowOff>114300</xdr:rowOff>
                  </from>
                  <to>
                    <xdr:col>75</xdr:col>
                    <xdr:colOff>2886075</xdr:colOff>
                    <xdr:row>227</xdr:row>
                    <xdr:rowOff>95250</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390525</xdr:colOff>
                    <xdr:row>91</xdr:row>
                    <xdr:rowOff>19050</xdr:rowOff>
                  </from>
                  <to>
                    <xdr:col>75</xdr:col>
                    <xdr:colOff>2886075</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390525</xdr:colOff>
                    <xdr:row>200</xdr:row>
                    <xdr:rowOff>114300</xdr:rowOff>
                  </from>
                  <to>
                    <xdr:col>75</xdr:col>
                    <xdr:colOff>2886075</xdr:colOff>
                    <xdr:row>204</xdr:row>
                    <xdr:rowOff>95250</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390525</xdr:colOff>
                    <xdr:row>149</xdr:row>
                    <xdr:rowOff>114300</xdr:rowOff>
                  </from>
                  <to>
                    <xdr:col>75</xdr:col>
                    <xdr:colOff>2886075</xdr:colOff>
                    <xdr:row>153</xdr:row>
                    <xdr:rowOff>95250</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390525</xdr:colOff>
                    <xdr:row>173</xdr:row>
                    <xdr:rowOff>114300</xdr:rowOff>
                  </from>
                  <to>
                    <xdr:col>75</xdr:col>
                    <xdr:colOff>2886075</xdr:colOff>
                    <xdr:row>177</xdr:row>
                    <xdr:rowOff>95250</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390525</xdr:colOff>
                    <xdr:row>55</xdr:row>
                    <xdr:rowOff>19050</xdr:rowOff>
                  </from>
                  <to>
                    <xdr:col>75</xdr:col>
                    <xdr:colOff>2886075</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390525</xdr:colOff>
                    <xdr:row>119</xdr:row>
                    <xdr:rowOff>19050</xdr:rowOff>
                  </from>
                  <to>
                    <xdr:col>75</xdr:col>
                    <xdr:colOff>2886075</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390525</xdr:colOff>
                    <xdr:row>261</xdr:row>
                    <xdr:rowOff>133350</xdr:rowOff>
                  </from>
                  <to>
                    <xdr:col>75</xdr:col>
                    <xdr:colOff>2886075</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390525</xdr:colOff>
                    <xdr:row>342</xdr:row>
                    <xdr:rowOff>104775</xdr:rowOff>
                  </from>
                  <to>
                    <xdr:col>75</xdr:col>
                    <xdr:colOff>2886075</xdr:colOff>
                    <xdr:row>346</xdr:row>
                    <xdr:rowOff>85725</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390525</xdr:colOff>
                    <xdr:row>438</xdr:row>
                    <xdr:rowOff>19050</xdr:rowOff>
                  </from>
                  <to>
                    <xdr:col>75</xdr:col>
                    <xdr:colOff>2886075</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390525</xdr:colOff>
                    <xdr:row>528</xdr:row>
                    <xdr:rowOff>66675</xdr:rowOff>
                  </from>
                  <to>
                    <xdr:col>75</xdr:col>
                    <xdr:colOff>2886075</xdr:colOff>
                    <xdr:row>532</xdr:row>
                    <xdr:rowOff>47625</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57150</xdr:rowOff>
                  </from>
                  <to>
                    <xdr:col>75</xdr:col>
                    <xdr:colOff>2943225</xdr:colOff>
                    <xdr:row>63</xdr:row>
                    <xdr:rowOff>104775</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57150</xdr:rowOff>
                  </from>
                  <to>
                    <xdr:col>75</xdr:col>
                    <xdr:colOff>2943225</xdr:colOff>
                    <xdr:row>66</xdr:row>
                    <xdr:rowOff>104775</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57150</xdr:rowOff>
                  </from>
                  <to>
                    <xdr:col>75</xdr:col>
                    <xdr:colOff>2943225</xdr:colOff>
                    <xdr:row>98</xdr:row>
                    <xdr:rowOff>104775</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57150</xdr:rowOff>
                  </from>
                  <to>
                    <xdr:col>75</xdr:col>
                    <xdr:colOff>2943225</xdr:colOff>
                    <xdr:row>101</xdr:row>
                    <xdr:rowOff>104775</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57150</xdr:rowOff>
                  </from>
                  <to>
                    <xdr:col>75</xdr:col>
                    <xdr:colOff>2943225</xdr:colOff>
                    <xdr:row>126</xdr:row>
                    <xdr:rowOff>104775</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57150</xdr:rowOff>
                  </from>
                  <to>
                    <xdr:col>75</xdr:col>
                    <xdr:colOff>2943225</xdr:colOff>
                    <xdr:row>129</xdr:row>
                    <xdr:rowOff>104775</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57150</xdr:rowOff>
                  </from>
                  <to>
                    <xdr:col>75</xdr:col>
                    <xdr:colOff>2943225</xdr:colOff>
                    <xdr:row>157</xdr:row>
                    <xdr:rowOff>104775</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57150</xdr:rowOff>
                  </from>
                  <to>
                    <xdr:col>75</xdr:col>
                    <xdr:colOff>2943225</xdr:colOff>
                    <xdr:row>160</xdr:row>
                    <xdr:rowOff>104775</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57150</xdr:rowOff>
                  </from>
                  <to>
                    <xdr:col>75</xdr:col>
                    <xdr:colOff>2943225</xdr:colOff>
                    <xdr:row>181</xdr:row>
                    <xdr:rowOff>104775</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57150</xdr:rowOff>
                  </from>
                  <to>
                    <xdr:col>75</xdr:col>
                    <xdr:colOff>2943225</xdr:colOff>
                    <xdr:row>184</xdr:row>
                    <xdr:rowOff>104775</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57150</xdr:rowOff>
                  </from>
                  <to>
                    <xdr:col>75</xdr:col>
                    <xdr:colOff>2943225</xdr:colOff>
                    <xdr:row>209</xdr:row>
                    <xdr:rowOff>104775</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57150</xdr:rowOff>
                  </from>
                  <to>
                    <xdr:col>75</xdr:col>
                    <xdr:colOff>2943225</xdr:colOff>
                    <xdr:row>212</xdr:row>
                    <xdr:rowOff>104775</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57150</xdr:rowOff>
                  </from>
                  <to>
                    <xdr:col>75</xdr:col>
                    <xdr:colOff>2943225</xdr:colOff>
                    <xdr:row>313</xdr:row>
                    <xdr:rowOff>104775</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57150</xdr:rowOff>
                  </from>
                  <to>
                    <xdr:col>75</xdr:col>
                    <xdr:colOff>2943225</xdr:colOff>
                    <xdr:row>316</xdr:row>
                    <xdr:rowOff>104775</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57150</xdr:rowOff>
                  </from>
                  <to>
                    <xdr:col>75</xdr:col>
                    <xdr:colOff>2943225</xdr:colOff>
                    <xdr:row>350</xdr:row>
                    <xdr:rowOff>104775</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57150</xdr:rowOff>
                  </from>
                  <to>
                    <xdr:col>75</xdr:col>
                    <xdr:colOff>2943225</xdr:colOff>
                    <xdr:row>353</xdr:row>
                    <xdr:rowOff>104775</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57150</xdr:rowOff>
                  </from>
                  <to>
                    <xdr:col>75</xdr:col>
                    <xdr:colOff>2943225</xdr:colOff>
                    <xdr:row>402</xdr:row>
                    <xdr:rowOff>104775</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57150</xdr:rowOff>
                  </from>
                  <to>
                    <xdr:col>75</xdr:col>
                    <xdr:colOff>2943225</xdr:colOff>
                    <xdr:row>269</xdr:row>
                    <xdr:rowOff>104775</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57150</xdr:rowOff>
                  </from>
                  <to>
                    <xdr:col>75</xdr:col>
                    <xdr:colOff>2943225</xdr:colOff>
                    <xdr:row>272</xdr:row>
                    <xdr:rowOff>104775</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57150</xdr:rowOff>
                  </from>
                  <to>
                    <xdr:col>75</xdr:col>
                    <xdr:colOff>2943225</xdr:colOff>
                    <xdr:row>230</xdr:row>
                    <xdr:rowOff>104775</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57150</xdr:rowOff>
                  </from>
                  <to>
                    <xdr:col>75</xdr:col>
                    <xdr:colOff>2943225</xdr:colOff>
                    <xdr:row>233</xdr:row>
                    <xdr:rowOff>104775</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57150</xdr:rowOff>
                  </from>
                  <to>
                    <xdr:col>75</xdr:col>
                    <xdr:colOff>2943225</xdr:colOff>
                    <xdr:row>486</xdr:row>
                    <xdr:rowOff>104775</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57150</xdr:rowOff>
                  </from>
                  <to>
                    <xdr:col>75</xdr:col>
                    <xdr:colOff>2943225</xdr:colOff>
                    <xdr:row>446</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140625" defaultRowHeight="12.75" x14ac:dyDescent="0.25"/>
  <cols>
    <col min="1" max="1" width="6.28515625" style="423" customWidth="1"/>
    <col min="2" max="2" width="14.85546875" style="423" customWidth="1"/>
    <col min="3" max="3" width="9.140625" style="423"/>
    <col min="4" max="6" width="9.140625" style="423" customWidth="1"/>
    <col min="7" max="7" width="13.28515625" style="423" customWidth="1"/>
    <col min="8" max="8" width="9.140625" style="423" customWidth="1"/>
    <col min="9" max="9" width="11.85546875" style="423" customWidth="1"/>
    <col min="10" max="18" width="9.140625" style="423" customWidth="1"/>
    <col min="19" max="19" width="12.85546875" style="423" customWidth="1"/>
    <col min="20" max="20" width="14.42578125" style="423" bestFit="1" customWidth="1"/>
    <col min="21" max="21" width="14" style="423" bestFit="1" customWidth="1"/>
    <col min="22" max="22" width="12.5703125" style="423" bestFit="1" customWidth="1"/>
    <col min="23" max="23" width="16.42578125" style="423" bestFit="1" customWidth="1"/>
    <col min="24" max="24" width="11" style="423" bestFit="1" customWidth="1"/>
    <col min="25" max="25" width="12.85546875" style="423" bestFit="1" customWidth="1"/>
    <col min="26" max="26" width="16.28515625" style="423" bestFit="1" customWidth="1"/>
    <col min="27" max="29" width="9.140625" style="423"/>
    <col min="30" max="30" width="10.85546875" style="423" customWidth="1"/>
    <col min="31" max="31" width="13.7109375" style="423" customWidth="1"/>
    <col min="32" max="16384" width="9.140625" style="423"/>
  </cols>
  <sheetData>
    <row r="1" spans="1:31" x14ac:dyDescent="0.25">
      <c r="A1" s="423" t="s">
        <v>1073</v>
      </c>
      <c r="B1" s="423" t="s">
        <v>987</v>
      </c>
      <c r="C1" s="423" t="s">
        <v>988</v>
      </c>
      <c r="D1" s="423" t="s">
        <v>520</v>
      </c>
      <c r="E1" s="423" t="s">
        <v>529</v>
      </c>
      <c r="F1" s="423" t="s">
        <v>541</v>
      </c>
      <c r="G1" s="423" t="s">
        <v>550</v>
      </c>
      <c r="H1" s="423" t="s">
        <v>557</v>
      </c>
      <c r="I1" s="423" t="s">
        <v>1003</v>
      </c>
      <c r="J1" s="970" t="s">
        <v>521</v>
      </c>
      <c r="K1" s="970" t="s">
        <v>530</v>
      </c>
      <c r="L1" s="970" t="s">
        <v>542</v>
      </c>
      <c r="M1" s="970" t="s">
        <v>551</v>
      </c>
      <c r="N1" s="423" t="s">
        <v>558</v>
      </c>
      <c r="O1" s="970" t="s">
        <v>522</v>
      </c>
      <c r="P1" s="970" t="s">
        <v>531</v>
      </c>
      <c r="Q1" s="971" t="s">
        <v>543</v>
      </c>
      <c r="R1" s="970" t="s">
        <v>552</v>
      </c>
      <c r="S1" s="970" t="s">
        <v>559</v>
      </c>
      <c r="T1" s="423" t="s">
        <v>684</v>
      </c>
      <c r="U1" s="423" t="s">
        <v>689</v>
      </c>
      <c r="V1" s="423" t="s">
        <v>694</v>
      </c>
      <c r="W1" s="423" t="s">
        <v>700</v>
      </c>
      <c r="X1" s="423" t="s">
        <v>705</v>
      </c>
      <c r="Y1" s="423" t="s">
        <v>709</v>
      </c>
      <c r="Z1" s="423" t="s">
        <v>712</v>
      </c>
      <c r="AD1" s="423" t="s">
        <v>2572</v>
      </c>
      <c r="AE1" s="423" t="s">
        <v>2574</v>
      </c>
    </row>
    <row r="2" spans="1:31" x14ac:dyDescent="0.25">
      <c r="A2" s="423">
        <v>1</v>
      </c>
      <c r="B2" s="423" t="s">
        <v>172</v>
      </c>
      <c r="C2" s="423" t="s">
        <v>1996</v>
      </c>
      <c r="D2" s="972" t="s">
        <v>990</v>
      </c>
      <c r="E2" s="973" t="s">
        <v>991</v>
      </c>
      <c r="F2" s="973" t="s">
        <v>992</v>
      </c>
      <c r="G2" s="973" t="s">
        <v>1997</v>
      </c>
      <c r="H2" s="973" t="s">
        <v>1998</v>
      </c>
      <c r="I2" s="973" t="s">
        <v>1999</v>
      </c>
      <c r="J2" s="972" t="s">
        <v>697</v>
      </c>
      <c r="K2" s="973" t="s">
        <v>995</v>
      </c>
      <c r="L2" s="973" t="s">
        <v>996</v>
      </c>
      <c r="M2" s="973" t="s">
        <v>2000</v>
      </c>
      <c r="N2" s="973" t="s">
        <v>2001</v>
      </c>
      <c r="O2" s="972" t="s">
        <v>1971</v>
      </c>
      <c r="P2" s="973" t="s">
        <v>999</v>
      </c>
      <c r="Q2" s="973" t="s">
        <v>1000</v>
      </c>
      <c r="R2" s="973" t="s">
        <v>1001</v>
      </c>
      <c r="S2" s="973" t="s">
        <v>1002</v>
      </c>
      <c r="T2" s="423">
        <v>1000</v>
      </c>
      <c r="U2" s="423">
        <v>25</v>
      </c>
      <c r="V2" s="423">
        <v>0.3</v>
      </c>
      <c r="W2" s="423">
        <v>0.6</v>
      </c>
      <c r="X2" s="423" t="s">
        <v>2002</v>
      </c>
      <c r="Y2" s="423" t="s">
        <v>2003</v>
      </c>
      <c r="Z2" s="423" t="s">
        <v>1057</v>
      </c>
      <c r="AD2" s="423">
        <f>IF(ISNUMBER(MATCH(B2,'FICHA SOLIC'!$AB$26:$AB$376,0)),1,0)</f>
        <v>1</v>
      </c>
      <c r="AE2" s="423" t="str">
        <f>B2&amp;C2</f>
        <v>AlgarroboZEU 1</v>
      </c>
    </row>
    <row r="3" spans="1:31" x14ac:dyDescent="0.25">
      <c r="A3" s="423">
        <v>2</v>
      </c>
      <c r="B3" s="423" t="s">
        <v>172</v>
      </c>
      <c r="C3" s="423" t="s">
        <v>2004</v>
      </c>
      <c r="D3" s="972" t="s">
        <v>990</v>
      </c>
      <c r="E3" s="973" t="s">
        <v>991</v>
      </c>
      <c r="F3" s="973" t="s">
        <v>992</v>
      </c>
      <c r="G3" s="973" t="s">
        <v>1997</v>
      </c>
      <c r="H3" s="973" t="s">
        <v>1998</v>
      </c>
      <c r="I3" s="973" t="s">
        <v>1999</v>
      </c>
      <c r="J3" s="972" t="s">
        <v>697</v>
      </c>
      <c r="K3" s="973" t="s">
        <v>995</v>
      </c>
      <c r="L3" s="973" t="s">
        <v>996</v>
      </c>
      <c r="M3" s="973" t="s">
        <v>2000</v>
      </c>
      <c r="N3" s="973" t="s">
        <v>2001</v>
      </c>
      <c r="O3" s="972" t="s">
        <v>1971</v>
      </c>
      <c r="P3" s="973" t="s">
        <v>999</v>
      </c>
      <c r="Q3" s="973" t="s">
        <v>1000</v>
      </c>
      <c r="R3" s="973" t="s">
        <v>1001</v>
      </c>
      <c r="S3" s="973" t="s">
        <v>1002</v>
      </c>
      <c r="T3" s="423">
        <v>2000</v>
      </c>
      <c r="U3" s="423">
        <v>50</v>
      </c>
      <c r="V3" s="423">
        <v>0.4</v>
      </c>
      <c r="W3" s="423">
        <v>1.2</v>
      </c>
      <c r="X3" s="423" t="s">
        <v>2005</v>
      </c>
      <c r="Y3" s="423" t="s">
        <v>2003</v>
      </c>
      <c r="Z3" s="423" t="s">
        <v>1057</v>
      </c>
      <c r="AD3" s="423">
        <f>IF(ISNUMBER(MATCH(B3,'FICHA SOLIC'!$AB$26:$AB$376,0)),1,0)</f>
        <v>1</v>
      </c>
      <c r="AE3" s="423" t="str">
        <f t="shared" ref="AE3:AE66" si="0">B3&amp;C3</f>
        <v>AlgarroboZEU 2</v>
      </c>
    </row>
    <row r="4" spans="1:31" x14ac:dyDescent="0.25">
      <c r="A4" s="423">
        <v>3</v>
      </c>
      <c r="B4" s="423" t="s">
        <v>172</v>
      </c>
      <c r="C4" s="423" t="s">
        <v>2006</v>
      </c>
      <c r="D4" s="972" t="s">
        <v>990</v>
      </c>
      <c r="E4" s="973" t="s">
        <v>991</v>
      </c>
      <c r="F4" s="973" t="s">
        <v>992</v>
      </c>
      <c r="G4" s="973" t="s">
        <v>1997</v>
      </c>
      <c r="H4" s="973" t="s">
        <v>1998</v>
      </c>
      <c r="I4" s="973" t="s">
        <v>1999</v>
      </c>
      <c r="J4" s="972" t="s">
        <v>697</v>
      </c>
      <c r="K4" s="973" t="s">
        <v>995</v>
      </c>
      <c r="L4" s="973" t="s">
        <v>996</v>
      </c>
      <c r="M4" s="973" t="s">
        <v>2000</v>
      </c>
      <c r="N4" s="973" t="s">
        <v>2001</v>
      </c>
      <c r="O4" s="972" t="s">
        <v>1971</v>
      </c>
      <c r="P4" s="973" t="s">
        <v>999</v>
      </c>
      <c r="Q4" s="973" t="s">
        <v>1000</v>
      </c>
      <c r="R4" s="973" t="s">
        <v>1001</v>
      </c>
      <c r="S4" s="973" t="s">
        <v>1002</v>
      </c>
      <c r="T4" s="423">
        <v>5000</v>
      </c>
      <c r="U4" s="423">
        <v>70</v>
      </c>
      <c r="V4" s="423">
        <v>0.4</v>
      </c>
      <c r="W4" s="423">
        <v>1.2</v>
      </c>
      <c r="X4" s="423" t="s">
        <v>2002</v>
      </c>
      <c r="Y4" s="423" t="s">
        <v>2003</v>
      </c>
      <c r="Z4" s="423" t="s">
        <v>1058</v>
      </c>
      <c r="AD4" s="423">
        <f>IF(ISNUMBER(MATCH(B4,'FICHA SOLIC'!$AB$26:$AB$376,0)),1,0)</f>
        <v>1</v>
      </c>
      <c r="AE4" s="423" t="str">
        <f t="shared" si="0"/>
        <v>AlgarroboZEU 3</v>
      </c>
    </row>
    <row r="5" spans="1:31" x14ac:dyDescent="0.25">
      <c r="A5" s="423">
        <v>4</v>
      </c>
      <c r="B5" s="423" t="s">
        <v>172</v>
      </c>
      <c r="C5" s="423" t="s">
        <v>2007</v>
      </c>
      <c r="D5" s="972" t="s">
        <v>990</v>
      </c>
      <c r="E5" s="973" t="s">
        <v>991</v>
      </c>
      <c r="F5" s="973" t="s">
        <v>992</v>
      </c>
      <c r="G5" s="973" t="s">
        <v>1997</v>
      </c>
      <c r="H5" s="973" t="s">
        <v>1998</v>
      </c>
      <c r="I5" s="973" t="s">
        <v>1999</v>
      </c>
      <c r="J5" s="972" t="s">
        <v>697</v>
      </c>
      <c r="K5" s="973" t="s">
        <v>995</v>
      </c>
      <c r="L5" s="973" t="s">
        <v>996</v>
      </c>
      <c r="M5" s="973" t="s">
        <v>2000</v>
      </c>
      <c r="N5" s="973" t="s">
        <v>2001</v>
      </c>
      <c r="O5" s="972" t="s">
        <v>1971</v>
      </c>
      <c r="P5" s="973" t="s">
        <v>999</v>
      </c>
      <c r="Q5" s="973" t="s">
        <v>1000</v>
      </c>
      <c r="R5" s="973" t="s">
        <v>1001</v>
      </c>
      <c r="S5" s="973" t="s">
        <v>1002</v>
      </c>
      <c r="T5" s="423">
        <v>1250</v>
      </c>
      <c r="U5" s="423">
        <v>25</v>
      </c>
      <c r="V5" s="423">
        <v>0.25</v>
      </c>
      <c r="W5" s="423">
        <v>1.2</v>
      </c>
      <c r="X5" s="423" t="s">
        <v>2008</v>
      </c>
      <c r="Y5" s="423">
        <v>5</v>
      </c>
      <c r="Z5" s="423" t="s">
        <v>2009</v>
      </c>
      <c r="AD5" s="423">
        <f>IF(ISNUMBER(MATCH(B5,'FICHA SOLIC'!$AB$26:$AB$376,0)),1,0)</f>
        <v>1</v>
      </c>
      <c r="AE5" s="423" t="str">
        <f t="shared" si="0"/>
        <v>AlgarroboZEU 4</v>
      </c>
    </row>
    <row r="6" spans="1:31" x14ac:dyDescent="0.25">
      <c r="A6" s="423">
        <v>5</v>
      </c>
      <c r="B6" s="423" t="s">
        <v>172</v>
      </c>
      <c r="C6" s="423" t="s">
        <v>2010</v>
      </c>
      <c r="D6" s="972" t="s">
        <v>990</v>
      </c>
      <c r="E6" s="973" t="s">
        <v>991</v>
      </c>
      <c r="F6" s="973" t="s">
        <v>992</v>
      </c>
      <c r="G6" s="973" t="s">
        <v>1997</v>
      </c>
      <c r="H6" s="973" t="s">
        <v>1998</v>
      </c>
      <c r="I6" s="973" t="s">
        <v>1999</v>
      </c>
      <c r="J6" s="972" t="s">
        <v>697</v>
      </c>
      <c r="K6" s="973" t="s">
        <v>995</v>
      </c>
      <c r="L6" s="973" t="s">
        <v>996</v>
      </c>
      <c r="M6" s="973" t="s">
        <v>2000</v>
      </c>
      <c r="N6" s="973" t="s">
        <v>2001</v>
      </c>
      <c r="O6" s="972" t="s">
        <v>1971</v>
      </c>
      <c r="P6" s="973" t="s">
        <v>999</v>
      </c>
      <c r="Q6" s="973" t="s">
        <v>1000</v>
      </c>
      <c r="R6" s="973" t="s">
        <v>1001</v>
      </c>
      <c r="S6" s="973" t="s">
        <v>1002</v>
      </c>
      <c r="T6" s="423">
        <v>600</v>
      </c>
      <c r="U6" s="423">
        <v>12</v>
      </c>
      <c r="V6" s="423">
        <v>0.3</v>
      </c>
      <c r="W6" s="423">
        <v>0.6</v>
      </c>
      <c r="Z6" s="423" t="s">
        <v>1059</v>
      </c>
      <c r="AD6" s="423">
        <f>IF(ISNUMBER(MATCH(B6,'FICHA SOLIC'!$AB$26:$AB$376,0)),1,0)</f>
        <v>1</v>
      </c>
      <c r="AE6" s="423" t="str">
        <f t="shared" si="0"/>
        <v>AlgarroboZEU 5</v>
      </c>
    </row>
    <row r="7" spans="1:31" x14ac:dyDescent="0.25">
      <c r="A7" s="423">
        <v>6</v>
      </c>
      <c r="B7" s="423" t="s">
        <v>172</v>
      </c>
      <c r="C7" s="423" t="s">
        <v>2011</v>
      </c>
      <c r="D7" s="972" t="s">
        <v>990</v>
      </c>
      <c r="E7" s="973" t="s">
        <v>991</v>
      </c>
      <c r="F7" s="973" t="s">
        <v>992</v>
      </c>
      <c r="G7" s="973" t="s">
        <v>1997</v>
      </c>
      <c r="H7" s="973" t="s">
        <v>1998</v>
      </c>
      <c r="I7" s="973" t="s">
        <v>1999</v>
      </c>
      <c r="J7" s="972" t="s">
        <v>697</v>
      </c>
      <c r="K7" s="973" t="s">
        <v>995</v>
      </c>
      <c r="L7" s="973" t="s">
        <v>996</v>
      </c>
      <c r="M7" s="973" t="s">
        <v>2000</v>
      </c>
      <c r="N7" s="973" t="s">
        <v>2001</v>
      </c>
      <c r="O7" s="972" t="s">
        <v>1971</v>
      </c>
      <c r="P7" s="973" t="s">
        <v>999</v>
      </c>
      <c r="Q7" s="973" t="s">
        <v>1000</v>
      </c>
      <c r="R7" s="973" t="s">
        <v>1001</v>
      </c>
      <c r="S7" s="973" t="s">
        <v>1002</v>
      </c>
      <c r="T7" s="423">
        <v>5000</v>
      </c>
      <c r="U7" s="423">
        <v>50</v>
      </c>
      <c r="V7" s="423">
        <v>0.4</v>
      </c>
      <c r="W7" s="423">
        <v>2</v>
      </c>
      <c r="X7" s="423" t="s">
        <v>2008</v>
      </c>
      <c r="Y7" s="423">
        <v>5</v>
      </c>
      <c r="Z7" s="423" t="s">
        <v>2009</v>
      </c>
      <c r="AD7" s="423">
        <f>IF(ISNUMBER(MATCH(B7,'FICHA SOLIC'!$AB$26:$AB$376,0)),1,0)</f>
        <v>1</v>
      </c>
      <c r="AE7" s="423" t="str">
        <f t="shared" si="0"/>
        <v>AlgarroboZEU 6</v>
      </c>
    </row>
    <row r="8" spans="1:31" x14ac:dyDescent="0.25">
      <c r="A8" s="423">
        <v>7</v>
      </c>
      <c r="B8" s="423" t="s">
        <v>172</v>
      </c>
      <c r="C8" s="423" t="s">
        <v>2012</v>
      </c>
      <c r="D8" s="972" t="s">
        <v>990</v>
      </c>
      <c r="E8" s="973" t="s">
        <v>991</v>
      </c>
      <c r="F8" s="973" t="s">
        <v>992</v>
      </c>
      <c r="G8" s="973" t="s">
        <v>1997</v>
      </c>
      <c r="H8" s="973" t="s">
        <v>1998</v>
      </c>
      <c r="I8" s="973" t="s">
        <v>1999</v>
      </c>
      <c r="J8" s="972" t="s">
        <v>697</v>
      </c>
      <c r="K8" s="973" t="s">
        <v>995</v>
      </c>
      <c r="L8" s="973" t="s">
        <v>996</v>
      </c>
      <c r="M8" s="973" t="s">
        <v>2000</v>
      </c>
      <c r="N8" s="973" t="s">
        <v>2001</v>
      </c>
      <c r="O8" s="972" t="s">
        <v>1971</v>
      </c>
      <c r="P8" s="973" t="s">
        <v>999</v>
      </c>
      <c r="Q8" s="973" t="s">
        <v>1000</v>
      </c>
      <c r="R8" s="973" t="s">
        <v>1001</v>
      </c>
      <c r="S8" s="973" t="s">
        <v>1002</v>
      </c>
      <c r="T8" s="423" t="s">
        <v>1041</v>
      </c>
      <c r="U8" s="423" t="s">
        <v>1041</v>
      </c>
      <c r="V8" s="423" t="s">
        <v>1041</v>
      </c>
      <c r="W8" s="423" t="s">
        <v>1041</v>
      </c>
      <c r="X8" s="423" t="s">
        <v>1041</v>
      </c>
      <c r="Y8" s="423" t="s">
        <v>1041</v>
      </c>
      <c r="Z8" s="423" t="s">
        <v>1041</v>
      </c>
      <c r="AD8" s="423">
        <f>IF(ISNUMBER(MATCH(B8,'FICHA SOLIC'!$AB$26:$AB$376,0)),1,0)</f>
        <v>1</v>
      </c>
      <c r="AE8" s="423" t="str">
        <f t="shared" si="0"/>
        <v>AlgarroboZEUP 1</v>
      </c>
    </row>
    <row r="9" spans="1:31" x14ac:dyDescent="0.25">
      <c r="A9" s="423">
        <v>8</v>
      </c>
      <c r="B9" s="423" t="s">
        <v>172</v>
      </c>
      <c r="C9" s="423" t="s">
        <v>2013</v>
      </c>
      <c r="D9" s="972" t="s">
        <v>990</v>
      </c>
      <c r="E9" s="973" t="s">
        <v>991</v>
      </c>
      <c r="F9" s="973" t="s">
        <v>992</v>
      </c>
      <c r="G9" s="973" t="s">
        <v>1997</v>
      </c>
      <c r="H9" s="973" t="s">
        <v>1998</v>
      </c>
      <c r="I9" s="973" t="s">
        <v>1999</v>
      </c>
      <c r="J9" s="972" t="s">
        <v>697</v>
      </c>
      <c r="K9" s="973" t="s">
        <v>995</v>
      </c>
      <c r="L9" s="973" t="s">
        <v>996</v>
      </c>
      <c r="M9" s="973" t="s">
        <v>2000</v>
      </c>
      <c r="N9" s="973" t="s">
        <v>2001</v>
      </c>
      <c r="O9" s="972" t="s">
        <v>1971</v>
      </c>
      <c r="P9" s="973" t="s">
        <v>999</v>
      </c>
      <c r="Q9" s="973" t="s">
        <v>1000</v>
      </c>
      <c r="R9" s="973" t="s">
        <v>1001</v>
      </c>
      <c r="S9" s="973" t="s">
        <v>1002</v>
      </c>
      <c r="T9" s="423" t="s">
        <v>1041</v>
      </c>
      <c r="U9" s="423" t="s">
        <v>1041</v>
      </c>
      <c r="V9" s="423" t="s">
        <v>1041</v>
      </c>
      <c r="W9" s="423" t="s">
        <v>1041</v>
      </c>
      <c r="X9" s="423" t="s">
        <v>1041</v>
      </c>
      <c r="Y9" s="423" t="s">
        <v>1041</v>
      </c>
      <c r="Z9" s="423" t="s">
        <v>1041</v>
      </c>
      <c r="AD9" s="423">
        <f>IF(ISNUMBER(MATCH(B9,'FICHA SOLIC'!$AB$26:$AB$376,0)),1,0)</f>
        <v>1</v>
      </c>
      <c r="AE9" s="423" t="str">
        <f t="shared" si="0"/>
        <v>AlgarroboZEUP 2</v>
      </c>
    </row>
    <row r="10" spans="1:31" x14ac:dyDescent="0.25">
      <c r="A10" s="423">
        <v>9</v>
      </c>
      <c r="B10" s="423" t="s">
        <v>87</v>
      </c>
      <c r="C10" s="423" t="s">
        <v>2014</v>
      </c>
      <c r="D10" s="972" t="s">
        <v>990</v>
      </c>
      <c r="E10" s="973" t="s">
        <v>991</v>
      </c>
      <c r="F10" s="973" t="s">
        <v>992</v>
      </c>
      <c r="G10" s="973" t="s">
        <v>1997</v>
      </c>
      <c r="H10" s="973" t="s">
        <v>1998</v>
      </c>
      <c r="I10" s="973" t="s">
        <v>1999</v>
      </c>
      <c r="J10" s="972" t="s">
        <v>697</v>
      </c>
      <c r="K10" s="973" t="s">
        <v>995</v>
      </c>
      <c r="L10" s="973" t="s">
        <v>996</v>
      </c>
      <c r="M10" s="973" t="s">
        <v>2000</v>
      </c>
      <c r="N10" s="973" t="s">
        <v>2001</v>
      </c>
      <c r="O10" s="972" t="s">
        <v>1971</v>
      </c>
      <c r="P10" s="973" t="s">
        <v>999</v>
      </c>
      <c r="Q10" s="973" t="s">
        <v>1000</v>
      </c>
      <c r="R10" s="973" t="s">
        <v>1001</v>
      </c>
      <c r="S10" s="973" t="s">
        <v>1002</v>
      </c>
      <c r="T10" s="423" t="s">
        <v>1041</v>
      </c>
      <c r="U10" s="423" t="s">
        <v>1041</v>
      </c>
      <c r="V10" s="423" t="s">
        <v>1041</v>
      </c>
      <c r="W10" s="423" t="s">
        <v>1041</v>
      </c>
      <c r="X10" s="423" t="s">
        <v>1041</v>
      </c>
      <c r="Y10" s="423" t="s">
        <v>1041</v>
      </c>
      <c r="Z10" s="423" t="s">
        <v>1041</v>
      </c>
      <c r="AD10" s="423">
        <f>IF(ISNUMBER(MATCH(B10,'FICHA SOLIC'!$AB$26:$AB$376,0)),1,0)</f>
        <v>1</v>
      </c>
      <c r="AE10" s="423" t="str">
        <f t="shared" si="0"/>
        <v>Alto HospicioZ1</v>
      </c>
    </row>
    <row r="11" spans="1:31" x14ac:dyDescent="0.25">
      <c r="A11" s="423">
        <v>10</v>
      </c>
      <c r="B11" s="423" t="s">
        <v>87</v>
      </c>
      <c r="C11" s="423" t="s">
        <v>2015</v>
      </c>
      <c r="D11" s="972" t="s">
        <v>990</v>
      </c>
      <c r="E11" s="973" t="s">
        <v>991</v>
      </c>
      <c r="F11" s="973" t="s">
        <v>992</v>
      </c>
      <c r="G11" s="973" t="s">
        <v>1997</v>
      </c>
      <c r="H11" s="973" t="s">
        <v>1998</v>
      </c>
      <c r="I11" s="973" t="s">
        <v>1999</v>
      </c>
      <c r="J11" s="972" t="s">
        <v>697</v>
      </c>
      <c r="K11" s="973" t="s">
        <v>995</v>
      </c>
      <c r="L11" s="973" t="s">
        <v>996</v>
      </c>
      <c r="M11" s="973" t="s">
        <v>2000</v>
      </c>
      <c r="N11" s="973" t="s">
        <v>2001</v>
      </c>
      <c r="O11" s="972" t="s">
        <v>1971</v>
      </c>
      <c r="P11" s="973" t="s">
        <v>999</v>
      </c>
      <c r="Q11" s="973" t="s">
        <v>1000</v>
      </c>
      <c r="R11" s="973" t="s">
        <v>1001</v>
      </c>
      <c r="S11" s="973" t="s">
        <v>1002</v>
      </c>
      <c r="T11" s="423" t="s">
        <v>1041</v>
      </c>
      <c r="U11" s="423" t="s">
        <v>1041</v>
      </c>
      <c r="V11" s="423" t="s">
        <v>1041</v>
      </c>
      <c r="W11" s="423" t="s">
        <v>1041</v>
      </c>
      <c r="X11" s="423" t="s">
        <v>1041</v>
      </c>
      <c r="Y11" s="423" t="s">
        <v>1041</v>
      </c>
      <c r="Z11" s="423" t="s">
        <v>1041</v>
      </c>
      <c r="AD11" s="423">
        <f>IF(ISNUMBER(MATCH(B11,'FICHA SOLIC'!$AB$26:$AB$376,0)),1,0)</f>
        <v>1</v>
      </c>
      <c r="AE11" s="423" t="str">
        <f t="shared" si="0"/>
        <v>Alto HospicioZ10</v>
      </c>
    </row>
    <row r="12" spans="1:31" x14ac:dyDescent="0.25">
      <c r="A12" s="423">
        <v>11</v>
      </c>
      <c r="B12" s="423" t="s">
        <v>87</v>
      </c>
      <c r="C12" s="423" t="s">
        <v>2016</v>
      </c>
      <c r="D12" s="972" t="s">
        <v>990</v>
      </c>
      <c r="E12" s="973" t="s">
        <v>991</v>
      </c>
      <c r="F12" s="973" t="s">
        <v>992</v>
      </c>
      <c r="G12" s="973" t="s">
        <v>1997</v>
      </c>
      <c r="H12" s="973" t="s">
        <v>1998</v>
      </c>
      <c r="I12" s="973" t="s">
        <v>1999</v>
      </c>
      <c r="J12" s="972" t="s">
        <v>697</v>
      </c>
      <c r="K12" s="973" t="s">
        <v>995</v>
      </c>
      <c r="L12" s="973" t="s">
        <v>996</v>
      </c>
      <c r="M12" s="973" t="s">
        <v>2000</v>
      </c>
      <c r="N12" s="973" t="s">
        <v>2001</v>
      </c>
      <c r="O12" s="972" t="s">
        <v>1971</v>
      </c>
      <c r="P12" s="973" t="s">
        <v>999</v>
      </c>
      <c r="Q12" s="973" t="s">
        <v>1000</v>
      </c>
      <c r="R12" s="973" t="s">
        <v>1001</v>
      </c>
      <c r="S12" s="973" t="s">
        <v>1002</v>
      </c>
      <c r="T12" s="423" t="s">
        <v>1041</v>
      </c>
      <c r="U12" s="423" t="s">
        <v>1041</v>
      </c>
      <c r="V12" s="423" t="s">
        <v>1041</v>
      </c>
      <c r="W12" s="423" t="s">
        <v>1041</v>
      </c>
      <c r="X12" s="423" t="s">
        <v>1041</v>
      </c>
      <c r="Y12" s="423" t="s">
        <v>1041</v>
      </c>
      <c r="Z12" s="423" t="s">
        <v>1041</v>
      </c>
      <c r="AD12" s="423">
        <f>IF(ISNUMBER(MATCH(B12,'FICHA SOLIC'!$AB$26:$AB$376,0)),1,0)</f>
        <v>1</v>
      </c>
      <c r="AE12" s="423" t="str">
        <f t="shared" si="0"/>
        <v>Alto HospicioZ11</v>
      </c>
    </row>
    <row r="13" spans="1:31" x14ac:dyDescent="0.25">
      <c r="A13" s="423">
        <v>12</v>
      </c>
      <c r="B13" s="423" t="s">
        <v>87</v>
      </c>
      <c r="C13" s="423" t="s">
        <v>2017</v>
      </c>
      <c r="D13" s="972" t="s">
        <v>990</v>
      </c>
      <c r="E13" s="973" t="s">
        <v>991</v>
      </c>
      <c r="F13" s="973" t="s">
        <v>992</v>
      </c>
      <c r="G13" s="973" t="s">
        <v>1997</v>
      </c>
      <c r="H13" s="973" t="s">
        <v>1998</v>
      </c>
      <c r="I13" s="973" t="s">
        <v>1999</v>
      </c>
      <c r="J13" s="972" t="s">
        <v>697</v>
      </c>
      <c r="K13" s="973" t="s">
        <v>995</v>
      </c>
      <c r="L13" s="973" t="s">
        <v>996</v>
      </c>
      <c r="M13" s="973" t="s">
        <v>2000</v>
      </c>
      <c r="N13" s="973" t="s">
        <v>2001</v>
      </c>
      <c r="O13" s="972" t="s">
        <v>1971</v>
      </c>
      <c r="P13" s="973" t="s">
        <v>999</v>
      </c>
      <c r="Q13" s="973" t="s">
        <v>1000</v>
      </c>
      <c r="R13" s="973" t="s">
        <v>1001</v>
      </c>
      <c r="S13" s="973" t="s">
        <v>1002</v>
      </c>
      <c r="T13" s="423" t="s">
        <v>1041</v>
      </c>
      <c r="U13" s="423" t="s">
        <v>1041</v>
      </c>
      <c r="V13" s="423" t="s">
        <v>1041</v>
      </c>
      <c r="W13" s="423" t="s">
        <v>1041</v>
      </c>
      <c r="X13" s="423" t="s">
        <v>1041</v>
      </c>
      <c r="Y13" s="423" t="s">
        <v>1041</v>
      </c>
      <c r="Z13" s="423" t="s">
        <v>1041</v>
      </c>
      <c r="AD13" s="423">
        <f>IF(ISNUMBER(MATCH(B13,'FICHA SOLIC'!$AB$26:$AB$376,0)),1,0)</f>
        <v>1</v>
      </c>
      <c r="AE13" s="423" t="str">
        <f t="shared" si="0"/>
        <v>Alto HospicioZ1-1</v>
      </c>
    </row>
    <row r="14" spans="1:31" x14ac:dyDescent="0.25">
      <c r="A14" s="423">
        <v>13</v>
      </c>
      <c r="B14" s="423" t="s">
        <v>87</v>
      </c>
      <c r="C14" s="423" t="s">
        <v>2018</v>
      </c>
      <c r="D14" s="972" t="s">
        <v>990</v>
      </c>
      <c r="E14" s="973" t="s">
        <v>991</v>
      </c>
      <c r="F14" s="973" t="s">
        <v>992</v>
      </c>
      <c r="G14" s="973" t="s">
        <v>1997</v>
      </c>
      <c r="H14" s="973" t="s">
        <v>1998</v>
      </c>
      <c r="I14" s="973" t="s">
        <v>1999</v>
      </c>
      <c r="J14" s="972" t="s">
        <v>697</v>
      </c>
      <c r="K14" s="973" t="s">
        <v>995</v>
      </c>
      <c r="L14" s="973" t="s">
        <v>996</v>
      </c>
      <c r="M14" s="973" t="s">
        <v>2000</v>
      </c>
      <c r="N14" s="973" t="s">
        <v>2001</v>
      </c>
      <c r="O14" s="972" t="s">
        <v>1971</v>
      </c>
      <c r="P14" s="973" t="s">
        <v>999</v>
      </c>
      <c r="Q14" s="973" t="s">
        <v>1000</v>
      </c>
      <c r="R14" s="973" t="s">
        <v>1001</v>
      </c>
      <c r="S14" s="973" t="s">
        <v>1002</v>
      </c>
      <c r="T14" s="423" t="s">
        <v>1041</v>
      </c>
      <c r="U14" s="423" t="s">
        <v>1041</v>
      </c>
      <c r="V14" s="423" t="s">
        <v>1041</v>
      </c>
      <c r="W14" s="423" t="s">
        <v>1041</v>
      </c>
      <c r="X14" s="423" t="s">
        <v>1041</v>
      </c>
      <c r="Y14" s="423" t="s">
        <v>1041</v>
      </c>
      <c r="Z14" s="423" t="s">
        <v>1041</v>
      </c>
      <c r="AD14" s="423">
        <f>IF(ISNUMBER(MATCH(B14,'FICHA SOLIC'!$AB$26:$AB$376,0)),1,0)</f>
        <v>1</v>
      </c>
      <c r="AE14" s="423" t="str">
        <f t="shared" si="0"/>
        <v>Alto HospicioZ12</v>
      </c>
    </row>
    <row r="15" spans="1:31" x14ac:dyDescent="0.25">
      <c r="A15" s="423">
        <v>14</v>
      </c>
      <c r="B15" s="423" t="s">
        <v>87</v>
      </c>
      <c r="C15" s="423" t="s">
        <v>2019</v>
      </c>
      <c r="D15" s="972" t="s">
        <v>990</v>
      </c>
      <c r="E15" s="973" t="s">
        <v>991</v>
      </c>
      <c r="F15" s="973" t="s">
        <v>992</v>
      </c>
      <c r="G15" s="973" t="s">
        <v>1997</v>
      </c>
      <c r="H15" s="973" t="s">
        <v>1998</v>
      </c>
      <c r="I15" s="973" t="s">
        <v>1999</v>
      </c>
      <c r="J15" s="972" t="s">
        <v>697</v>
      </c>
      <c r="K15" s="973" t="s">
        <v>995</v>
      </c>
      <c r="L15" s="973" t="s">
        <v>996</v>
      </c>
      <c r="M15" s="973" t="s">
        <v>2000</v>
      </c>
      <c r="N15" s="973" t="s">
        <v>2001</v>
      </c>
      <c r="O15" s="972" t="s">
        <v>1971</v>
      </c>
      <c r="P15" s="973" t="s">
        <v>999</v>
      </c>
      <c r="Q15" s="973" t="s">
        <v>1000</v>
      </c>
      <c r="R15" s="973" t="s">
        <v>1001</v>
      </c>
      <c r="S15" s="973" t="s">
        <v>1002</v>
      </c>
      <c r="T15" s="423" t="s">
        <v>1041</v>
      </c>
      <c r="U15" s="423" t="s">
        <v>1041</v>
      </c>
      <c r="V15" s="423" t="s">
        <v>1041</v>
      </c>
      <c r="W15" s="423" t="s">
        <v>1041</v>
      </c>
      <c r="X15" s="423" t="s">
        <v>1041</v>
      </c>
      <c r="Y15" s="423" t="s">
        <v>1041</v>
      </c>
      <c r="Z15" s="423" t="s">
        <v>1041</v>
      </c>
      <c r="AD15" s="423">
        <f>IF(ISNUMBER(MATCH(B15,'FICHA SOLIC'!$AB$26:$AB$376,0)),1,0)</f>
        <v>1</v>
      </c>
      <c r="AE15" s="423" t="str">
        <f t="shared" si="0"/>
        <v>Alto HospicioZ1-2</v>
      </c>
    </row>
    <row r="16" spans="1:31" x14ac:dyDescent="0.25">
      <c r="A16" s="423">
        <v>15</v>
      </c>
      <c r="B16" s="423" t="s">
        <v>87</v>
      </c>
      <c r="C16" s="423" t="s">
        <v>2020</v>
      </c>
      <c r="D16" s="972" t="s">
        <v>990</v>
      </c>
      <c r="E16" s="973" t="s">
        <v>991</v>
      </c>
      <c r="F16" s="973" t="s">
        <v>992</v>
      </c>
      <c r="G16" s="973" t="s">
        <v>1997</v>
      </c>
      <c r="H16" s="973" t="s">
        <v>1998</v>
      </c>
      <c r="I16" s="973" t="s">
        <v>1999</v>
      </c>
      <c r="J16" s="972" t="s">
        <v>697</v>
      </c>
      <c r="K16" s="973" t="s">
        <v>995</v>
      </c>
      <c r="L16" s="973" t="s">
        <v>996</v>
      </c>
      <c r="M16" s="973" t="s">
        <v>2000</v>
      </c>
      <c r="N16" s="973" t="s">
        <v>2001</v>
      </c>
      <c r="O16" s="972" t="s">
        <v>1971</v>
      </c>
      <c r="P16" s="973" t="s">
        <v>999</v>
      </c>
      <c r="Q16" s="973" t="s">
        <v>1000</v>
      </c>
      <c r="R16" s="973" t="s">
        <v>1001</v>
      </c>
      <c r="S16" s="973" t="s">
        <v>1002</v>
      </c>
      <c r="T16" s="423" t="s">
        <v>1041</v>
      </c>
      <c r="U16" s="423" t="s">
        <v>1041</v>
      </c>
      <c r="V16" s="423" t="s">
        <v>1041</v>
      </c>
      <c r="W16" s="423" t="s">
        <v>1041</v>
      </c>
      <c r="X16" s="423" t="s">
        <v>1041</v>
      </c>
      <c r="Y16" s="423" t="s">
        <v>1041</v>
      </c>
      <c r="Z16" s="423" t="s">
        <v>1041</v>
      </c>
      <c r="AD16" s="423">
        <f>IF(ISNUMBER(MATCH(B16,'FICHA SOLIC'!$AB$26:$AB$376,0)),1,0)</f>
        <v>1</v>
      </c>
      <c r="AE16" s="423" t="str">
        <f t="shared" si="0"/>
        <v>Alto HospicioZ13</v>
      </c>
    </row>
    <row r="17" spans="1:31" x14ac:dyDescent="0.25">
      <c r="A17" s="423">
        <v>16</v>
      </c>
      <c r="B17" s="423" t="s">
        <v>87</v>
      </c>
      <c r="C17" s="423" t="s">
        <v>2021</v>
      </c>
      <c r="D17" s="972" t="s">
        <v>990</v>
      </c>
      <c r="E17" s="973" t="s">
        <v>991</v>
      </c>
      <c r="F17" s="973" t="s">
        <v>992</v>
      </c>
      <c r="G17" s="973" t="s">
        <v>1997</v>
      </c>
      <c r="H17" s="973" t="s">
        <v>1998</v>
      </c>
      <c r="I17" s="973" t="s">
        <v>1999</v>
      </c>
      <c r="J17" s="972" t="s">
        <v>697</v>
      </c>
      <c r="K17" s="973" t="s">
        <v>995</v>
      </c>
      <c r="L17" s="973" t="s">
        <v>996</v>
      </c>
      <c r="M17" s="973" t="s">
        <v>2000</v>
      </c>
      <c r="N17" s="973" t="s">
        <v>2001</v>
      </c>
      <c r="O17" s="972" t="s">
        <v>1971</v>
      </c>
      <c r="P17" s="973" t="s">
        <v>999</v>
      </c>
      <c r="Q17" s="973" t="s">
        <v>1000</v>
      </c>
      <c r="R17" s="973" t="s">
        <v>1001</v>
      </c>
      <c r="S17" s="973" t="s">
        <v>1002</v>
      </c>
      <c r="T17" s="423" t="s">
        <v>1041</v>
      </c>
      <c r="U17" s="423" t="s">
        <v>1041</v>
      </c>
      <c r="V17" s="423" t="s">
        <v>1041</v>
      </c>
      <c r="W17" s="423" t="s">
        <v>1041</v>
      </c>
      <c r="X17" s="423" t="s">
        <v>1041</v>
      </c>
      <c r="Y17" s="423" t="s">
        <v>1041</v>
      </c>
      <c r="Z17" s="423" t="s">
        <v>1041</v>
      </c>
      <c r="AD17" s="423">
        <f>IF(ISNUMBER(MATCH(B17,'FICHA SOLIC'!$AB$26:$AB$376,0)),1,0)</f>
        <v>1</v>
      </c>
      <c r="AE17" s="423" t="str">
        <f t="shared" si="0"/>
        <v>Alto HospicioZ14</v>
      </c>
    </row>
    <row r="18" spans="1:31" x14ac:dyDescent="0.25">
      <c r="A18" s="423">
        <v>17</v>
      </c>
      <c r="B18" s="423" t="s">
        <v>87</v>
      </c>
      <c r="C18" s="423" t="s">
        <v>1458</v>
      </c>
      <c r="D18" s="972" t="s">
        <v>990</v>
      </c>
      <c r="E18" s="973" t="s">
        <v>991</v>
      </c>
      <c r="F18" s="973" t="s">
        <v>992</v>
      </c>
      <c r="G18" s="973" t="s">
        <v>1997</v>
      </c>
      <c r="H18" s="973" t="s">
        <v>1998</v>
      </c>
      <c r="I18" s="973" t="s">
        <v>1999</v>
      </c>
      <c r="J18" s="972" t="s">
        <v>697</v>
      </c>
      <c r="K18" s="973" t="s">
        <v>995</v>
      </c>
      <c r="L18" s="973" t="s">
        <v>996</v>
      </c>
      <c r="M18" s="973" t="s">
        <v>2000</v>
      </c>
      <c r="N18" s="973" t="s">
        <v>2001</v>
      </c>
      <c r="O18" s="972" t="s">
        <v>1971</v>
      </c>
      <c r="P18" s="973" t="s">
        <v>999</v>
      </c>
      <c r="Q18" s="973" t="s">
        <v>1000</v>
      </c>
      <c r="R18" s="973" t="s">
        <v>1001</v>
      </c>
      <c r="S18" s="973" t="s">
        <v>1002</v>
      </c>
      <c r="T18" s="423">
        <v>250</v>
      </c>
      <c r="U18" s="423">
        <v>12</v>
      </c>
      <c r="V18" s="423">
        <v>0.6</v>
      </c>
      <c r="W18" s="423">
        <v>1</v>
      </c>
      <c r="Y18" s="423">
        <v>3</v>
      </c>
      <c r="Z18" s="423" t="s">
        <v>1057</v>
      </c>
      <c r="AD18" s="423">
        <f>IF(ISNUMBER(MATCH(B18,'FICHA SOLIC'!$AB$26:$AB$376,0)),1,0)</f>
        <v>1</v>
      </c>
      <c r="AE18" s="423" t="str">
        <f t="shared" si="0"/>
        <v>Alto HospicioZ2</v>
      </c>
    </row>
    <row r="19" spans="1:31" x14ac:dyDescent="0.25">
      <c r="A19" s="423">
        <v>18</v>
      </c>
      <c r="B19" s="423" t="s">
        <v>87</v>
      </c>
      <c r="C19" s="423" t="s">
        <v>2022</v>
      </c>
      <c r="D19" s="972" t="s">
        <v>990</v>
      </c>
      <c r="E19" s="973" t="s">
        <v>991</v>
      </c>
      <c r="F19" s="973" t="s">
        <v>992</v>
      </c>
      <c r="G19" s="973" t="s">
        <v>1997</v>
      </c>
      <c r="H19" s="973" t="s">
        <v>1998</v>
      </c>
      <c r="I19" s="973" t="s">
        <v>1999</v>
      </c>
      <c r="J19" s="972" t="s">
        <v>697</v>
      </c>
      <c r="K19" s="973" t="s">
        <v>995</v>
      </c>
      <c r="L19" s="973" t="s">
        <v>996</v>
      </c>
      <c r="M19" s="973" t="s">
        <v>2000</v>
      </c>
      <c r="N19" s="973" t="s">
        <v>2001</v>
      </c>
      <c r="O19" s="972" t="s">
        <v>1971</v>
      </c>
      <c r="P19" s="973" t="s">
        <v>999</v>
      </c>
      <c r="Q19" s="973" t="s">
        <v>1000</v>
      </c>
      <c r="R19" s="973" t="s">
        <v>1001</v>
      </c>
      <c r="S19" s="973" t="s">
        <v>1002</v>
      </c>
      <c r="T19" s="423">
        <v>128</v>
      </c>
      <c r="U19" s="423">
        <v>8</v>
      </c>
      <c r="V19" s="423">
        <v>0.6</v>
      </c>
      <c r="W19" s="423">
        <v>1</v>
      </c>
      <c r="X19" s="423" t="s">
        <v>2023</v>
      </c>
      <c r="Y19" s="423">
        <v>2.5</v>
      </c>
      <c r="Z19" s="423" t="s">
        <v>1057</v>
      </c>
      <c r="AD19" s="423">
        <f>IF(ISNUMBER(MATCH(B19,'FICHA SOLIC'!$AB$26:$AB$376,0)),1,0)</f>
        <v>1</v>
      </c>
      <c r="AE19" s="423" t="str">
        <f t="shared" si="0"/>
        <v>Alto HospicioZ3</v>
      </c>
    </row>
    <row r="20" spans="1:31" x14ac:dyDescent="0.25">
      <c r="A20" s="423">
        <v>19</v>
      </c>
      <c r="B20" s="423" t="s">
        <v>87</v>
      </c>
      <c r="C20" s="423" t="s">
        <v>2024</v>
      </c>
      <c r="D20" s="972" t="s">
        <v>990</v>
      </c>
      <c r="E20" s="973" t="s">
        <v>991</v>
      </c>
      <c r="F20" s="973" t="s">
        <v>992</v>
      </c>
      <c r="G20" s="973" t="s">
        <v>1997</v>
      </c>
      <c r="H20" s="973" t="s">
        <v>1998</v>
      </c>
      <c r="I20" s="973" t="s">
        <v>1999</v>
      </c>
      <c r="J20" s="972" t="s">
        <v>697</v>
      </c>
      <c r="K20" s="973" t="s">
        <v>995</v>
      </c>
      <c r="L20" s="973" t="s">
        <v>996</v>
      </c>
      <c r="M20" s="973" t="s">
        <v>2000</v>
      </c>
      <c r="N20" s="973" t="s">
        <v>2001</v>
      </c>
      <c r="O20" s="972" t="s">
        <v>1971</v>
      </c>
      <c r="P20" s="973" t="s">
        <v>999</v>
      </c>
      <c r="Q20" s="973" t="s">
        <v>1000</v>
      </c>
      <c r="R20" s="973" t="s">
        <v>1001</v>
      </c>
      <c r="S20" s="973" t="s">
        <v>1002</v>
      </c>
      <c r="T20" s="423">
        <v>350</v>
      </c>
      <c r="U20" s="423">
        <v>10</v>
      </c>
      <c r="V20" s="423">
        <v>0.6</v>
      </c>
      <c r="W20" s="423">
        <v>0.8</v>
      </c>
      <c r="X20" s="423" t="s">
        <v>2023</v>
      </c>
      <c r="Y20" s="423">
        <v>3</v>
      </c>
      <c r="Z20" s="423" t="s">
        <v>1057</v>
      </c>
      <c r="AD20" s="423">
        <f>IF(ISNUMBER(MATCH(B20,'FICHA SOLIC'!$AB$26:$AB$376,0)),1,0)</f>
        <v>1</v>
      </c>
      <c r="AE20" s="423" t="str">
        <f t="shared" si="0"/>
        <v>Alto HospicioZ4</v>
      </c>
    </row>
    <row r="21" spans="1:31" x14ac:dyDescent="0.25">
      <c r="A21" s="423">
        <v>20</v>
      </c>
      <c r="B21" s="423" t="s">
        <v>87</v>
      </c>
      <c r="C21" s="423" t="s">
        <v>2025</v>
      </c>
      <c r="D21" s="972" t="s">
        <v>990</v>
      </c>
      <c r="E21" s="973" t="s">
        <v>991</v>
      </c>
      <c r="F21" s="973" t="s">
        <v>992</v>
      </c>
      <c r="G21" s="973" t="s">
        <v>1997</v>
      </c>
      <c r="H21" s="973" t="s">
        <v>1998</v>
      </c>
      <c r="I21" s="973" t="s">
        <v>1999</v>
      </c>
      <c r="J21" s="972" t="s">
        <v>697</v>
      </c>
      <c r="K21" s="973" t="s">
        <v>995</v>
      </c>
      <c r="L21" s="973" t="s">
        <v>996</v>
      </c>
      <c r="M21" s="973" t="s">
        <v>2000</v>
      </c>
      <c r="N21" s="973" t="s">
        <v>2001</v>
      </c>
      <c r="O21" s="972" t="s">
        <v>1971</v>
      </c>
      <c r="P21" s="973" t="s">
        <v>999</v>
      </c>
      <c r="Q21" s="973" t="s">
        <v>1000</v>
      </c>
      <c r="R21" s="973" t="s">
        <v>1001</v>
      </c>
      <c r="S21" s="973" t="s">
        <v>1002</v>
      </c>
      <c r="T21" s="423" t="s">
        <v>1041</v>
      </c>
      <c r="U21" s="423" t="s">
        <v>1041</v>
      </c>
      <c r="V21" s="423" t="s">
        <v>1041</v>
      </c>
      <c r="W21" s="423" t="s">
        <v>1041</v>
      </c>
      <c r="X21" s="423" t="s">
        <v>1041</v>
      </c>
      <c r="Y21" s="423" t="s">
        <v>1041</v>
      </c>
      <c r="Z21" s="423" t="s">
        <v>1041</v>
      </c>
      <c r="AD21" s="423">
        <f>IF(ISNUMBER(MATCH(B21,'FICHA SOLIC'!$AB$26:$AB$376,0)),1,0)</f>
        <v>1</v>
      </c>
      <c r="AE21" s="423" t="str">
        <f t="shared" si="0"/>
        <v>Alto HospicioZ5</v>
      </c>
    </row>
    <row r="22" spans="1:31" x14ac:dyDescent="0.25">
      <c r="A22" s="423">
        <v>21</v>
      </c>
      <c r="B22" s="423" t="s">
        <v>87</v>
      </c>
      <c r="C22" s="423" t="s">
        <v>2026</v>
      </c>
      <c r="D22" s="972" t="s">
        <v>990</v>
      </c>
      <c r="E22" s="973" t="s">
        <v>991</v>
      </c>
      <c r="F22" s="973" t="s">
        <v>992</v>
      </c>
      <c r="G22" s="973" t="s">
        <v>1997</v>
      </c>
      <c r="H22" s="973" t="s">
        <v>1998</v>
      </c>
      <c r="I22" s="973" t="s">
        <v>1999</v>
      </c>
      <c r="J22" s="972" t="s">
        <v>697</v>
      </c>
      <c r="K22" s="973" t="s">
        <v>995</v>
      </c>
      <c r="L22" s="973" t="s">
        <v>996</v>
      </c>
      <c r="M22" s="973" t="s">
        <v>2000</v>
      </c>
      <c r="N22" s="973" t="s">
        <v>2001</v>
      </c>
      <c r="O22" s="972" t="s">
        <v>1971</v>
      </c>
      <c r="P22" s="973" t="s">
        <v>999</v>
      </c>
      <c r="Q22" s="973" t="s">
        <v>1000</v>
      </c>
      <c r="R22" s="973" t="s">
        <v>1001</v>
      </c>
      <c r="S22" s="973" t="s">
        <v>1002</v>
      </c>
      <c r="T22" s="423">
        <v>5000</v>
      </c>
      <c r="U22" s="423">
        <v>50</v>
      </c>
      <c r="V22" s="423">
        <v>0.6</v>
      </c>
      <c r="W22" s="423">
        <v>0.8</v>
      </c>
      <c r="X22" s="423" t="s">
        <v>2027</v>
      </c>
      <c r="Y22" s="423">
        <v>5</v>
      </c>
      <c r="AD22" s="423">
        <f>IF(ISNUMBER(MATCH(B22,'FICHA SOLIC'!$AB$26:$AB$376,0)),1,0)</f>
        <v>1</v>
      </c>
      <c r="AE22" s="423" t="str">
        <f t="shared" si="0"/>
        <v>Alto HospicioZ6</v>
      </c>
    </row>
    <row r="23" spans="1:31" x14ac:dyDescent="0.25">
      <c r="A23" s="423">
        <v>22</v>
      </c>
      <c r="B23" s="423" t="s">
        <v>87</v>
      </c>
      <c r="C23" s="423" t="s">
        <v>2028</v>
      </c>
      <c r="D23" s="972" t="s">
        <v>990</v>
      </c>
      <c r="E23" s="973" t="s">
        <v>991</v>
      </c>
      <c r="F23" s="973" t="s">
        <v>992</v>
      </c>
      <c r="G23" s="973" t="s">
        <v>1997</v>
      </c>
      <c r="H23" s="973" t="s">
        <v>1998</v>
      </c>
      <c r="I23" s="973" t="s">
        <v>1999</v>
      </c>
      <c r="J23" s="972" t="s">
        <v>697</v>
      </c>
      <c r="K23" s="973" t="s">
        <v>995</v>
      </c>
      <c r="L23" s="973" t="s">
        <v>996</v>
      </c>
      <c r="M23" s="973" t="s">
        <v>2000</v>
      </c>
      <c r="N23" s="973" t="s">
        <v>2001</v>
      </c>
      <c r="O23" s="972" t="s">
        <v>1971</v>
      </c>
      <c r="P23" s="973" t="s">
        <v>999</v>
      </c>
      <c r="Q23" s="973" t="s">
        <v>1000</v>
      </c>
      <c r="R23" s="973" t="s">
        <v>1001</v>
      </c>
      <c r="S23" s="973" t="s">
        <v>1002</v>
      </c>
      <c r="T23" s="423">
        <v>128</v>
      </c>
      <c r="U23" s="423">
        <v>8</v>
      </c>
      <c r="V23" s="423">
        <v>0.6</v>
      </c>
      <c r="W23" s="423">
        <v>1</v>
      </c>
      <c r="X23" s="423" t="s">
        <v>2023</v>
      </c>
      <c r="Y23" s="423">
        <v>2.5</v>
      </c>
      <c r="Z23" s="423" t="s">
        <v>1057</v>
      </c>
      <c r="AD23" s="423">
        <f>IF(ISNUMBER(MATCH(B23,'FICHA SOLIC'!$AB$26:$AB$376,0)),1,0)</f>
        <v>1</v>
      </c>
      <c r="AE23" s="423" t="str">
        <f t="shared" si="0"/>
        <v>Alto HospicioZ7-1</v>
      </c>
    </row>
    <row r="24" spans="1:31" x14ac:dyDescent="0.25">
      <c r="A24" s="423">
        <v>23</v>
      </c>
      <c r="B24" s="423" t="s">
        <v>87</v>
      </c>
      <c r="C24" s="423" t="s">
        <v>2029</v>
      </c>
      <c r="D24" s="972" t="s">
        <v>990</v>
      </c>
      <c r="E24" s="973" t="s">
        <v>991</v>
      </c>
      <c r="F24" s="973" t="s">
        <v>992</v>
      </c>
      <c r="G24" s="973" t="s">
        <v>1997</v>
      </c>
      <c r="H24" s="973" t="s">
        <v>1998</v>
      </c>
      <c r="I24" s="973" t="s">
        <v>1999</v>
      </c>
      <c r="J24" s="972" t="s">
        <v>697</v>
      </c>
      <c r="K24" s="973" t="s">
        <v>995</v>
      </c>
      <c r="L24" s="973" t="s">
        <v>996</v>
      </c>
      <c r="M24" s="973" t="s">
        <v>2000</v>
      </c>
      <c r="N24" s="973" t="s">
        <v>2001</v>
      </c>
      <c r="O24" s="972" t="s">
        <v>1971</v>
      </c>
      <c r="P24" s="973" t="s">
        <v>999</v>
      </c>
      <c r="Q24" s="973" t="s">
        <v>1000</v>
      </c>
      <c r="R24" s="973" t="s">
        <v>1001</v>
      </c>
      <c r="S24" s="973" t="s">
        <v>1002</v>
      </c>
      <c r="T24" s="423">
        <v>128</v>
      </c>
      <c r="U24" s="423">
        <v>8</v>
      </c>
      <c r="V24" s="423">
        <v>0.6</v>
      </c>
      <c r="W24" s="423">
        <v>1</v>
      </c>
      <c r="X24" s="423" t="s">
        <v>2023</v>
      </c>
      <c r="Y24" s="423">
        <v>2.5</v>
      </c>
      <c r="Z24" s="423" t="s">
        <v>1057</v>
      </c>
      <c r="AD24" s="423">
        <f>IF(ISNUMBER(MATCH(B24,'FICHA SOLIC'!$AB$26:$AB$376,0)),1,0)</f>
        <v>1</v>
      </c>
      <c r="AE24" s="423" t="str">
        <f t="shared" si="0"/>
        <v>Alto HospicioZ8</v>
      </c>
    </row>
    <row r="25" spans="1:31" x14ac:dyDescent="0.25">
      <c r="A25" s="423">
        <v>24</v>
      </c>
      <c r="B25" s="423" t="s">
        <v>87</v>
      </c>
      <c r="C25" s="423" t="s">
        <v>2030</v>
      </c>
      <c r="D25" s="972" t="s">
        <v>990</v>
      </c>
      <c r="E25" s="973" t="s">
        <v>991</v>
      </c>
      <c r="F25" s="973" t="s">
        <v>992</v>
      </c>
      <c r="G25" s="973" t="s">
        <v>1997</v>
      </c>
      <c r="H25" s="973" t="s">
        <v>1998</v>
      </c>
      <c r="I25" s="973" t="s">
        <v>1999</v>
      </c>
      <c r="J25" s="972" t="s">
        <v>697</v>
      </c>
      <c r="K25" s="973" t="s">
        <v>995</v>
      </c>
      <c r="L25" s="973" t="s">
        <v>996</v>
      </c>
      <c r="M25" s="973" t="s">
        <v>2000</v>
      </c>
      <c r="N25" s="973" t="s">
        <v>2001</v>
      </c>
      <c r="O25" s="972" t="s">
        <v>1971</v>
      </c>
      <c r="P25" s="973" t="s">
        <v>999</v>
      </c>
      <c r="Q25" s="973" t="s">
        <v>1000</v>
      </c>
      <c r="R25" s="973" t="s">
        <v>1001</v>
      </c>
      <c r="S25" s="973" t="s">
        <v>1002</v>
      </c>
      <c r="T25" s="423" t="s">
        <v>1041</v>
      </c>
      <c r="U25" s="423" t="s">
        <v>1041</v>
      </c>
      <c r="V25" s="423" t="s">
        <v>1041</v>
      </c>
      <c r="W25" s="423" t="s">
        <v>1041</v>
      </c>
      <c r="X25" s="423" t="s">
        <v>1041</v>
      </c>
      <c r="Y25" s="423" t="s">
        <v>1041</v>
      </c>
      <c r="Z25" s="423" t="s">
        <v>1041</v>
      </c>
      <c r="AD25" s="423">
        <f>IF(ISNUMBER(MATCH(B25,'FICHA SOLIC'!$AB$26:$AB$376,0)),1,0)</f>
        <v>1</v>
      </c>
      <c r="AE25" s="423" t="str">
        <f t="shared" si="0"/>
        <v>Alto HospicioZ9</v>
      </c>
    </row>
    <row r="26" spans="1:31" x14ac:dyDescent="0.25">
      <c r="A26" s="423">
        <v>25</v>
      </c>
      <c r="B26" s="423" t="s">
        <v>2031</v>
      </c>
      <c r="C26" s="423" t="s">
        <v>2032</v>
      </c>
      <c r="D26" s="972" t="s">
        <v>990</v>
      </c>
      <c r="E26" s="973" t="s">
        <v>991</v>
      </c>
      <c r="F26" s="973" t="s">
        <v>992</v>
      </c>
      <c r="G26" s="973" t="s">
        <v>1997</v>
      </c>
      <c r="H26" s="973" t="s">
        <v>1998</v>
      </c>
      <c r="I26" s="973" t="s">
        <v>1999</v>
      </c>
      <c r="J26" s="972" t="s">
        <v>697</v>
      </c>
      <c r="K26" s="973" t="s">
        <v>995</v>
      </c>
      <c r="L26" s="973" t="s">
        <v>996</v>
      </c>
      <c r="M26" s="973" t="s">
        <v>2000</v>
      </c>
      <c r="N26" s="973" t="s">
        <v>2001</v>
      </c>
      <c r="O26" s="972" t="s">
        <v>1971</v>
      </c>
      <c r="P26" s="973" t="s">
        <v>999</v>
      </c>
      <c r="Q26" s="973" t="s">
        <v>1000</v>
      </c>
      <c r="R26" s="973" t="s">
        <v>1001</v>
      </c>
      <c r="S26" s="973" t="s">
        <v>1002</v>
      </c>
      <c r="T26" s="423" t="s">
        <v>2032</v>
      </c>
      <c r="U26" s="423" t="s">
        <v>2032</v>
      </c>
      <c r="V26" s="423" t="s">
        <v>2032</v>
      </c>
      <c r="W26" s="423" t="s">
        <v>2032</v>
      </c>
      <c r="X26" s="423" t="s">
        <v>2032</v>
      </c>
      <c r="Y26" s="423" t="s">
        <v>2032</v>
      </c>
      <c r="Z26" s="423" t="s">
        <v>2032</v>
      </c>
      <c r="AD26" s="423">
        <f>IF(ISNUMBER(MATCH(B26,'FICHA SOLIC'!$AB$26:$AB$376,0)),1,0)</f>
        <v>0</v>
      </c>
      <c r="AE26" s="423" t="str">
        <f t="shared" si="0"/>
        <v>Alto JahuelPRMS</v>
      </c>
    </row>
    <row r="27" spans="1:31" x14ac:dyDescent="0.25">
      <c r="A27" s="423">
        <v>26</v>
      </c>
      <c r="B27" s="423" t="s">
        <v>360</v>
      </c>
      <c r="C27" s="423" t="s">
        <v>1459</v>
      </c>
      <c r="D27" s="972" t="s">
        <v>990</v>
      </c>
      <c r="E27" s="973" t="s">
        <v>991</v>
      </c>
      <c r="F27" s="973" t="s">
        <v>992</v>
      </c>
      <c r="G27" s="973" t="s">
        <v>1997</v>
      </c>
      <c r="H27" s="973" t="s">
        <v>1998</v>
      </c>
      <c r="I27" s="973" t="s">
        <v>1999</v>
      </c>
      <c r="J27" s="972" t="s">
        <v>697</v>
      </c>
      <c r="K27" s="973" t="s">
        <v>995</v>
      </c>
      <c r="L27" s="973" t="s">
        <v>996</v>
      </c>
      <c r="M27" s="973" t="s">
        <v>2000</v>
      </c>
      <c r="N27" s="973" t="s">
        <v>2001</v>
      </c>
      <c r="O27" s="972" t="s">
        <v>1971</v>
      </c>
      <c r="P27" s="973" t="s">
        <v>999</v>
      </c>
      <c r="Q27" s="973" t="s">
        <v>1000</v>
      </c>
      <c r="R27" s="973" t="s">
        <v>1001</v>
      </c>
      <c r="S27" s="973" t="s">
        <v>1002</v>
      </c>
      <c r="T27" s="423">
        <v>2500</v>
      </c>
      <c r="U27" s="423" t="s">
        <v>1041</v>
      </c>
      <c r="V27" s="423">
        <v>2</v>
      </c>
      <c r="W27" s="423">
        <v>0.02</v>
      </c>
      <c r="X27" s="423">
        <v>3.5</v>
      </c>
      <c r="Y27" s="423" t="s">
        <v>1041</v>
      </c>
      <c r="Z27" s="423" t="s">
        <v>1058</v>
      </c>
      <c r="AD27" s="423">
        <f>IF(ISNUMBER(MATCH(B27,'FICHA SOLIC'!$AB$26:$AB$376,0)),1,0)</f>
        <v>1</v>
      </c>
      <c r="AE27" s="423" t="str">
        <f t="shared" si="0"/>
        <v>AncudZAV</v>
      </c>
    </row>
    <row r="28" spans="1:31" x14ac:dyDescent="0.25">
      <c r="A28" s="423">
        <v>27</v>
      </c>
      <c r="B28" s="423" t="s">
        <v>360</v>
      </c>
      <c r="C28" s="423" t="s">
        <v>2033</v>
      </c>
      <c r="D28" s="972" t="s">
        <v>990</v>
      </c>
      <c r="E28" s="973" t="s">
        <v>991</v>
      </c>
      <c r="F28" s="973" t="s">
        <v>992</v>
      </c>
      <c r="G28" s="973" t="s">
        <v>1997</v>
      </c>
      <c r="H28" s="973" t="s">
        <v>1998</v>
      </c>
      <c r="I28" s="973" t="s">
        <v>1999</v>
      </c>
      <c r="J28" s="972" t="s">
        <v>697</v>
      </c>
      <c r="K28" s="973" t="s">
        <v>995</v>
      </c>
      <c r="L28" s="973" t="s">
        <v>996</v>
      </c>
      <c r="M28" s="973" t="s">
        <v>2000</v>
      </c>
      <c r="N28" s="973" t="s">
        <v>2001</v>
      </c>
      <c r="O28" s="972" t="s">
        <v>1971</v>
      </c>
      <c r="P28" s="973" t="s">
        <v>999</v>
      </c>
      <c r="Q28" s="973" t="s">
        <v>1000</v>
      </c>
      <c r="R28" s="973" t="s">
        <v>1001</v>
      </c>
      <c r="S28" s="973" t="s">
        <v>1002</v>
      </c>
      <c r="T28" s="423">
        <v>2000</v>
      </c>
      <c r="U28" s="423" t="s">
        <v>1041</v>
      </c>
      <c r="V28" s="423">
        <v>30</v>
      </c>
      <c r="W28" s="423">
        <v>1</v>
      </c>
      <c r="X28" s="423" t="s">
        <v>2034</v>
      </c>
      <c r="Y28" s="423" t="s">
        <v>1041</v>
      </c>
      <c r="Z28" s="423" t="s">
        <v>1058</v>
      </c>
      <c r="AD28" s="423">
        <f>IF(ISNUMBER(MATCH(B28,'FICHA SOLIC'!$AB$26:$AB$376,0)),1,0)</f>
        <v>1</v>
      </c>
      <c r="AE28" s="423" t="str">
        <f t="shared" si="0"/>
        <v>AncudZCE</v>
      </c>
    </row>
    <row r="29" spans="1:31" x14ac:dyDescent="0.25">
      <c r="A29" s="423">
        <v>28</v>
      </c>
      <c r="B29" s="423" t="s">
        <v>360</v>
      </c>
      <c r="C29" s="423" t="s">
        <v>1454</v>
      </c>
      <c r="D29" s="972" t="s">
        <v>990</v>
      </c>
      <c r="E29" s="973" t="s">
        <v>991</v>
      </c>
      <c r="F29" s="973" t="s">
        <v>992</v>
      </c>
      <c r="G29" s="973" t="s">
        <v>1997</v>
      </c>
      <c r="H29" s="973" t="s">
        <v>1998</v>
      </c>
      <c r="I29" s="973" t="s">
        <v>1999</v>
      </c>
      <c r="J29" s="972" t="s">
        <v>697</v>
      </c>
      <c r="K29" s="973" t="s">
        <v>995</v>
      </c>
      <c r="L29" s="973" t="s">
        <v>996</v>
      </c>
      <c r="M29" s="973" t="s">
        <v>2000</v>
      </c>
      <c r="N29" s="973" t="s">
        <v>2001</v>
      </c>
      <c r="O29" s="972" t="s">
        <v>1971</v>
      </c>
      <c r="P29" s="973" t="s">
        <v>999</v>
      </c>
      <c r="Q29" s="973" t="s">
        <v>1000</v>
      </c>
      <c r="R29" s="973" t="s">
        <v>1001</v>
      </c>
      <c r="S29" s="973" t="s">
        <v>1002</v>
      </c>
      <c r="T29" s="423">
        <v>500</v>
      </c>
      <c r="U29" s="423" t="s">
        <v>1041</v>
      </c>
      <c r="V29" s="423">
        <v>70</v>
      </c>
      <c r="W29" s="423">
        <v>3</v>
      </c>
      <c r="X29" s="423" t="s">
        <v>2034</v>
      </c>
      <c r="Y29" s="423" t="s">
        <v>1041</v>
      </c>
      <c r="Z29" s="423" t="s">
        <v>1058</v>
      </c>
      <c r="AD29" s="423">
        <f>IF(ISNUMBER(MATCH(B29,'FICHA SOLIC'!$AB$26:$AB$376,0)),1,0)</f>
        <v>1</v>
      </c>
      <c r="AE29" s="423" t="str">
        <f t="shared" si="0"/>
        <v>AncudZE-1</v>
      </c>
    </row>
    <row r="30" spans="1:31" x14ac:dyDescent="0.25">
      <c r="A30" s="423">
        <v>29</v>
      </c>
      <c r="B30" s="423" t="s">
        <v>360</v>
      </c>
      <c r="C30" s="423" t="s">
        <v>1474</v>
      </c>
      <c r="D30" s="972" t="s">
        <v>990</v>
      </c>
      <c r="E30" s="973" t="s">
        <v>991</v>
      </c>
      <c r="F30" s="973" t="s">
        <v>992</v>
      </c>
      <c r="G30" s="973" t="s">
        <v>1997</v>
      </c>
      <c r="H30" s="973" t="s">
        <v>1998</v>
      </c>
      <c r="I30" s="973" t="s">
        <v>1999</v>
      </c>
      <c r="J30" s="972" t="s">
        <v>697</v>
      </c>
      <c r="K30" s="973" t="s">
        <v>995</v>
      </c>
      <c r="L30" s="973" t="s">
        <v>996</v>
      </c>
      <c r="M30" s="973" t="s">
        <v>2000</v>
      </c>
      <c r="N30" s="973" t="s">
        <v>2001</v>
      </c>
      <c r="O30" s="972" t="s">
        <v>1971</v>
      </c>
      <c r="P30" s="973" t="s">
        <v>999</v>
      </c>
      <c r="Q30" s="973" t="s">
        <v>1000</v>
      </c>
      <c r="R30" s="973" t="s">
        <v>1001</v>
      </c>
      <c r="S30" s="973" t="s">
        <v>1002</v>
      </c>
      <c r="T30" s="423">
        <v>500</v>
      </c>
      <c r="U30" s="423" t="s">
        <v>1041</v>
      </c>
      <c r="V30" s="423">
        <v>70</v>
      </c>
      <c r="W30" s="423">
        <v>3</v>
      </c>
      <c r="X30" s="423" t="s">
        <v>2034</v>
      </c>
      <c r="Y30" s="423" t="s">
        <v>1041</v>
      </c>
      <c r="Z30" s="423" t="s">
        <v>1058</v>
      </c>
      <c r="AD30" s="423">
        <f>IF(ISNUMBER(MATCH(B30,'FICHA SOLIC'!$AB$26:$AB$376,0)),1,0)</f>
        <v>1</v>
      </c>
      <c r="AE30" s="423" t="str">
        <f t="shared" si="0"/>
        <v>AncudZE-2</v>
      </c>
    </row>
    <row r="31" spans="1:31" x14ac:dyDescent="0.25">
      <c r="A31" s="423">
        <v>30</v>
      </c>
      <c r="B31" s="423" t="s">
        <v>360</v>
      </c>
      <c r="C31" s="423" t="s">
        <v>2035</v>
      </c>
      <c r="D31" s="972" t="s">
        <v>990</v>
      </c>
      <c r="E31" s="973" t="s">
        <v>991</v>
      </c>
      <c r="F31" s="973" t="s">
        <v>992</v>
      </c>
      <c r="G31" s="973" t="s">
        <v>1997</v>
      </c>
      <c r="H31" s="973" t="s">
        <v>1998</v>
      </c>
      <c r="I31" s="973" t="s">
        <v>1999</v>
      </c>
      <c r="J31" s="972" t="s">
        <v>697</v>
      </c>
      <c r="K31" s="973" t="s">
        <v>995</v>
      </c>
      <c r="L31" s="973" t="s">
        <v>996</v>
      </c>
      <c r="M31" s="973" t="s">
        <v>2000</v>
      </c>
      <c r="N31" s="973" t="s">
        <v>2001</v>
      </c>
      <c r="O31" s="972" t="s">
        <v>1971</v>
      </c>
      <c r="P31" s="973" t="s">
        <v>999</v>
      </c>
      <c r="Q31" s="973" t="s">
        <v>1000</v>
      </c>
      <c r="R31" s="973" t="s">
        <v>1001</v>
      </c>
      <c r="S31" s="973" t="s">
        <v>1002</v>
      </c>
      <c r="T31" s="423">
        <v>700</v>
      </c>
      <c r="U31" s="423" t="s">
        <v>1041</v>
      </c>
      <c r="V31" s="423">
        <v>70</v>
      </c>
      <c r="W31" s="423">
        <v>3</v>
      </c>
      <c r="X31" s="423" t="s">
        <v>2034</v>
      </c>
      <c r="Y31" s="423" t="s">
        <v>1041</v>
      </c>
      <c r="Z31" s="423" t="s">
        <v>1058</v>
      </c>
      <c r="AD31" s="423">
        <f>IF(ISNUMBER(MATCH(B31,'FICHA SOLIC'!$AB$26:$AB$376,0)),1,0)</f>
        <v>1</v>
      </c>
      <c r="AE31" s="423" t="str">
        <f t="shared" si="0"/>
        <v>AncudZEAP1</v>
      </c>
    </row>
    <row r="32" spans="1:31" x14ac:dyDescent="0.25">
      <c r="A32" s="423">
        <v>31</v>
      </c>
      <c r="B32" s="423" t="s">
        <v>360</v>
      </c>
      <c r="C32" s="423" t="s">
        <v>2036</v>
      </c>
      <c r="D32" s="972" t="s">
        <v>990</v>
      </c>
      <c r="E32" s="973" t="s">
        <v>991</v>
      </c>
      <c r="F32" s="973" t="s">
        <v>992</v>
      </c>
      <c r="G32" s="973" t="s">
        <v>1997</v>
      </c>
      <c r="H32" s="973" t="s">
        <v>1998</v>
      </c>
      <c r="I32" s="973" t="s">
        <v>1999</v>
      </c>
      <c r="J32" s="972" t="s">
        <v>697</v>
      </c>
      <c r="K32" s="973" t="s">
        <v>995</v>
      </c>
      <c r="L32" s="973" t="s">
        <v>996</v>
      </c>
      <c r="M32" s="973" t="s">
        <v>2000</v>
      </c>
      <c r="N32" s="973" t="s">
        <v>2001</v>
      </c>
      <c r="O32" s="972" t="s">
        <v>1971</v>
      </c>
      <c r="P32" s="973" t="s">
        <v>999</v>
      </c>
      <c r="Q32" s="973" t="s">
        <v>1000</v>
      </c>
      <c r="R32" s="973" t="s">
        <v>1001</v>
      </c>
      <c r="S32" s="973" t="s">
        <v>1002</v>
      </c>
      <c r="T32" s="423">
        <v>1000</v>
      </c>
      <c r="U32" s="423" t="s">
        <v>1041</v>
      </c>
      <c r="V32" s="423">
        <v>50</v>
      </c>
      <c r="W32" s="423">
        <v>2</v>
      </c>
      <c r="X32" s="423" t="s">
        <v>2034</v>
      </c>
      <c r="Y32" s="423" t="s">
        <v>1041</v>
      </c>
      <c r="Z32" s="423" t="s">
        <v>1058</v>
      </c>
      <c r="AD32" s="423">
        <f>IF(ISNUMBER(MATCH(B32,'FICHA SOLIC'!$AB$26:$AB$376,0)),1,0)</f>
        <v>1</v>
      </c>
      <c r="AE32" s="423" t="str">
        <f t="shared" si="0"/>
        <v>AncudZEAP1R</v>
      </c>
    </row>
    <row r="33" spans="1:31" x14ac:dyDescent="0.25">
      <c r="A33" s="423">
        <v>32</v>
      </c>
      <c r="B33" s="423" t="s">
        <v>360</v>
      </c>
      <c r="C33" s="423" t="s">
        <v>2037</v>
      </c>
      <c r="D33" s="972" t="s">
        <v>990</v>
      </c>
      <c r="E33" s="973" t="s">
        <v>991</v>
      </c>
      <c r="F33" s="973" t="s">
        <v>992</v>
      </c>
      <c r="G33" s="973" t="s">
        <v>1997</v>
      </c>
      <c r="H33" s="973" t="s">
        <v>1998</v>
      </c>
      <c r="I33" s="973" t="s">
        <v>1999</v>
      </c>
      <c r="J33" s="972" t="s">
        <v>697</v>
      </c>
      <c r="K33" s="973" t="s">
        <v>995</v>
      </c>
      <c r="L33" s="973" t="s">
        <v>996</v>
      </c>
      <c r="M33" s="973" t="s">
        <v>2000</v>
      </c>
      <c r="N33" s="973" t="s">
        <v>2001</v>
      </c>
      <c r="O33" s="972" t="s">
        <v>1971</v>
      </c>
      <c r="P33" s="973" t="s">
        <v>999</v>
      </c>
      <c r="Q33" s="973" t="s">
        <v>1000</v>
      </c>
      <c r="R33" s="973" t="s">
        <v>1001</v>
      </c>
      <c r="S33" s="973" t="s">
        <v>1002</v>
      </c>
      <c r="T33" s="423">
        <v>1000</v>
      </c>
      <c r="U33" s="423" t="s">
        <v>1041</v>
      </c>
      <c r="V33" s="423">
        <v>70</v>
      </c>
      <c r="W33" s="423">
        <v>3</v>
      </c>
      <c r="X33" s="423" t="s">
        <v>2034</v>
      </c>
      <c r="Y33" s="423" t="s">
        <v>1041</v>
      </c>
      <c r="Z33" s="423" t="s">
        <v>1058</v>
      </c>
      <c r="AD33" s="423">
        <f>IF(ISNUMBER(MATCH(B33,'FICHA SOLIC'!$AB$26:$AB$376,0)),1,0)</f>
        <v>1</v>
      </c>
      <c r="AE33" s="423" t="str">
        <f t="shared" si="0"/>
        <v>AncudZEAP2R</v>
      </c>
    </row>
    <row r="34" spans="1:31" x14ac:dyDescent="0.25">
      <c r="A34" s="423">
        <v>33</v>
      </c>
      <c r="B34" s="423" t="s">
        <v>360</v>
      </c>
      <c r="C34" s="423" t="s">
        <v>2038</v>
      </c>
      <c r="D34" s="972" t="s">
        <v>990</v>
      </c>
      <c r="E34" s="973" t="s">
        <v>991</v>
      </c>
      <c r="F34" s="973" t="s">
        <v>992</v>
      </c>
      <c r="G34" s="973" t="s">
        <v>1997</v>
      </c>
      <c r="H34" s="973" t="s">
        <v>1998</v>
      </c>
      <c r="I34" s="973" t="s">
        <v>1999</v>
      </c>
      <c r="J34" s="972" t="s">
        <v>697</v>
      </c>
      <c r="K34" s="973" t="s">
        <v>995</v>
      </c>
      <c r="L34" s="973" t="s">
        <v>996</v>
      </c>
      <c r="M34" s="973" t="s">
        <v>2000</v>
      </c>
      <c r="N34" s="973" t="s">
        <v>2001</v>
      </c>
      <c r="O34" s="972" t="s">
        <v>1971</v>
      </c>
      <c r="P34" s="973" t="s">
        <v>999</v>
      </c>
      <c r="Q34" s="973" t="s">
        <v>1000</v>
      </c>
      <c r="R34" s="973" t="s">
        <v>1001</v>
      </c>
      <c r="S34" s="973" t="s">
        <v>1002</v>
      </c>
      <c r="T34" s="423">
        <v>700</v>
      </c>
      <c r="U34" s="423" t="s">
        <v>1041</v>
      </c>
      <c r="V34" s="423">
        <v>70</v>
      </c>
      <c r="W34" s="423">
        <v>3</v>
      </c>
      <c r="X34" s="423" t="s">
        <v>2034</v>
      </c>
      <c r="Y34" s="423" t="s">
        <v>1041</v>
      </c>
      <c r="Z34" s="423" t="s">
        <v>1058</v>
      </c>
      <c r="AD34" s="423">
        <f>IF(ISNUMBER(MATCH(B34,'FICHA SOLIC'!$AB$26:$AB$376,0)),1,0)</f>
        <v>1</v>
      </c>
      <c r="AE34" s="423" t="str">
        <f t="shared" si="0"/>
        <v>AncudZEASR</v>
      </c>
    </row>
    <row r="35" spans="1:31" x14ac:dyDescent="0.25">
      <c r="A35" s="423">
        <v>34</v>
      </c>
      <c r="B35" s="423" t="s">
        <v>360</v>
      </c>
      <c r="C35" s="423" t="s">
        <v>2039</v>
      </c>
      <c r="D35" s="972" t="s">
        <v>990</v>
      </c>
      <c r="E35" s="973" t="s">
        <v>991</v>
      </c>
      <c r="F35" s="973" t="s">
        <v>992</v>
      </c>
      <c r="G35" s="973" t="s">
        <v>1997</v>
      </c>
      <c r="H35" s="973" t="s">
        <v>1998</v>
      </c>
      <c r="I35" s="973" t="s">
        <v>1999</v>
      </c>
      <c r="J35" s="972" t="s">
        <v>697</v>
      </c>
      <c r="K35" s="973" t="s">
        <v>995</v>
      </c>
      <c r="L35" s="973" t="s">
        <v>996</v>
      </c>
      <c r="M35" s="973" t="s">
        <v>2000</v>
      </c>
      <c r="N35" s="973" t="s">
        <v>2001</v>
      </c>
      <c r="O35" s="972" t="s">
        <v>1971</v>
      </c>
      <c r="P35" s="973" t="s">
        <v>999</v>
      </c>
      <c r="Q35" s="973" t="s">
        <v>1000</v>
      </c>
      <c r="R35" s="973" t="s">
        <v>1001</v>
      </c>
      <c r="S35" s="973" t="s">
        <v>1002</v>
      </c>
      <c r="T35" s="423">
        <v>500</v>
      </c>
      <c r="U35" s="423" t="s">
        <v>1041</v>
      </c>
      <c r="V35" s="423">
        <v>70</v>
      </c>
      <c r="W35" s="423">
        <v>3</v>
      </c>
      <c r="X35" s="423" t="s">
        <v>2034</v>
      </c>
      <c r="Y35" s="423" t="s">
        <v>1041</v>
      </c>
      <c r="Z35" s="423" t="s">
        <v>1058</v>
      </c>
      <c r="AD35" s="423">
        <f>IF(ISNUMBER(MATCH(B35,'FICHA SOLIC'!$AB$26:$AB$376,0)),1,0)</f>
        <v>1</v>
      </c>
      <c r="AE35" s="423" t="str">
        <f t="shared" si="0"/>
        <v>AncudZEC</v>
      </c>
    </row>
    <row r="36" spans="1:31" x14ac:dyDescent="0.25">
      <c r="A36" s="423">
        <v>35</v>
      </c>
      <c r="B36" s="423" t="s">
        <v>360</v>
      </c>
      <c r="C36" s="423" t="s">
        <v>2040</v>
      </c>
      <c r="D36" s="972" t="s">
        <v>990</v>
      </c>
      <c r="E36" s="973" t="s">
        <v>991</v>
      </c>
      <c r="F36" s="973" t="s">
        <v>992</v>
      </c>
      <c r="G36" s="973" t="s">
        <v>1997</v>
      </c>
      <c r="H36" s="973" t="s">
        <v>1998</v>
      </c>
      <c r="I36" s="973" t="s">
        <v>1999</v>
      </c>
      <c r="J36" s="972" t="s">
        <v>697</v>
      </c>
      <c r="K36" s="973" t="s">
        <v>995</v>
      </c>
      <c r="L36" s="973" t="s">
        <v>996</v>
      </c>
      <c r="M36" s="973" t="s">
        <v>2000</v>
      </c>
      <c r="N36" s="973" t="s">
        <v>2001</v>
      </c>
      <c r="O36" s="972" t="s">
        <v>1971</v>
      </c>
      <c r="P36" s="973" t="s">
        <v>999</v>
      </c>
      <c r="Q36" s="973" t="s">
        <v>1000</v>
      </c>
      <c r="R36" s="973" t="s">
        <v>1001</v>
      </c>
      <c r="S36" s="973" t="s">
        <v>1002</v>
      </c>
      <c r="T36" s="423">
        <v>500</v>
      </c>
      <c r="U36" s="423" t="s">
        <v>1041</v>
      </c>
      <c r="V36" s="423">
        <v>70</v>
      </c>
      <c r="W36" s="423">
        <v>2.5</v>
      </c>
      <c r="X36" s="423" t="s">
        <v>2034</v>
      </c>
      <c r="Y36" s="423" t="s">
        <v>1041</v>
      </c>
      <c r="Z36" s="423" t="s">
        <v>1058</v>
      </c>
      <c r="AD36" s="423">
        <f>IF(ISNUMBER(MATCH(B36,'FICHA SOLIC'!$AB$26:$AB$376,0)),1,0)</f>
        <v>1</v>
      </c>
      <c r="AE36" s="423" t="str">
        <f t="shared" si="0"/>
        <v>AncudZED</v>
      </c>
    </row>
    <row r="37" spans="1:31" x14ac:dyDescent="0.25">
      <c r="A37" s="423">
        <v>36</v>
      </c>
      <c r="B37" s="423" t="s">
        <v>360</v>
      </c>
      <c r="C37" s="423" t="s">
        <v>2041</v>
      </c>
      <c r="D37" s="972" t="s">
        <v>990</v>
      </c>
      <c r="E37" s="973" t="s">
        <v>991</v>
      </c>
      <c r="F37" s="973" t="s">
        <v>992</v>
      </c>
      <c r="G37" s="973" t="s">
        <v>1997</v>
      </c>
      <c r="H37" s="973" t="s">
        <v>1998</v>
      </c>
      <c r="I37" s="973" t="s">
        <v>1999</v>
      </c>
      <c r="J37" s="972" t="s">
        <v>697</v>
      </c>
      <c r="K37" s="973" t="s">
        <v>995</v>
      </c>
      <c r="L37" s="973" t="s">
        <v>996</v>
      </c>
      <c r="M37" s="973" t="s">
        <v>2000</v>
      </c>
      <c r="N37" s="973" t="s">
        <v>2001</v>
      </c>
      <c r="O37" s="972" t="s">
        <v>1971</v>
      </c>
      <c r="P37" s="973" t="s">
        <v>999</v>
      </c>
      <c r="Q37" s="973" t="s">
        <v>1000</v>
      </c>
      <c r="R37" s="973" t="s">
        <v>1001</v>
      </c>
      <c r="S37" s="973" t="s">
        <v>1002</v>
      </c>
      <c r="T37" s="423">
        <v>2500</v>
      </c>
      <c r="U37" s="423" t="s">
        <v>1041</v>
      </c>
      <c r="V37" s="423">
        <v>50</v>
      </c>
      <c r="W37" s="423">
        <v>1</v>
      </c>
      <c r="X37" s="423">
        <v>14</v>
      </c>
      <c r="Y37" s="423" t="s">
        <v>1041</v>
      </c>
      <c r="Z37" s="423" t="s">
        <v>1058</v>
      </c>
      <c r="AD37" s="423">
        <f>IF(ISNUMBER(MATCH(B37,'FICHA SOLIC'!$AB$26:$AB$376,0)),1,0)</f>
        <v>1</v>
      </c>
      <c r="AE37" s="423" t="str">
        <f t="shared" si="0"/>
        <v>AncudZEDR</v>
      </c>
    </row>
    <row r="38" spans="1:31" x14ac:dyDescent="0.25">
      <c r="A38" s="423">
        <v>37</v>
      </c>
      <c r="B38" s="423" t="s">
        <v>360</v>
      </c>
      <c r="C38" s="423" t="s">
        <v>2042</v>
      </c>
      <c r="D38" s="972" t="s">
        <v>990</v>
      </c>
      <c r="E38" s="973" t="s">
        <v>991</v>
      </c>
      <c r="F38" s="973" t="s">
        <v>992</v>
      </c>
      <c r="G38" s="973" t="s">
        <v>1997</v>
      </c>
      <c r="H38" s="973" t="s">
        <v>1998</v>
      </c>
      <c r="I38" s="973" t="s">
        <v>1999</v>
      </c>
      <c r="J38" s="972" t="s">
        <v>697</v>
      </c>
      <c r="K38" s="973" t="s">
        <v>995</v>
      </c>
      <c r="L38" s="973" t="s">
        <v>996</v>
      </c>
      <c r="M38" s="973" t="s">
        <v>2000</v>
      </c>
      <c r="N38" s="973" t="s">
        <v>2001</v>
      </c>
      <c r="O38" s="972" t="s">
        <v>1971</v>
      </c>
      <c r="P38" s="973" t="s">
        <v>999</v>
      </c>
      <c r="Q38" s="973" t="s">
        <v>1000</v>
      </c>
      <c r="R38" s="973" t="s">
        <v>1001</v>
      </c>
      <c r="S38" s="973" t="s">
        <v>1002</v>
      </c>
      <c r="T38" s="423">
        <v>1000</v>
      </c>
      <c r="U38" s="423" t="s">
        <v>1041</v>
      </c>
      <c r="V38" s="423">
        <v>30</v>
      </c>
      <c r="W38" s="423">
        <v>3</v>
      </c>
      <c r="X38" s="423" t="s">
        <v>2034</v>
      </c>
      <c r="Y38" s="423" t="s">
        <v>1041</v>
      </c>
      <c r="Z38" s="423" t="s">
        <v>1058</v>
      </c>
      <c r="AD38" s="423">
        <f>IF(ISNUMBER(MATCH(B38,'FICHA SOLIC'!$AB$26:$AB$376,0)),1,0)</f>
        <v>1</v>
      </c>
      <c r="AE38" s="423" t="str">
        <f t="shared" si="0"/>
        <v>AncudZIP</v>
      </c>
    </row>
    <row r="39" spans="1:31" x14ac:dyDescent="0.25">
      <c r="A39" s="423">
        <v>38</v>
      </c>
      <c r="B39" s="423" t="s">
        <v>360</v>
      </c>
      <c r="C39" s="423" t="s">
        <v>2043</v>
      </c>
      <c r="D39" s="972" t="s">
        <v>990</v>
      </c>
      <c r="E39" s="973" t="s">
        <v>991</v>
      </c>
      <c r="F39" s="973" t="s">
        <v>992</v>
      </c>
      <c r="G39" s="973" t="s">
        <v>1997</v>
      </c>
      <c r="H39" s="973" t="s">
        <v>1998</v>
      </c>
      <c r="I39" s="973" t="s">
        <v>1999</v>
      </c>
      <c r="J39" s="972" t="s">
        <v>697</v>
      </c>
      <c r="K39" s="973" t="s">
        <v>995</v>
      </c>
      <c r="L39" s="973" t="s">
        <v>996</v>
      </c>
      <c r="M39" s="973" t="s">
        <v>2000</v>
      </c>
      <c r="N39" s="973" t="s">
        <v>2001</v>
      </c>
      <c r="O39" s="972" t="s">
        <v>1971</v>
      </c>
      <c r="P39" s="973" t="s">
        <v>999</v>
      </c>
      <c r="Q39" s="973" t="s">
        <v>1000</v>
      </c>
      <c r="R39" s="973" t="s">
        <v>1001</v>
      </c>
      <c r="S39" s="973" t="s">
        <v>1002</v>
      </c>
      <c r="T39" s="423">
        <v>1000</v>
      </c>
      <c r="U39" s="423" t="s">
        <v>1041</v>
      </c>
      <c r="V39" s="423">
        <v>30</v>
      </c>
      <c r="W39" s="423">
        <v>2</v>
      </c>
      <c r="X39" s="423" t="s">
        <v>2034</v>
      </c>
      <c r="Y39" s="423" t="s">
        <v>1041</v>
      </c>
      <c r="Z39" s="423" t="s">
        <v>1058</v>
      </c>
      <c r="AD39" s="423">
        <f>IF(ISNUMBER(MATCH(B39,'FICHA SOLIC'!$AB$26:$AB$376,0)),1,0)</f>
        <v>1</v>
      </c>
      <c r="AE39" s="423" t="str">
        <f t="shared" si="0"/>
        <v>AncudZIS</v>
      </c>
    </row>
    <row r="40" spans="1:31" x14ac:dyDescent="0.25">
      <c r="A40" s="423">
        <v>39</v>
      </c>
      <c r="B40" s="423" t="s">
        <v>360</v>
      </c>
      <c r="C40" s="423" t="s">
        <v>1241</v>
      </c>
      <c r="D40" s="972" t="s">
        <v>990</v>
      </c>
      <c r="E40" s="973" t="s">
        <v>991</v>
      </c>
      <c r="F40" s="973" t="s">
        <v>992</v>
      </c>
      <c r="G40" s="973" t="s">
        <v>1997</v>
      </c>
      <c r="H40" s="973" t="s">
        <v>1998</v>
      </c>
      <c r="I40" s="973" t="s">
        <v>1999</v>
      </c>
      <c r="J40" s="972" t="s">
        <v>697</v>
      </c>
      <c r="K40" s="973" t="s">
        <v>995</v>
      </c>
      <c r="L40" s="973" t="s">
        <v>996</v>
      </c>
      <c r="M40" s="973" t="s">
        <v>2000</v>
      </c>
      <c r="N40" s="973" t="s">
        <v>2001</v>
      </c>
      <c r="O40" s="972" t="s">
        <v>1971</v>
      </c>
      <c r="P40" s="973" t="s">
        <v>999</v>
      </c>
      <c r="Q40" s="973" t="s">
        <v>1000</v>
      </c>
      <c r="R40" s="973" t="s">
        <v>1001</v>
      </c>
      <c r="S40" s="973" t="s">
        <v>1002</v>
      </c>
      <c r="T40" s="423">
        <v>200</v>
      </c>
      <c r="U40" s="423" t="s">
        <v>1041</v>
      </c>
      <c r="V40" s="423">
        <v>80</v>
      </c>
      <c r="W40" s="423">
        <v>4</v>
      </c>
      <c r="X40" s="423">
        <v>10.5</v>
      </c>
      <c r="Y40" s="423" t="s">
        <v>1041</v>
      </c>
      <c r="Z40" s="423" t="s">
        <v>1059</v>
      </c>
      <c r="AD40" s="423">
        <f>IF(ISNUMBER(MATCH(B40,'FICHA SOLIC'!$AB$26:$AB$376,0)),1,0)</f>
        <v>1</v>
      </c>
      <c r="AE40" s="423" t="str">
        <f t="shared" si="0"/>
        <v>AncudZU-1</v>
      </c>
    </row>
    <row r="41" spans="1:31" x14ac:dyDescent="0.25">
      <c r="A41" s="423">
        <v>40</v>
      </c>
      <c r="B41" s="423" t="s">
        <v>360</v>
      </c>
      <c r="C41" s="423" t="s">
        <v>2044</v>
      </c>
      <c r="D41" s="972" t="s">
        <v>990</v>
      </c>
      <c r="E41" s="973" t="s">
        <v>991</v>
      </c>
      <c r="F41" s="973" t="s">
        <v>992</v>
      </c>
      <c r="G41" s="973" t="s">
        <v>1997</v>
      </c>
      <c r="H41" s="973" t="s">
        <v>1998</v>
      </c>
      <c r="I41" s="973" t="s">
        <v>1999</v>
      </c>
      <c r="J41" s="972" t="s">
        <v>697</v>
      </c>
      <c r="K41" s="973" t="s">
        <v>995</v>
      </c>
      <c r="L41" s="973" t="s">
        <v>996</v>
      </c>
      <c r="M41" s="973" t="s">
        <v>2000</v>
      </c>
      <c r="N41" s="973" t="s">
        <v>2001</v>
      </c>
      <c r="O41" s="972" t="s">
        <v>1971</v>
      </c>
      <c r="P41" s="973" t="s">
        <v>999</v>
      </c>
      <c r="Q41" s="973" t="s">
        <v>1000</v>
      </c>
      <c r="R41" s="973" t="s">
        <v>1001</v>
      </c>
      <c r="S41" s="973" t="s">
        <v>1002</v>
      </c>
      <c r="T41" s="423">
        <v>300</v>
      </c>
      <c r="U41" s="423" t="s">
        <v>1041</v>
      </c>
      <c r="V41" s="423">
        <v>70</v>
      </c>
      <c r="W41" s="423">
        <v>1.6</v>
      </c>
      <c r="X41" s="423">
        <v>7.5</v>
      </c>
      <c r="Y41" s="423" t="s">
        <v>1041</v>
      </c>
      <c r="Z41" s="423" t="s">
        <v>1058</v>
      </c>
      <c r="AD41" s="423">
        <f>IF(ISNUMBER(MATCH(B41,'FICHA SOLIC'!$AB$26:$AB$376,0)),1,0)</f>
        <v>1</v>
      </c>
      <c r="AE41" s="423" t="str">
        <f t="shared" si="0"/>
        <v>AncudZU-10R</v>
      </c>
    </row>
    <row r="42" spans="1:31" x14ac:dyDescent="0.25">
      <c r="A42" s="423">
        <v>41</v>
      </c>
      <c r="B42" s="423" t="s">
        <v>360</v>
      </c>
      <c r="C42" s="423" t="s">
        <v>2045</v>
      </c>
      <c r="D42" s="972" t="s">
        <v>990</v>
      </c>
      <c r="E42" s="973" t="s">
        <v>991</v>
      </c>
      <c r="F42" s="973" t="s">
        <v>992</v>
      </c>
      <c r="G42" s="973" t="s">
        <v>1997</v>
      </c>
      <c r="H42" s="973" t="s">
        <v>1998</v>
      </c>
      <c r="I42" s="973" t="s">
        <v>1999</v>
      </c>
      <c r="J42" s="972" t="s">
        <v>697</v>
      </c>
      <c r="K42" s="973" t="s">
        <v>995</v>
      </c>
      <c r="L42" s="973" t="s">
        <v>996</v>
      </c>
      <c r="M42" s="973" t="s">
        <v>2000</v>
      </c>
      <c r="N42" s="973" t="s">
        <v>2001</v>
      </c>
      <c r="O42" s="972" t="s">
        <v>1971</v>
      </c>
      <c r="P42" s="973" t="s">
        <v>999</v>
      </c>
      <c r="Q42" s="973" t="s">
        <v>1000</v>
      </c>
      <c r="R42" s="973" t="s">
        <v>1001</v>
      </c>
      <c r="S42" s="973" t="s">
        <v>1002</v>
      </c>
      <c r="T42" s="423">
        <v>400</v>
      </c>
      <c r="U42" s="423" t="s">
        <v>1041</v>
      </c>
      <c r="V42" s="423">
        <v>50</v>
      </c>
      <c r="W42" s="423">
        <v>1</v>
      </c>
      <c r="X42" s="423">
        <v>7.5</v>
      </c>
      <c r="Y42" s="423" t="s">
        <v>1041</v>
      </c>
      <c r="Z42" s="423" t="s">
        <v>1058</v>
      </c>
      <c r="AD42" s="423">
        <f>IF(ISNUMBER(MATCH(B42,'FICHA SOLIC'!$AB$26:$AB$376,0)),1,0)</f>
        <v>1</v>
      </c>
      <c r="AE42" s="423" t="str">
        <f t="shared" si="0"/>
        <v>AncudZU-11</v>
      </c>
    </row>
    <row r="43" spans="1:31" x14ac:dyDescent="0.25">
      <c r="A43" s="423">
        <v>42</v>
      </c>
      <c r="B43" s="423" t="s">
        <v>360</v>
      </c>
      <c r="C43" s="423" t="s">
        <v>2046</v>
      </c>
      <c r="D43" s="972" t="s">
        <v>990</v>
      </c>
      <c r="E43" s="973" t="s">
        <v>991</v>
      </c>
      <c r="F43" s="973" t="s">
        <v>992</v>
      </c>
      <c r="G43" s="973" t="s">
        <v>1997</v>
      </c>
      <c r="H43" s="973" t="s">
        <v>1998</v>
      </c>
      <c r="I43" s="973" t="s">
        <v>1999</v>
      </c>
      <c r="J43" s="972" t="s">
        <v>697</v>
      </c>
      <c r="K43" s="973" t="s">
        <v>995</v>
      </c>
      <c r="L43" s="973" t="s">
        <v>996</v>
      </c>
      <c r="M43" s="973" t="s">
        <v>2000</v>
      </c>
      <c r="N43" s="973" t="s">
        <v>2001</v>
      </c>
      <c r="O43" s="972" t="s">
        <v>1971</v>
      </c>
      <c r="P43" s="973" t="s">
        <v>999</v>
      </c>
      <c r="Q43" s="973" t="s">
        <v>1000</v>
      </c>
      <c r="R43" s="973" t="s">
        <v>1001</v>
      </c>
      <c r="S43" s="973" t="s">
        <v>1002</v>
      </c>
      <c r="T43" s="423">
        <v>400</v>
      </c>
      <c r="U43" s="423" t="s">
        <v>1041</v>
      </c>
      <c r="V43" s="423">
        <v>50</v>
      </c>
      <c r="W43" s="423">
        <v>1</v>
      </c>
      <c r="X43" s="423">
        <v>7.5</v>
      </c>
      <c r="Y43" s="423" t="s">
        <v>1041</v>
      </c>
      <c r="Z43" s="423" t="s">
        <v>1058</v>
      </c>
      <c r="AD43" s="423">
        <f>IF(ISNUMBER(MATCH(B43,'FICHA SOLIC'!$AB$26:$AB$376,0)),1,0)</f>
        <v>1</v>
      </c>
      <c r="AE43" s="423" t="str">
        <f t="shared" si="0"/>
        <v>AncudZU-11R</v>
      </c>
    </row>
    <row r="44" spans="1:31" x14ac:dyDescent="0.25">
      <c r="A44" s="423">
        <v>43</v>
      </c>
      <c r="B44" s="423" t="s">
        <v>360</v>
      </c>
      <c r="C44" s="423" t="s">
        <v>2047</v>
      </c>
      <c r="D44" s="972" t="s">
        <v>990</v>
      </c>
      <c r="E44" s="973" t="s">
        <v>991</v>
      </c>
      <c r="F44" s="973" t="s">
        <v>992</v>
      </c>
      <c r="G44" s="973" t="s">
        <v>1997</v>
      </c>
      <c r="H44" s="973" t="s">
        <v>1998</v>
      </c>
      <c r="I44" s="973" t="s">
        <v>1999</v>
      </c>
      <c r="J44" s="972" t="s">
        <v>697</v>
      </c>
      <c r="K44" s="973" t="s">
        <v>995</v>
      </c>
      <c r="L44" s="973" t="s">
        <v>996</v>
      </c>
      <c r="M44" s="973" t="s">
        <v>2000</v>
      </c>
      <c r="N44" s="973" t="s">
        <v>2001</v>
      </c>
      <c r="O44" s="972" t="s">
        <v>1971</v>
      </c>
      <c r="P44" s="973" t="s">
        <v>999</v>
      </c>
      <c r="Q44" s="973" t="s">
        <v>1000</v>
      </c>
      <c r="R44" s="973" t="s">
        <v>1001</v>
      </c>
      <c r="S44" s="973" t="s">
        <v>1002</v>
      </c>
      <c r="T44" s="423">
        <v>2500</v>
      </c>
      <c r="U44" s="423" t="s">
        <v>1041</v>
      </c>
      <c r="V44" s="423">
        <v>30</v>
      </c>
      <c r="W44" s="423">
        <v>1</v>
      </c>
      <c r="X44" s="423">
        <v>10.5</v>
      </c>
      <c r="Y44" s="423" t="s">
        <v>1041</v>
      </c>
      <c r="Z44" s="423" t="s">
        <v>1058</v>
      </c>
      <c r="AD44" s="423">
        <f>IF(ISNUMBER(MATCH(B44,'FICHA SOLIC'!$AB$26:$AB$376,0)),1,0)</f>
        <v>1</v>
      </c>
      <c r="AE44" s="423" t="str">
        <f t="shared" si="0"/>
        <v>AncudZU-12</v>
      </c>
    </row>
    <row r="45" spans="1:31" x14ac:dyDescent="0.25">
      <c r="A45" s="423">
        <v>44</v>
      </c>
      <c r="B45" s="423" t="s">
        <v>360</v>
      </c>
      <c r="C45" s="423" t="s">
        <v>2048</v>
      </c>
      <c r="D45" s="972" t="s">
        <v>990</v>
      </c>
      <c r="E45" s="973" t="s">
        <v>991</v>
      </c>
      <c r="F45" s="973" t="s">
        <v>992</v>
      </c>
      <c r="G45" s="973" t="s">
        <v>1997</v>
      </c>
      <c r="H45" s="973" t="s">
        <v>1998</v>
      </c>
      <c r="I45" s="973" t="s">
        <v>1999</v>
      </c>
      <c r="J45" s="972" t="s">
        <v>697</v>
      </c>
      <c r="K45" s="973" t="s">
        <v>995</v>
      </c>
      <c r="L45" s="973" t="s">
        <v>996</v>
      </c>
      <c r="M45" s="973" t="s">
        <v>2000</v>
      </c>
      <c r="N45" s="973" t="s">
        <v>2001</v>
      </c>
      <c r="O45" s="972" t="s">
        <v>1971</v>
      </c>
      <c r="P45" s="973" t="s">
        <v>999</v>
      </c>
      <c r="Q45" s="973" t="s">
        <v>1000</v>
      </c>
      <c r="R45" s="973" t="s">
        <v>1001</v>
      </c>
      <c r="S45" s="973" t="s">
        <v>1002</v>
      </c>
      <c r="T45" s="423">
        <v>2500</v>
      </c>
      <c r="U45" s="423" t="s">
        <v>1041</v>
      </c>
      <c r="V45" s="423">
        <v>30</v>
      </c>
      <c r="W45" s="423">
        <v>1</v>
      </c>
      <c r="X45" s="423">
        <v>10.5</v>
      </c>
      <c r="Y45" s="423" t="s">
        <v>1041</v>
      </c>
      <c r="Z45" s="423" t="s">
        <v>1058</v>
      </c>
      <c r="AD45" s="423">
        <f>IF(ISNUMBER(MATCH(B45,'FICHA SOLIC'!$AB$26:$AB$376,0)),1,0)</f>
        <v>1</v>
      </c>
      <c r="AE45" s="423" t="str">
        <f t="shared" si="0"/>
        <v>AncudZU-12R</v>
      </c>
    </row>
    <row r="46" spans="1:31" x14ac:dyDescent="0.25">
      <c r="A46" s="423">
        <v>45</v>
      </c>
      <c r="B46" s="423" t="s">
        <v>360</v>
      </c>
      <c r="C46" s="423" t="s">
        <v>2049</v>
      </c>
      <c r="D46" s="972" t="s">
        <v>990</v>
      </c>
      <c r="E46" s="973" t="s">
        <v>991</v>
      </c>
      <c r="F46" s="973" t="s">
        <v>992</v>
      </c>
      <c r="G46" s="973" t="s">
        <v>1997</v>
      </c>
      <c r="H46" s="973" t="s">
        <v>1998</v>
      </c>
      <c r="I46" s="973" t="s">
        <v>1999</v>
      </c>
      <c r="J46" s="972" t="s">
        <v>697</v>
      </c>
      <c r="K46" s="973" t="s">
        <v>995</v>
      </c>
      <c r="L46" s="973" t="s">
        <v>996</v>
      </c>
      <c r="M46" s="973" t="s">
        <v>2000</v>
      </c>
      <c r="N46" s="973" t="s">
        <v>2001</v>
      </c>
      <c r="O46" s="972" t="s">
        <v>1971</v>
      </c>
      <c r="P46" s="973" t="s">
        <v>999</v>
      </c>
      <c r="Q46" s="973" t="s">
        <v>1000</v>
      </c>
      <c r="R46" s="973" t="s">
        <v>1001</v>
      </c>
      <c r="S46" s="973" t="s">
        <v>1002</v>
      </c>
      <c r="T46" s="423">
        <v>500</v>
      </c>
      <c r="U46" s="423" t="s">
        <v>1041</v>
      </c>
      <c r="V46" s="423">
        <v>50</v>
      </c>
      <c r="W46" s="423">
        <v>0.5</v>
      </c>
      <c r="X46" s="423">
        <v>10.5</v>
      </c>
      <c r="Y46" s="423" t="s">
        <v>1041</v>
      </c>
      <c r="Z46" s="423" t="s">
        <v>1058</v>
      </c>
      <c r="AD46" s="423">
        <f>IF(ISNUMBER(MATCH(B46,'FICHA SOLIC'!$AB$26:$AB$376,0)),1,0)</f>
        <v>1</v>
      </c>
      <c r="AE46" s="423" t="str">
        <f t="shared" si="0"/>
        <v>AncudZU-13R</v>
      </c>
    </row>
    <row r="47" spans="1:31" x14ac:dyDescent="0.25">
      <c r="A47" s="423">
        <v>46</v>
      </c>
      <c r="B47" s="423" t="s">
        <v>360</v>
      </c>
      <c r="C47" s="423" t="s">
        <v>2050</v>
      </c>
      <c r="D47" s="972" t="s">
        <v>990</v>
      </c>
      <c r="E47" s="973" t="s">
        <v>991</v>
      </c>
      <c r="F47" s="973" t="s">
        <v>992</v>
      </c>
      <c r="G47" s="973" t="s">
        <v>1997</v>
      </c>
      <c r="H47" s="973" t="s">
        <v>1998</v>
      </c>
      <c r="I47" s="973" t="s">
        <v>1999</v>
      </c>
      <c r="J47" s="972" t="s">
        <v>697</v>
      </c>
      <c r="K47" s="973" t="s">
        <v>995</v>
      </c>
      <c r="L47" s="973" t="s">
        <v>996</v>
      </c>
      <c r="M47" s="973" t="s">
        <v>2000</v>
      </c>
      <c r="N47" s="973" t="s">
        <v>2001</v>
      </c>
      <c r="O47" s="972" t="s">
        <v>1971</v>
      </c>
      <c r="P47" s="973" t="s">
        <v>999</v>
      </c>
      <c r="Q47" s="973" t="s">
        <v>1000</v>
      </c>
      <c r="R47" s="973" t="s">
        <v>1001</v>
      </c>
      <c r="S47" s="973" t="s">
        <v>1002</v>
      </c>
      <c r="T47" s="423">
        <v>300</v>
      </c>
      <c r="U47" s="423" t="s">
        <v>1041</v>
      </c>
      <c r="V47" s="423">
        <v>80</v>
      </c>
      <c r="W47" s="423">
        <v>1</v>
      </c>
      <c r="X47" s="423">
        <v>7.5</v>
      </c>
      <c r="Y47" s="423" t="s">
        <v>1041</v>
      </c>
      <c r="Z47" s="423" t="s">
        <v>1058</v>
      </c>
      <c r="AD47" s="423">
        <f>IF(ISNUMBER(MATCH(B47,'FICHA SOLIC'!$AB$26:$AB$376,0)),1,0)</f>
        <v>1</v>
      </c>
      <c r="AE47" s="423" t="str">
        <f t="shared" si="0"/>
        <v>AncudZU-14</v>
      </c>
    </row>
    <row r="48" spans="1:31" x14ac:dyDescent="0.25">
      <c r="A48" s="423">
        <v>47</v>
      </c>
      <c r="B48" s="423" t="s">
        <v>360</v>
      </c>
      <c r="C48" s="423" t="s">
        <v>2051</v>
      </c>
      <c r="D48" s="972" t="s">
        <v>990</v>
      </c>
      <c r="E48" s="973" t="s">
        <v>991</v>
      </c>
      <c r="F48" s="973" t="s">
        <v>992</v>
      </c>
      <c r="G48" s="973" t="s">
        <v>1997</v>
      </c>
      <c r="H48" s="973" t="s">
        <v>1998</v>
      </c>
      <c r="I48" s="973" t="s">
        <v>1999</v>
      </c>
      <c r="J48" s="972" t="s">
        <v>697</v>
      </c>
      <c r="K48" s="973" t="s">
        <v>995</v>
      </c>
      <c r="L48" s="973" t="s">
        <v>996</v>
      </c>
      <c r="M48" s="973" t="s">
        <v>2000</v>
      </c>
      <c r="N48" s="973" t="s">
        <v>2001</v>
      </c>
      <c r="O48" s="972" t="s">
        <v>1971</v>
      </c>
      <c r="P48" s="973" t="s">
        <v>999</v>
      </c>
      <c r="Q48" s="973" t="s">
        <v>1000</v>
      </c>
      <c r="R48" s="973" t="s">
        <v>1001</v>
      </c>
      <c r="S48" s="973" t="s">
        <v>1002</v>
      </c>
      <c r="T48" s="423">
        <v>300</v>
      </c>
      <c r="U48" s="423" t="s">
        <v>1041</v>
      </c>
      <c r="V48" s="423">
        <v>80</v>
      </c>
      <c r="W48" s="423">
        <v>1</v>
      </c>
      <c r="X48" s="423">
        <v>7.5</v>
      </c>
      <c r="Y48" s="423" t="s">
        <v>1041</v>
      </c>
      <c r="Z48" s="423" t="s">
        <v>1058</v>
      </c>
      <c r="AD48" s="423">
        <f>IF(ISNUMBER(MATCH(B48,'FICHA SOLIC'!$AB$26:$AB$376,0)),1,0)</f>
        <v>1</v>
      </c>
      <c r="AE48" s="423" t="str">
        <f t="shared" si="0"/>
        <v>AncudZU-14R</v>
      </c>
    </row>
    <row r="49" spans="1:31" x14ac:dyDescent="0.25">
      <c r="A49" s="423">
        <v>48</v>
      </c>
      <c r="B49" s="423" t="s">
        <v>360</v>
      </c>
      <c r="C49" s="423" t="s">
        <v>2052</v>
      </c>
      <c r="D49" s="972" t="s">
        <v>990</v>
      </c>
      <c r="E49" s="973" t="s">
        <v>991</v>
      </c>
      <c r="F49" s="973" t="s">
        <v>992</v>
      </c>
      <c r="G49" s="973" t="s">
        <v>1997</v>
      </c>
      <c r="H49" s="973" t="s">
        <v>1998</v>
      </c>
      <c r="I49" s="973" t="s">
        <v>1999</v>
      </c>
      <c r="J49" s="972" t="s">
        <v>697</v>
      </c>
      <c r="K49" s="973" t="s">
        <v>995</v>
      </c>
      <c r="L49" s="973" t="s">
        <v>996</v>
      </c>
      <c r="M49" s="973" t="s">
        <v>2000</v>
      </c>
      <c r="N49" s="973" t="s">
        <v>2001</v>
      </c>
      <c r="O49" s="972" t="s">
        <v>1971</v>
      </c>
      <c r="P49" s="973" t="s">
        <v>999</v>
      </c>
      <c r="Q49" s="973" t="s">
        <v>1000</v>
      </c>
      <c r="R49" s="973" t="s">
        <v>1001</v>
      </c>
      <c r="S49" s="973" t="s">
        <v>1002</v>
      </c>
      <c r="T49" s="423">
        <v>300</v>
      </c>
      <c r="U49" s="423" t="s">
        <v>1041</v>
      </c>
      <c r="V49" s="423">
        <v>70</v>
      </c>
      <c r="W49" s="423">
        <v>1.2</v>
      </c>
      <c r="X49" s="423">
        <v>7.5</v>
      </c>
      <c r="Y49" s="423" t="s">
        <v>1041</v>
      </c>
      <c r="Z49" s="423" t="s">
        <v>1058</v>
      </c>
      <c r="AD49" s="423">
        <f>IF(ISNUMBER(MATCH(B49,'FICHA SOLIC'!$AB$26:$AB$376,0)),1,0)</f>
        <v>1</v>
      </c>
      <c r="AE49" s="423" t="str">
        <f t="shared" si="0"/>
        <v>AncudZU-15</v>
      </c>
    </row>
    <row r="50" spans="1:31" x14ac:dyDescent="0.25">
      <c r="A50" s="423">
        <v>49</v>
      </c>
      <c r="B50" s="423" t="s">
        <v>360</v>
      </c>
      <c r="C50" s="423" t="s">
        <v>2053</v>
      </c>
      <c r="D50" s="972" t="s">
        <v>990</v>
      </c>
      <c r="E50" s="973" t="s">
        <v>991</v>
      </c>
      <c r="F50" s="973" t="s">
        <v>992</v>
      </c>
      <c r="G50" s="973" t="s">
        <v>1997</v>
      </c>
      <c r="H50" s="973" t="s">
        <v>1998</v>
      </c>
      <c r="I50" s="973" t="s">
        <v>1999</v>
      </c>
      <c r="J50" s="972" t="s">
        <v>697</v>
      </c>
      <c r="K50" s="973" t="s">
        <v>995</v>
      </c>
      <c r="L50" s="973" t="s">
        <v>996</v>
      </c>
      <c r="M50" s="973" t="s">
        <v>2000</v>
      </c>
      <c r="N50" s="973" t="s">
        <v>2001</v>
      </c>
      <c r="O50" s="972" t="s">
        <v>1971</v>
      </c>
      <c r="P50" s="973" t="s">
        <v>999</v>
      </c>
      <c r="Q50" s="973" t="s">
        <v>1000</v>
      </c>
      <c r="R50" s="973" t="s">
        <v>1001</v>
      </c>
      <c r="S50" s="973" t="s">
        <v>1002</v>
      </c>
      <c r="T50" s="423">
        <v>1000</v>
      </c>
      <c r="U50" s="423" t="s">
        <v>1041</v>
      </c>
      <c r="V50" s="423">
        <v>70</v>
      </c>
      <c r="W50" s="423">
        <v>1.4</v>
      </c>
      <c r="X50" s="423">
        <v>10.5</v>
      </c>
      <c r="Y50" s="423" t="s">
        <v>1041</v>
      </c>
      <c r="Z50" s="423" t="s">
        <v>1058</v>
      </c>
      <c r="AD50" s="423">
        <f>IF(ISNUMBER(MATCH(B50,'FICHA SOLIC'!$AB$26:$AB$376,0)),1,0)</f>
        <v>1</v>
      </c>
      <c r="AE50" s="423" t="str">
        <f t="shared" si="0"/>
        <v>AncudZU-16</v>
      </c>
    </row>
    <row r="51" spans="1:31" x14ac:dyDescent="0.25">
      <c r="A51" s="423">
        <v>50</v>
      </c>
      <c r="B51" s="423" t="s">
        <v>360</v>
      </c>
      <c r="C51" s="423" t="s">
        <v>2054</v>
      </c>
      <c r="D51" s="972" t="s">
        <v>990</v>
      </c>
      <c r="E51" s="973" t="s">
        <v>991</v>
      </c>
      <c r="F51" s="973" t="s">
        <v>992</v>
      </c>
      <c r="G51" s="973" t="s">
        <v>1997</v>
      </c>
      <c r="H51" s="973" t="s">
        <v>1998</v>
      </c>
      <c r="I51" s="973" t="s">
        <v>1999</v>
      </c>
      <c r="J51" s="972" t="s">
        <v>697</v>
      </c>
      <c r="K51" s="973" t="s">
        <v>995</v>
      </c>
      <c r="L51" s="973" t="s">
        <v>996</v>
      </c>
      <c r="M51" s="973" t="s">
        <v>2000</v>
      </c>
      <c r="N51" s="973" t="s">
        <v>2001</v>
      </c>
      <c r="O51" s="972" t="s">
        <v>1971</v>
      </c>
      <c r="P51" s="973" t="s">
        <v>999</v>
      </c>
      <c r="Q51" s="973" t="s">
        <v>1000</v>
      </c>
      <c r="R51" s="973" t="s">
        <v>1001</v>
      </c>
      <c r="S51" s="973" t="s">
        <v>1002</v>
      </c>
      <c r="T51" s="423">
        <v>2000</v>
      </c>
      <c r="U51" s="423" t="s">
        <v>1041</v>
      </c>
      <c r="V51" s="423">
        <v>50</v>
      </c>
      <c r="W51" s="423">
        <v>1</v>
      </c>
      <c r="X51" s="423">
        <v>10.5</v>
      </c>
      <c r="Y51" s="423" t="s">
        <v>1041</v>
      </c>
      <c r="Z51" s="423" t="s">
        <v>1058</v>
      </c>
      <c r="AD51" s="423">
        <f>IF(ISNUMBER(MATCH(B51,'FICHA SOLIC'!$AB$26:$AB$376,0)),1,0)</f>
        <v>1</v>
      </c>
      <c r="AE51" s="423" t="str">
        <f t="shared" si="0"/>
        <v>AncudZU-16R</v>
      </c>
    </row>
    <row r="52" spans="1:31" x14ac:dyDescent="0.25">
      <c r="A52" s="423">
        <v>51</v>
      </c>
      <c r="B52" s="423" t="s">
        <v>360</v>
      </c>
      <c r="C52" s="423" t="s">
        <v>2055</v>
      </c>
      <c r="D52" s="972" t="s">
        <v>990</v>
      </c>
      <c r="E52" s="973" t="s">
        <v>991</v>
      </c>
      <c r="F52" s="973" t="s">
        <v>992</v>
      </c>
      <c r="G52" s="973" t="s">
        <v>1997</v>
      </c>
      <c r="H52" s="973" t="s">
        <v>1998</v>
      </c>
      <c r="I52" s="973" t="s">
        <v>1999</v>
      </c>
      <c r="J52" s="972" t="s">
        <v>697</v>
      </c>
      <c r="K52" s="973" t="s">
        <v>995</v>
      </c>
      <c r="L52" s="973" t="s">
        <v>996</v>
      </c>
      <c r="M52" s="973" t="s">
        <v>2000</v>
      </c>
      <c r="N52" s="973" t="s">
        <v>2001</v>
      </c>
      <c r="O52" s="972" t="s">
        <v>1971</v>
      </c>
      <c r="P52" s="973" t="s">
        <v>999</v>
      </c>
      <c r="Q52" s="973" t="s">
        <v>1000</v>
      </c>
      <c r="R52" s="973" t="s">
        <v>1001</v>
      </c>
      <c r="S52" s="973" t="s">
        <v>1002</v>
      </c>
      <c r="T52" s="423">
        <v>400</v>
      </c>
      <c r="U52" s="423" t="s">
        <v>1041</v>
      </c>
      <c r="V52" s="423">
        <v>60</v>
      </c>
      <c r="W52" s="423">
        <v>0.8</v>
      </c>
      <c r="X52" s="423">
        <v>7.5</v>
      </c>
      <c r="Y52" s="423" t="s">
        <v>1041</v>
      </c>
      <c r="Z52" s="423" t="s">
        <v>1058</v>
      </c>
      <c r="AD52" s="423">
        <f>IF(ISNUMBER(MATCH(B52,'FICHA SOLIC'!$AB$26:$AB$376,0)),1,0)</f>
        <v>1</v>
      </c>
      <c r="AE52" s="423" t="str">
        <f t="shared" si="0"/>
        <v>AncudZU-17</v>
      </c>
    </row>
    <row r="53" spans="1:31" x14ac:dyDescent="0.25">
      <c r="A53" s="423">
        <v>52</v>
      </c>
      <c r="B53" s="423" t="s">
        <v>360</v>
      </c>
      <c r="C53" s="423" t="s">
        <v>2056</v>
      </c>
      <c r="D53" s="972" t="s">
        <v>990</v>
      </c>
      <c r="E53" s="973" t="s">
        <v>991</v>
      </c>
      <c r="F53" s="973" t="s">
        <v>992</v>
      </c>
      <c r="G53" s="973" t="s">
        <v>1997</v>
      </c>
      <c r="H53" s="973" t="s">
        <v>1998</v>
      </c>
      <c r="I53" s="973" t="s">
        <v>1999</v>
      </c>
      <c r="J53" s="972" t="s">
        <v>697</v>
      </c>
      <c r="K53" s="973" t="s">
        <v>995</v>
      </c>
      <c r="L53" s="973" t="s">
        <v>996</v>
      </c>
      <c r="M53" s="973" t="s">
        <v>2000</v>
      </c>
      <c r="N53" s="973" t="s">
        <v>2001</v>
      </c>
      <c r="O53" s="972" t="s">
        <v>1971</v>
      </c>
      <c r="P53" s="973" t="s">
        <v>999</v>
      </c>
      <c r="Q53" s="973" t="s">
        <v>1000</v>
      </c>
      <c r="R53" s="973" t="s">
        <v>1001</v>
      </c>
      <c r="S53" s="973" t="s">
        <v>1002</v>
      </c>
      <c r="T53" s="423">
        <v>600</v>
      </c>
      <c r="U53" s="423" t="s">
        <v>1041</v>
      </c>
      <c r="V53" s="423">
        <v>50</v>
      </c>
      <c r="W53" s="423">
        <v>0.8</v>
      </c>
      <c r="X53" s="423">
        <v>7.5</v>
      </c>
      <c r="Y53" s="423" t="s">
        <v>1041</v>
      </c>
      <c r="Z53" s="423" t="s">
        <v>1058</v>
      </c>
      <c r="AD53" s="423">
        <f>IF(ISNUMBER(MATCH(B53,'FICHA SOLIC'!$AB$26:$AB$376,0)),1,0)</f>
        <v>1</v>
      </c>
      <c r="AE53" s="423" t="str">
        <f t="shared" si="0"/>
        <v>AncudZU-17R</v>
      </c>
    </row>
    <row r="54" spans="1:31" x14ac:dyDescent="0.25">
      <c r="A54" s="423">
        <v>53</v>
      </c>
      <c r="B54" s="423" t="s">
        <v>360</v>
      </c>
      <c r="C54" s="423" t="s">
        <v>2057</v>
      </c>
      <c r="D54" s="972" t="s">
        <v>990</v>
      </c>
      <c r="E54" s="973" t="s">
        <v>991</v>
      </c>
      <c r="F54" s="973" t="s">
        <v>992</v>
      </c>
      <c r="G54" s="973" t="s">
        <v>1997</v>
      </c>
      <c r="H54" s="973" t="s">
        <v>1998</v>
      </c>
      <c r="I54" s="973" t="s">
        <v>1999</v>
      </c>
      <c r="J54" s="972" t="s">
        <v>697</v>
      </c>
      <c r="K54" s="973" t="s">
        <v>995</v>
      </c>
      <c r="L54" s="973" t="s">
        <v>996</v>
      </c>
      <c r="M54" s="973" t="s">
        <v>2000</v>
      </c>
      <c r="N54" s="973" t="s">
        <v>2001</v>
      </c>
      <c r="O54" s="972" t="s">
        <v>1971</v>
      </c>
      <c r="P54" s="973" t="s">
        <v>999</v>
      </c>
      <c r="Q54" s="973" t="s">
        <v>1000</v>
      </c>
      <c r="R54" s="973" t="s">
        <v>1001</v>
      </c>
      <c r="S54" s="973" t="s">
        <v>1002</v>
      </c>
      <c r="T54" s="423">
        <v>200</v>
      </c>
      <c r="U54" s="423" t="s">
        <v>1041</v>
      </c>
      <c r="V54" s="423">
        <v>80</v>
      </c>
      <c r="W54" s="423">
        <v>4</v>
      </c>
      <c r="X54" s="423">
        <v>10.5</v>
      </c>
      <c r="Y54" s="423" t="s">
        <v>1041</v>
      </c>
      <c r="Z54" s="423" t="s">
        <v>1059</v>
      </c>
      <c r="AD54" s="423">
        <f>IF(ISNUMBER(MATCH(B54,'FICHA SOLIC'!$AB$26:$AB$376,0)),1,0)</f>
        <v>1</v>
      </c>
      <c r="AE54" s="423" t="str">
        <f t="shared" si="0"/>
        <v>AncudZU-1R</v>
      </c>
    </row>
    <row r="55" spans="1:31" x14ac:dyDescent="0.25">
      <c r="A55" s="423">
        <v>54</v>
      </c>
      <c r="B55" s="423" t="s">
        <v>360</v>
      </c>
      <c r="C55" s="423" t="s">
        <v>1242</v>
      </c>
      <c r="D55" s="972" t="s">
        <v>990</v>
      </c>
      <c r="E55" s="973" t="s">
        <v>991</v>
      </c>
      <c r="F55" s="973" t="s">
        <v>992</v>
      </c>
      <c r="G55" s="973" t="s">
        <v>1997</v>
      </c>
      <c r="H55" s="973" t="s">
        <v>1998</v>
      </c>
      <c r="I55" s="973" t="s">
        <v>1999</v>
      </c>
      <c r="J55" s="972" t="s">
        <v>697</v>
      </c>
      <c r="K55" s="973" t="s">
        <v>995</v>
      </c>
      <c r="L55" s="973" t="s">
        <v>996</v>
      </c>
      <c r="M55" s="973" t="s">
        <v>2000</v>
      </c>
      <c r="N55" s="973" t="s">
        <v>2001</v>
      </c>
      <c r="O55" s="972" t="s">
        <v>1971</v>
      </c>
      <c r="P55" s="973" t="s">
        <v>999</v>
      </c>
      <c r="Q55" s="973" t="s">
        <v>1000</v>
      </c>
      <c r="R55" s="973" t="s">
        <v>1001</v>
      </c>
      <c r="S55" s="973" t="s">
        <v>1002</v>
      </c>
      <c r="T55" s="423">
        <v>300</v>
      </c>
      <c r="U55" s="423" t="s">
        <v>1041</v>
      </c>
      <c r="V55" s="423">
        <v>80</v>
      </c>
      <c r="W55" s="423">
        <v>2</v>
      </c>
      <c r="X55" s="423">
        <v>7.5</v>
      </c>
      <c r="Y55" s="423" t="s">
        <v>1041</v>
      </c>
      <c r="Z55" s="423" t="s">
        <v>1058</v>
      </c>
      <c r="AD55" s="423">
        <f>IF(ISNUMBER(MATCH(B55,'FICHA SOLIC'!$AB$26:$AB$376,0)),1,0)</f>
        <v>1</v>
      </c>
      <c r="AE55" s="423" t="str">
        <f t="shared" si="0"/>
        <v>AncudZU-2</v>
      </c>
    </row>
    <row r="56" spans="1:31" x14ac:dyDescent="0.25">
      <c r="A56" s="423">
        <v>55</v>
      </c>
      <c r="B56" s="423" t="s">
        <v>360</v>
      </c>
      <c r="C56" s="423" t="s">
        <v>2058</v>
      </c>
      <c r="D56" s="972" t="s">
        <v>990</v>
      </c>
      <c r="E56" s="973" t="s">
        <v>991</v>
      </c>
      <c r="F56" s="973" t="s">
        <v>992</v>
      </c>
      <c r="G56" s="973" t="s">
        <v>1997</v>
      </c>
      <c r="H56" s="973" t="s">
        <v>1998</v>
      </c>
      <c r="I56" s="973" t="s">
        <v>1999</v>
      </c>
      <c r="J56" s="972" t="s">
        <v>697</v>
      </c>
      <c r="K56" s="973" t="s">
        <v>995</v>
      </c>
      <c r="L56" s="973" t="s">
        <v>996</v>
      </c>
      <c r="M56" s="973" t="s">
        <v>2000</v>
      </c>
      <c r="N56" s="973" t="s">
        <v>2001</v>
      </c>
      <c r="O56" s="972" t="s">
        <v>1971</v>
      </c>
      <c r="P56" s="973" t="s">
        <v>999</v>
      </c>
      <c r="Q56" s="973" t="s">
        <v>1000</v>
      </c>
      <c r="R56" s="973" t="s">
        <v>1001</v>
      </c>
      <c r="S56" s="973" t="s">
        <v>1002</v>
      </c>
      <c r="T56" s="423">
        <v>300</v>
      </c>
      <c r="U56" s="423" t="s">
        <v>1041</v>
      </c>
      <c r="V56" s="423">
        <v>80</v>
      </c>
      <c r="W56" s="423">
        <v>2</v>
      </c>
      <c r="X56" s="423">
        <v>7.5</v>
      </c>
      <c r="Y56" s="423" t="s">
        <v>1041</v>
      </c>
      <c r="Z56" s="423" t="s">
        <v>1058</v>
      </c>
      <c r="AD56" s="423">
        <f>IF(ISNUMBER(MATCH(B56,'FICHA SOLIC'!$AB$26:$AB$376,0)),1,0)</f>
        <v>1</v>
      </c>
      <c r="AE56" s="423" t="str">
        <f t="shared" si="0"/>
        <v>AncudZU-2R</v>
      </c>
    </row>
    <row r="57" spans="1:31" x14ac:dyDescent="0.25">
      <c r="A57" s="423">
        <v>56</v>
      </c>
      <c r="B57" s="423" t="s">
        <v>360</v>
      </c>
      <c r="C57" s="423" t="s">
        <v>1243</v>
      </c>
      <c r="D57" s="972" t="s">
        <v>990</v>
      </c>
      <c r="E57" s="973" t="s">
        <v>991</v>
      </c>
      <c r="F57" s="973" t="s">
        <v>992</v>
      </c>
      <c r="G57" s="973" t="s">
        <v>1997</v>
      </c>
      <c r="H57" s="973" t="s">
        <v>1998</v>
      </c>
      <c r="I57" s="973" t="s">
        <v>1999</v>
      </c>
      <c r="J57" s="972" t="s">
        <v>697</v>
      </c>
      <c r="K57" s="973" t="s">
        <v>995</v>
      </c>
      <c r="L57" s="973" t="s">
        <v>996</v>
      </c>
      <c r="M57" s="973" t="s">
        <v>2000</v>
      </c>
      <c r="N57" s="973" t="s">
        <v>2001</v>
      </c>
      <c r="O57" s="972" t="s">
        <v>1971</v>
      </c>
      <c r="P57" s="973" t="s">
        <v>999</v>
      </c>
      <c r="Q57" s="973" t="s">
        <v>1000</v>
      </c>
      <c r="R57" s="973" t="s">
        <v>1001</v>
      </c>
      <c r="S57" s="973" t="s">
        <v>1002</v>
      </c>
      <c r="T57" s="423">
        <v>300</v>
      </c>
      <c r="U57" s="423" t="s">
        <v>1041</v>
      </c>
      <c r="V57" s="423">
        <v>70</v>
      </c>
      <c r="W57" s="423">
        <v>2</v>
      </c>
      <c r="X57" s="423">
        <v>7.5</v>
      </c>
      <c r="Y57" s="423" t="s">
        <v>1041</v>
      </c>
      <c r="Z57" s="423" t="s">
        <v>1057</v>
      </c>
      <c r="AD57" s="423">
        <f>IF(ISNUMBER(MATCH(B57,'FICHA SOLIC'!$AB$26:$AB$376,0)),1,0)</f>
        <v>1</v>
      </c>
      <c r="AE57" s="423" t="str">
        <f t="shared" si="0"/>
        <v>AncudZU-3</v>
      </c>
    </row>
    <row r="58" spans="1:31" x14ac:dyDescent="0.25">
      <c r="A58" s="423">
        <v>57</v>
      </c>
      <c r="B58" s="423" t="s">
        <v>360</v>
      </c>
      <c r="C58" s="423" t="s">
        <v>2059</v>
      </c>
      <c r="D58" s="972" t="s">
        <v>990</v>
      </c>
      <c r="E58" s="973" t="s">
        <v>991</v>
      </c>
      <c r="F58" s="973" t="s">
        <v>992</v>
      </c>
      <c r="G58" s="973" t="s">
        <v>1997</v>
      </c>
      <c r="H58" s="973" t="s">
        <v>1998</v>
      </c>
      <c r="I58" s="973" t="s">
        <v>1999</v>
      </c>
      <c r="J58" s="972" t="s">
        <v>697</v>
      </c>
      <c r="K58" s="973" t="s">
        <v>995</v>
      </c>
      <c r="L58" s="973" t="s">
        <v>996</v>
      </c>
      <c r="M58" s="973" t="s">
        <v>2000</v>
      </c>
      <c r="N58" s="973" t="s">
        <v>2001</v>
      </c>
      <c r="O58" s="972" t="s">
        <v>1971</v>
      </c>
      <c r="P58" s="973" t="s">
        <v>999</v>
      </c>
      <c r="Q58" s="973" t="s">
        <v>1000</v>
      </c>
      <c r="R58" s="973" t="s">
        <v>1001</v>
      </c>
      <c r="S58" s="973" t="s">
        <v>1002</v>
      </c>
      <c r="T58" s="423">
        <v>300</v>
      </c>
      <c r="U58" s="423" t="s">
        <v>1041</v>
      </c>
      <c r="V58" s="423">
        <v>70</v>
      </c>
      <c r="W58" s="423">
        <v>2</v>
      </c>
      <c r="X58" s="423">
        <v>7.5</v>
      </c>
      <c r="Y58" s="423" t="s">
        <v>1041</v>
      </c>
      <c r="Z58" s="423" t="s">
        <v>1057</v>
      </c>
      <c r="AD58" s="423">
        <f>IF(ISNUMBER(MATCH(B58,'FICHA SOLIC'!$AB$26:$AB$376,0)),1,0)</f>
        <v>1</v>
      </c>
      <c r="AE58" s="423" t="str">
        <f t="shared" si="0"/>
        <v>AncudZU-3R</v>
      </c>
    </row>
    <row r="59" spans="1:31" x14ac:dyDescent="0.25">
      <c r="A59" s="423">
        <v>58</v>
      </c>
      <c r="B59" s="423" t="s">
        <v>360</v>
      </c>
      <c r="C59" s="423" t="s">
        <v>1244</v>
      </c>
      <c r="D59" s="972" t="s">
        <v>990</v>
      </c>
      <c r="E59" s="973" t="s">
        <v>991</v>
      </c>
      <c r="F59" s="973" t="s">
        <v>992</v>
      </c>
      <c r="G59" s="973" t="s">
        <v>1997</v>
      </c>
      <c r="H59" s="973" t="s">
        <v>1998</v>
      </c>
      <c r="I59" s="973" t="s">
        <v>1999</v>
      </c>
      <c r="J59" s="972" t="s">
        <v>697</v>
      </c>
      <c r="K59" s="973" t="s">
        <v>995</v>
      </c>
      <c r="L59" s="973" t="s">
        <v>996</v>
      </c>
      <c r="M59" s="973" t="s">
        <v>2000</v>
      </c>
      <c r="N59" s="973" t="s">
        <v>2001</v>
      </c>
      <c r="O59" s="972" t="s">
        <v>1971</v>
      </c>
      <c r="P59" s="973" t="s">
        <v>999</v>
      </c>
      <c r="Q59" s="973" t="s">
        <v>1000</v>
      </c>
      <c r="R59" s="973" t="s">
        <v>1001</v>
      </c>
      <c r="S59" s="973" t="s">
        <v>1002</v>
      </c>
      <c r="T59" s="423">
        <v>200</v>
      </c>
      <c r="U59" s="423" t="s">
        <v>1041</v>
      </c>
      <c r="V59" s="423">
        <v>70</v>
      </c>
      <c r="W59" s="423">
        <v>1.6</v>
      </c>
      <c r="X59" s="423">
        <v>7.5</v>
      </c>
      <c r="Y59" s="423" t="s">
        <v>1041</v>
      </c>
      <c r="Z59" s="423" t="s">
        <v>1057</v>
      </c>
      <c r="AD59" s="423">
        <f>IF(ISNUMBER(MATCH(B59,'FICHA SOLIC'!$AB$26:$AB$376,0)),1,0)</f>
        <v>1</v>
      </c>
      <c r="AE59" s="423" t="str">
        <f t="shared" si="0"/>
        <v>AncudZU-4</v>
      </c>
    </row>
    <row r="60" spans="1:31" x14ac:dyDescent="0.25">
      <c r="A60" s="423">
        <v>59</v>
      </c>
      <c r="B60" s="423" t="s">
        <v>360</v>
      </c>
      <c r="C60" s="423" t="s">
        <v>2060</v>
      </c>
      <c r="D60" s="972" t="s">
        <v>990</v>
      </c>
      <c r="E60" s="973" t="s">
        <v>991</v>
      </c>
      <c r="F60" s="973" t="s">
        <v>992</v>
      </c>
      <c r="G60" s="973" t="s">
        <v>1997</v>
      </c>
      <c r="H60" s="973" t="s">
        <v>1998</v>
      </c>
      <c r="I60" s="973" t="s">
        <v>1999</v>
      </c>
      <c r="J60" s="972" t="s">
        <v>697</v>
      </c>
      <c r="K60" s="973" t="s">
        <v>995</v>
      </c>
      <c r="L60" s="973" t="s">
        <v>996</v>
      </c>
      <c r="M60" s="973" t="s">
        <v>2000</v>
      </c>
      <c r="N60" s="973" t="s">
        <v>2001</v>
      </c>
      <c r="O60" s="972" t="s">
        <v>1971</v>
      </c>
      <c r="P60" s="973" t="s">
        <v>999</v>
      </c>
      <c r="Q60" s="973" t="s">
        <v>1000</v>
      </c>
      <c r="R60" s="973" t="s">
        <v>1001</v>
      </c>
      <c r="S60" s="973" t="s">
        <v>1002</v>
      </c>
      <c r="T60" s="423">
        <v>200</v>
      </c>
      <c r="U60" s="423" t="s">
        <v>1041</v>
      </c>
      <c r="V60" s="423">
        <v>70</v>
      </c>
      <c r="W60" s="423">
        <v>1.6</v>
      </c>
      <c r="X60" s="423">
        <v>7.5</v>
      </c>
      <c r="Y60" s="423" t="s">
        <v>1041</v>
      </c>
      <c r="Z60" s="423" t="s">
        <v>1057</v>
      </c>
      <c r="AD60" s="423">
        <f>IF(ISNUMBER(MATCH(B60,'FICHA SOLIC'!$AB$26:$AB$376,0)),1,0)</f>
        <v>1</v>
      </c>
      <c r="AE60" s="423" t="str">
        <f t="shared" si="0"/>
        <v>AncudZU-4R</v>
      </c>
    </row>
    <row r="61" spans="1:31" x14ac:dyDescent="0.25">
      <c r="A61" s="423">
        <v>60</v>
      </c>
      <c r="B61" s="423" t="s">
        <v>360</v>
      </c>
      <c r="C61" s="423" t="s">
        <v>1245</v>
      </c>
      <c r="D61" s="972" t="s">
        <v>990</v>
      </c>
      <c r="E61" s="973" t="s">
        <v>991</v>
      </c>
      <c r="F61" s="973" t="s">
        <v>992</v>
      </c>
      <c r="G61" s="973" t="s">
        <v>1997</v>
      </c>
      <c r="H61" s="973" t="s">
        <v>1998</v>
      </c>
      <c r="I61" s="973" t="s">
        <v>1999</v>
      </c>
      <c r="J61" s="972" t="s">
        <v>697</v>
      </c>
      <c r="K61" s="973" t="s">
        <v>995</v>
      </c>
      <c r="L61" s="973" t="s">
        <v>996</v>
      </c>
      <c r="M61" s="973" t="s">
        <v>2000</v>
      </c>
      <c r="N61" s="973" t="s">
        <v>2001</v>
      </c>
      <c r="O61" s="972" t="s">
        <v>1971</v>
      </c>
      <c r="P61" s="973" t="s">
        <v>999</v>
      </c>
      <c r="Q61" s="973" t="s">
        <v>1000</v>
      </c>
      <c r="R61" s="973" t="s">
        <v>1001</v>
      </c>
      <c r="S61" s="973" t="s">
        <v>1002</v>
      </c>
      <c r="T61" s="423">
        <v>500</v>
      </c>
      <c r="U61" s="423" t="s">
        <v>1041</v>
      </c>
      <c r="V61" s="423">
        <v>60</v>
      </c>
      <c r="W61" s="423">
        <v>1.5</v>
      </c>
      <c r="X61" s="423">
        <v>7.5</v>
      </c>
      <c r="Y61" s="423" t="s">
        <v>1041</v>
      </c>
      <c r="Z61" s="423" t="s">
        <v>1057</v>
      </c>
      <c r="AD61" s="423">
        <f>IF(ISNUMBER(MATCH(B61,'FICHA SOLIC'!$AB$26:$AB$376,0)),1,0)</f>
        <v>1</v>
      </c>
      <c r="AE61" s="423" t="str">
        <f t="shared" si="0"/>
        <v>AncudZU-5</v>
      </c>
    </row>
    <row r="62" spans="1:31" x14ac:dyDescent="0.25">
      <c r="A62" s="423">
        <v>61</v>
      </c>
      <c r="B62" s="423" t="s">
        <v>360</v>
      </c>
      <c r="C62" s="423" t="s">
        <v>1246</v>
      </c>
      <c r="D62" s="972" t="s">
        <v>990</v>
      </c>
      <c r="E62" s="973" t="s">
        <v>991</v>
      </c>
      <c r="F62" s="973" t="s">
        <v>992</v>
      </c>
      <c r="G62" s="973" t="s">
        <v>1997</v>
      </c>
      <c r="H62" s="973" t="s">
        <v>1998</v>
      </c>
      <c r="I62" s="973" t="s">
        <v>1999</v>
      </c>
      <c r="J62" s="972" t="s">
        <v>697</v>
      </c>
      <c r="K62" s="973" t="s">
        <v>995</v>
      </c>
      <c r="L62" s="973" t="s">
        <v>996</v>
      </c>
      <c r="M62" s="973" t="s">
        <v>2000</v>
      </c>
      <c r="N62" s="973" t="s">
        <v>2001</v>
      </c>
      <c r="O62" s="972" t="s">
        <v>1971</v>
      </c>
      <c r="P62" s="973" t="s">
        <v>999</v>
      </c>
      <c r="Q62" s="973" t="s">
        <v>1000</v>
      </c>
      <c r="R62" s="973" t="s">
        <v>1001</v>
      </c>
      <c r="S62" s="973" t="s">
        <v>1002</v>
      </c>
      <c r="T62" s="423">
        <v>400</v>
      </c>
      <c r="U62" s="423" t="s">
        <v>1041</v>
      </c>
      <c r="V62" s="423">
        <v>80</v>
      </c>
      <c r="W62" s="423">
        <v>2</v>
      </c>
      <c r="X62" s="423">
        <v>7.5</v>
      </c>
      <c r="Y62" s="423" t="s">
        <v>1041</v>
      </c>
      <c r="Z62" s="423" t="s">
        <v>1057</v>
      </c>
      <c r="AD62" s="423">
        <f>IF(ISNUMBER(MATCH(B62,'FICHA SOLIC'!$AB$26:$AB$376,0)),1,0)</f>
        <v>1</v>
      </c>
      <c r="AE62" s="423" t="str">
        <f t="shared" si="0"/>
        <v>AncudZU-6</v>
      </c>
    </row>
    <row r="63" spans="1:31" x14ac:dyDescent="0.25">
      <c r="A63" s="423">
        <v>62</v>
      </c>
      <c r="B63" s="423" t="s">
        <v>360</v>
      </c>
      <c r="C63" s="423" t="s">
        <v>1247</v>
      </c>
      <c r="D63" s="972" t="s">
        <v>990</v>
      </c>
      <c r="E63" s="973" t="s">
        <v>991</v>
      </c>
      <c r="F63" s="973" t="s">
        <v>992</v>
      </c>
      <c r="G63" s="973" t="s">
        <v>1997</v>
      </c>
      <c r="H63" s="973" t="s">
        <v>1998</v>
      </c>
      <c r="I63" s="973" t="s">
        <v>1999</v>
      </c>
      <c r="J63" s="972" t="s">
        <v>697</v>
      </c>
      <c r="K63" s="973" t="s">
        <v>995</v>
      </c>
      <c r="L63" s="973" t="s">
        <v>996</v>
      </c>
      <c r="M63" s="973" t="s">
        <v>2000</v>
      </c>
      <c r="N63" s="973" t="s">
        <v>2001</v>
      </c>
      <c r="O63" s="972" t="s">
        <v>1971</v>
      </c>
      <c r="P63" s="973" t="s">
        <v>999</v>
      </c>
      <c r="Q63" s="973" t="s">
        <v>1000</v>
      </c>
      <c r="R63" s="973" t="s">
        <v>1001</v>
      </c>
      <c r="S63" s="973" t="s">
        <v>1002</v>
      </c>
      <c r="T63" s="423">
        <v>200</v>
      </c>
      <c r="U63" s="423" t="s">
        <v>1041</v>
      </c>
      <c r="V63" s="423">
        <v>80</v>
      </c>
      <c r="W63" s="423">
        <v>2</v>
      </c>
      <c r="X63" s="423">
        <v>10.5</v>
      </c>
      <c r="Y63" s="423" t="s">
        <v>1041</v>
      </c>
      <c r="Z63" s="423" t="s">
        <v>1057</v>
      </c>
      <c r="AD63" s="423">
        <f>IF(ISNUMBER(MATCH(B63,'FICHA SOLIC'!$AB$26:$AB$376,0)),1,0)</f>
        <v>1</v>
      </c>
      <c r="AE63" s="423" t="str">
        <f t="shared" si="0"/>
        <v>AncudZU-7</v>
      </c>
    </row>
    <row r="64" spans="1:31" x14ac:dyDescent="0.25">
      <c r="A64" s="423">
        <v>63</v>
      </c>
      <c r="B64" s="423" t="s">
        <v>360</v>
      </c>
      <c r="C64" s="423" t="s">
        <v>2061</v>
      </c>
      <c r="D64" s="972" t="s">
        <v>990</v>
      </c>
      <c r="E64" s="973" t="s">
        <v>991</v>
      </c>
      <c r="F64" s="973" t="s">
        <v>992</v>
      </c>
      <c r="G64" s="973" t="s">
        <v>1997</v>
      </c>
      <c r="H64" s="973" t="s">
        <v>1998</v>
      </c>
      <c r="I64" s="973" t="s">
        <v>1999</v>
      </c>
      <c r="J64" s="972" t="s">
        <v>697</v>
      </c>
      <c r="K64" s="973" t="s">
        <v>995</v>
      </c>
      <c r="L64" s="973" t="s">
        <v>996</v>
      </c>
      <c r="M64" s="973" t="s">
        <v>2000</v>
      </c>
      <c r="N64" s="973" t="s">
        <v>2001</v>
      </c>
      <c r="O64" s="972" t="s">
        <v>1971</v>
      </c>
      <c r="P64" s="973" t="s">
        <v>999</v>
      </c>
      <c r="Q64" s="973" t="s">
        <v>1000</v>
      </c>
      <c r="R64" s="973" t="s">
        <v>1001</v>
      </c>
      <c r="S64" s="973" t="s">
        <v>1002</v>
      </c>
      <c r="T64" s="423">
        <v>400</v>
      </c>
      <c r="U64" s="423" t="s">
        <v>1041</v>
      </c>
      <c r="V64" s="423">
        <v>80</v>
      </c>
      <c r="W64" s="423">
        <v>2</v>
      </c>
      <c r="X64" s="423">
        <v>14</v>
      </c>
      <c r="Y64" s="423" t="s">
        <v>1041</v>
      </c>
      <c r="Z64" s="423" t="s">
        <v>1057</v>
      </c>
      <c r="AD64" s="423">
        <f>IF(ISNUMBER(MATCH(B64,'FICHA SOLIC'!$AB$26:$AB$376,0)),1,0)</f>
        <v>1</v>
      </c>
      <c r="AE64" s="423" t="str">
        <f t="shared" si="0"/>
        <v>AncudZU-7R</v>
      </c>
    </row>
    <row r="65" spans="1:31" x14ac:dyDescent="0.25">
      <c r="A65" s="423">
        <v>64</v>
      </c>
      <c r="B65" s="423" t="s">
        <v>360</v>
      </c>
      <c r="C65" s="423" t="s">
        <v>1248</v>
      </c>
      <c r="D65" s="972" t="s">
        <v>990</v>
      </c>
      <c r="E65" s="973" t="s">
        <v>991</v>
      </c>
      <c r="F65" s="973" t="s">
        <v>992</v>
      </c>
      <c r="G65" s="973" t="s">
        <v>1997</v>
      </c>
      <c r="H65" s="973" t="s">
        <v>1998</v>
      </c>
      <c r="I65" s="973" t="s">
        <v>1999</v>
      </c>
      <c r="J65" s="972" t="s">
        <v>697</v>
      </c>
      <c r="K65" s="973" t="s">
        <v>995</v>
      </c>
      <c r="L65" s="973" t="s">
        <v>996</v>
      </c>
      <c r="M65" s="973" t="s">
        <v>2000</v>
      </c>
      <c r="N65" s="973" t="s">
        <v>2001</v>
      </c>
      <c r="O65" s="972" t="s">
        <v>1971</v>
      </c>
      <c r="P65" s="973" t="s">
        <v>999</v>
      </c>
      <c r="Q65" s="973" t="s">
        <v>1000</v>
      </c>
      <c r="R65" s="973" t="s">
        <v>1001</v>
      </c>
      <c r="S65" s="973" t="s">
        <v>1002</v>
      </c>
      <c r="T65" s="423">
        <v>400</v>
      </c>
      <c r="U65" s="423" t="s">
        <v>1041</v>
      </c>
      <c r="V65" s="423">
        <v>80</v>
      </c>
      <c r="W65" s="423">
        <v>2</v>
      </c>
      <c r="X65" s="423">
        <v>14</v>
      </c>
      <c r="Y65" s="423" t="s">
        <v>1041</v>
      </c>
      <c r="Z65" s="423" t="s">
        <v>1057</v>
      </c>
      <c r="AD65" s="423">
        <f>IF(ISNUMBER(MATCH(B65,'FICHA SOLIC'!$AB$26:$AB$376,0)),1,0)</f>
        <v>1</v>
      </c>
      <c r="AE65" s="423" t="str">
        <f t="shared" si="0"/>
        <v>AncudZU-8</v>
      </c>
    </row>
    <row r="66" spans="1:31" x14ac:dyDescent="0.25">
      <c r="A66" s="423">
        <v>65</v>
      </c>
      <c r="B66" s="423" t="s">
        <v>360</v>
      </c>
      <c r="C66" s="423" t="s">
        <v>1249</v>
      </c>
      <c r="D66" s="972" t="s">
        <v>990</v>
      </c>
      <c r="E66" s="973" t="s">
        <v>991</v>
      </c>
      <c r="F66" s="973" t="s">
        <v>992</v>
      </c>
      <c r="G66" s="973" t="s">
        <v>1997</v>
      </c>
      <c r="H66" s="973" t="s">
        <v>1998</v>
      </c>
      <c r="I66" s="973" t="s">
        <v>1999</v>
      </c>
      <c r="J66" s="972" t="s">
        <v>697</v>
      </c>
      <c r="K66" s="973" t="s">
        <v>995</v>
      </c>
      <c r="L66" s="973" t="s">
        <v>996</v>
      </c>
      <c r="M66" s="973" t="s">
        <v>2000</v>
      </c>
      <c r="N66" s="973" t="s">
        <v>2001</v>
      </c>
      <c r="O66" s="972" t="s">
        <v>1971</v>
      </c>
      <c r="P66" s="973" t="s">
        <v>999</v>
      </c>
      <c r="Q66" s="973" t="s">
        <v>1000</v>
      </c>
      <c r="R66" s="973" t="s">
        <v>1001</v>
      </c>
      <c r="S66" s="973" t="s">
        <v>1002</v>
      </c>
      <c r="T66" s="423">
        <v>1000</v>
      </c>
      <c r="U66" s="423" t="s">
        <v>1041</v>
      </c>
      <c r="V66" s="423">
        <v>60</v>
      </c>
      <c r="W66" s="423">
        <v>1</v>
      </c>
      <c r="X66" s="423" t="s">
        <v>2062</v>
      </c>
      <c r="Y66" s="423" t="s">
        <v>1041</v>
      </c>
      <c r="Z66" s="423" t="s">
        <v>1058</v>
      </c>
      <c r="AD66" s="423">
        <f>IF(ISNUMBER(MATCH(B66,'FICHA SOLIC'!$AB$26:$AB$376,0)),1,0)</f>
        <v>1</v>
      </c>
      <c r="AE66" s="423" t="str">
        <f t="shared" si="0"/>
        <v>AncudZU-9</v>
      </c>
    </row>
    <row r="67" spans="1:31" x14ac:dyDescent="0.25">
      <c r="A67" s="423">
        <v>66</v>
      </c>
      <c r="B67" s="423" t="s">
        <v>325</v>
      </c>
      <c r="C67" s="423" t="s">
        <v>2063</v>
      </c>
      <c r="D67" s="972" t="s">
        <v>990</v>
      </c>
      <c r="E67" s="973" t="s">
        <v>991</v>
      </c>
      <c r="F67" s="973" t="s">
        <v>992</v>
      </c>
      <c r="G67" s="973" t="s">
        <v>1997</v>
      </c>
      <c r="H67" s="973" t="s">
        <v>1998</v>
      </c>
      <c r="I67" s="973" t="s">
        <v>1999</v>
      </c>
      <c r="J67" s="972" t="s">
        <v>697</v>
      </c>
      <c r="K67" s="973" t="s">
        <v>995</v>
      </c>
      <c r="L67" s="973" t="s">
        <v>996</v>
      </c>
      <c r="M67" s="973" t="s">
        <v>2000</v>
      </c>
      <c r="N67" s="973" t="s">
        <v>2001</v>
      </c>
      <c r="O67" s="972" t="s">
        <v>1971</v>
      </c>
      <c r="P67" s="973" t="s">
        <v>999</v>
      </c>
      <c r="Q67" s="973" t="s">
        <v>1000</v>
      </c>
      <c r="R67" s="973" t="s">
        <v>1001</v>
      </c>
      <c r="S67" s="973" t="s">
        <v>1002</v>
      </c>
      <c r="T67" s="423">
        <v>2000</v>
      </c>
      <c r="U67" s="423" t="s">
        <v>1041</v>
      </c>
      <c r="V67" s="423">
        <v>20</v>
      </c>
      <c r="W67" s="423">
        <v>0.4</v>
      </c>
      <c r="X67" s="423">
        <v>7</v>
      </c>
      <c r="Y67" s="423" t="s">
        <v>1041</v>
      </c>
      <c r="Z67" s="423" t="s">
        <v>1058</v>
      </c>
      <c r="AD67" s="423">
        <f>IF(ISNUMBER(MATCH(B67,'FICHA SOLIC'!$AB$26:$AB$376,0)),1,0)</f>
        <v>1</v>
      </c>
      <c r="AE67" s="423" t="str">
        <f t="shared" ref="AE67:AE130" si="1">B67&amp;C67</f>
        <v>AngolZ AV</v>
      </c>
    </row>
    <row r="68" spans="1:31" x14ac:dyDescent="0.25">
      <c r="A68" s="423">
        <v>67</v>
      </c>
      <c r="B68" s="423" t="s">
        <v>325</v>
      </c>
      <c r="C68" s="423" t="s">
        <v>2014</v>
      </c>
      <c r="D68" s="972" t="s">
        <v>990</v>
      </c>
      <c r="E68" s="973" t="s">
        <v>991</v>
      </c>
      <c r="F68" s="973" t="s">
        <v>992</v>
      </c>
      <c r="G68" s="973" t="s">
        <v>1997</v>
      </c>
      <c r="H68" s="973" t="s">
        <v>1998</v>
      </c>
      <c r="I68" s="973" t="s">
        <v>1999</v>
      </c>
      <c r="J68" s="972" t="s">
        <v>697</v>
      </c>
      <c r="K68" s="973" t="s">
        <v>995</v>
      </c>
      <c r="L68" s="973" t="s">
        <v>996</v>
      </c>
      <c r="M68" s="973" t="s">
        <v>2000</v>
      </c>
      <c r="N68" s="973" t="s">
        <v>2001</v>
      </c>
      <c r="O68" s="972" t="s">
        <v>1971</v>
      </c>
      <c r="P68" s="973" t="s">
        <v>999</v>
      </c>
      <c r="Q68" s="973" t="s">
        <v>1000</v>
      </c>
      <c r="R68" s="973" t="s">
        <v>1001</v>
      </c>
      <c r="S68" s="973" t="s">
        <v>1002</v>
      </c>
      <c r="T68" s="423">
        <v>250</v>
      </c>
      <c r="U68" s="423" t="s">
        <v>1041</v>
      </c>
      <c r="V68" s="423">
        <v>80</v>
      </c>
      <c r="W68" s="423">
        <v>2</v>
      </c>
      <c r="X68" s="423">
        <v>15</v>
      </c>
      <c r="Y68" s="423" t="s">
        <v>1041</v>
      </c>
      <c r="Z68" s="423" t="s">
        <v>1059</v>
      </c>
      <c r="AD68" s="423">
        <f>IF(ISNUMBER(MATCH(B68,'FICHA SOLIC'!$AB$26:$AB$376,0)),1,0)</f>
        <v>1</v>
      </c>
      <c r="AE68" s="423" t="str">
        <f t="shared" si="1"/>
        <v>AngolZ1</v>
      </c>
    </row>
    <row r="69" spans="1:31" x14ac:dyDescent="0.25">
      <c r="A69" s="423">
        <v>68</v>
      </c>
      <c r="B69" s="423" t="s">
        <v>325</v>
      </c>
      <c r="C69" s="423" t="s">
        <v>1458</v>
      </c>
      <c r="D69" s="972" t="s">
        <v>990</v>
      </c>
      <c r="E69" s="973" t="s">
        <v>991</v>
      </c>
      <c r="F69" s="973" t="s">
        <v>992</v>
      </c>
      <c r="G69" s="973" t="s">
        <v>1997</v>
      </c>
      <c r="H69" s="973" t="s">
        <v>1998</v>
      </c>
      <c r="I69" s="973" t="s">
        <v>1999</v>
      </c>
      <c r="J69" s="972" t="s">
        <v>697</v>
      </c>
      <c r="K69" s="973" t="s">
        <v>995</v>
      </c>
      <c r="L69" s="973" t="s">
        <v>996</v>
      </c>
      <c r="M69" s="973" t="s">
        <v>2000</v>
      </c>
      <c r="N69" s="973" t="s">
        <v>2001</v>
      </c>
      <c r="O69" s="972" t="s">
        <v>1971</v>
      </c>
      <c r="P69" s="973" t="s">
        <v>999</v>
      </c>
      <c r="Q69" s="973" t="s">
        <v>1000</v>
      </c>
      <c r="R69" s="973" t="s">
        <v>1001</v>
      </c>
      <c r="S69" s="973" t="s">
        <v>1002</v>
      </c>
      <c r="T69" s="423">
        <v>250</v>
      </c>
      <c r="U69" s="423" t="s">
        <v>1041</v>
      </c>
      <c r="V69" s="423">
        <v>80</v>
      </c>
      <c r="W69" s="423">
        <v>2</v>
      </c>
      <c r="X69" s="423">
        <v>15</v>
      </c>
      <c r="Y69" s="423" t="s">
        <v>1041</v>
      </c>
      <c r="Z69" s="423" t="s">
        <v>1059</v>
      </c>
      <c r="AD69" s="423">
        <f>IF(ISNUMBER(MATCH(B69,'FICHA SOLIC'!$AB$26:$AB$376,0)),1,0)</f>
        <v>1</v>
      </c>
      <c r="AE69" s="423" t="str">
        <f t="shared" si="1"/>
        <v>AngolZ2</v>
      </c>
    </row>
    <row r="70" spans="1:31" x14ac:dyDescent="0.25">
      <c r="A70" s="423">
        <v>69</v>
      </c>
      <c r="B70" s="423" t="s">
        <v>325</v>
      </c>
      <c r="C70" s="423" t="s">
        <v>2022</v>
      </c>
      <c r="D70" s="972" t="s">
        <v>990</v>
      </c>
      <c r="E70" s="973" t="s">
        <v>991</v>
      </c>
      <c r="F70" s="973" t="s">
        <v>992</v>
      </c>
      <c r="G70" s="973" t="s">
        <v>1997</v>
      </c>
      <c r="H70" s="973" t="s">
        <v>1998</v>
      </c>
      <c r="I70" s="973" t="s">
        <v>1999</v>
      </c>
      <c r="J70" s="972" t="s">
        <v>697</v>
      </c>
      <c r="K70" s="973" t="s">
        <v>995</v>
      </c>
      <c r="L70" s="973" t="s">
        <v>996</v>
      </c>
      <c r="M70" s="973" t="s">
        <v>2000</v>
      </c>
      <c r="N70" s="973" t="s">
        <v>2001</v>
      </c>
      <c r="O70" s="972" t="s">
        <v>1971</v>
      </c>
      <c r="P70" s="973" t="s">
        <v>999</v>
      </c>
      <c r="Q70" s="973" t="s">
        <v>1000</v>
      </c>
      <c r="R70" s="973" t="s">
        <v>1001</v>
      </c>
      <c r="S70" s="973" t="s">
        <v>1002</v>
      </c>
      <c r="T70" s="423">
        <v>200</v>
      </c>
      <c r="U70" s="423" t="s">
        <v>1041</v>
      </c>
      <c r="V70" s="423">
        <v>70</v>
      </c>
      <c r="W70" s="423">
        <v>1.5</v>
      </c>
      <c r="X70" s="423">
        <v>10.5</v>
      </c>
      <c r="Y70" s="423" t="s">
        <v>1041</v>
      </c>
      <c r="Z70" s="423" t="s">
        <v>1059</v>
      </c>
      <c r="AD70" s="423">
        <f>IF(ISNUMBER(MATCH(B70,'FICHA SOLIC'!$AB$26:$AB$376,0)),1,0)</f>
        <v>1</v>
      </c>
      <c r="AE70" s="423" t="str">
        <f t="shared" si="1"/>
        <v>AngolZ3</v>
      </c>
    </row>
    <row r="71" spans="1:31" x14ac:dyDescent="0.25">
      <c r="A71" s="423">
        <v>70</v>
      </c>
      <c r="B71" s="423" t="s">
        <v>325</v>
      </c>
      <c r="C71" s="423" t="s">
        <v>2024</v>
      </c>
      <c r="D71" s="972" t="s">
        <v>990</v>
      </c>
      <c r="E71" s="973" t="s">
        <v>991</v>
      </c>
      <c r="F71" s="973" t="s">
        <v>992</v>
      </c>
      <c r="G71" s="973" t="s">
        <v>1997</v>
      </c>
      <c r="H71" s="973" t="s">
        <v>1998</v>
      </c>
      <c r="I71" s="973" t="s">
        <v>1999</v>
      </c>
      <c r="J71" s="972" t="s">
        <v>697</v>
      </c>
      <c r="K71" s="973" t="s">
        <v>995</v>
      </c>
      <c r="L71" s="973" t="s">
        <v>996</v>
      </c>
      <c r="M71" s="973" t="s">
        <v>2000</v>
      </c>
      <c r="N71" s="973" t="s">
        <v>2001</v>
      </c>
      <c r="O71" s="972" t="s">
        <v>1971</v>
      </c>
      <c r="P71" s="973" t="s">
        <v>999</v>
      </c>
      <c r="Q71" s="973" t="s">
        <v>1000</v>
      </c>
      <c r="R71" s="973" t="s">
        <v>1001</v>
      </c>
      <c r="S71" s="973" t="s">
        <v>1002</v>
      </c>
      <c r="T71" s="423">
        <v>800</v>
      </c>
      <c r="U71" s="423" t="s">
        <v>1041</v>
      </c>
      <c r="V71" s="423">
        <v>50</v>
      </c>
      <c r="W71" s="423">
        <v>0.6</v>
      </c>
      <c r="X71" s="423">
        <v>7</v>
      </c>
      <c r="Y71" s="423" t="s">
        <v>1041</v>
      </c>
      <c r="Z71" s="423" t="s">
        <v>1058</v>
      </c>
      <c r="AD71" s="423">
        <f>IF(ISNUMBER(MATCH(B71,'FICHA SOLIC'!$AB$26:$AB$376,0)),1,0)</f>
        <v>1</v>
      </c>
      <c r="AE71" s="423" t="str">
        <f t="shared" si="1"/>
        <v>AngolZ4</v>
      </c>
    </row>
    <row r="72" spans="1:31" x14ac:dyDescent="0.25">
      <c r="A72" s="423">
        <v>71</v>
      </c>
      <c r="B72" s="423" t="s">
        <v>325</v>
      </c>
      <c r="C72" s="423" t="s">
        <v>2025</v>
      </c>
      <c r="D72" s="972" t="s">
        <v>990</v>
      </c>
      <c r="E72" s="973" t="s">
        <v>991</v>
      </c>
      <c r="F72" s="973" t="s">
        <v>992</v>
      </c>
      <c r="G72" s="973" t="s">
        <v>1997</v>
      </c>
      <c r="H72" s="973" t="s">
        <v>1998</v>
      </c>
      <c r="I72" s="973" t="s">
        <v>1999</v>
      </c>
      <c r="J72" s="972" t="s">
        <v>697</v>
      </c>
      <c r="K72" s="973" t="s">
        <v>995</v>
      </c>
      <c r="L72" s="973" t="s">
        <v>996</v>
      </c>
      <c r="M72" s="973" t="s">
        <v>2000</v>
      </c>
      <c r="N72" s="973" t="s">
        <v>2001</v>
      </c>
      <c r="O72" s="972" t="s">
        <v>1971</v>
      </c>
      <c r="P72" s="973" t="s">
        <v>999</v>
      </c>
      <c r="Q72" s="973" t="s">
        <v>1000</v>
      </c>
      <c r="R72" s="973" t="s">
        <v>1001</v>
      </c>
      <c r="S72" s="973" t="s">
        <v>1002</v>
      </c>
      <c r="T72" s="423">
        <v>300</v>
      </c>
      <c r="U72" s="423" t="s">
        <v>1041</v>
      </c>
      <c r="V72" s="423">
        <v>50</v>
      </c>
      <c r="W72" s="423">
        <v>1</v>
      </c>
      <c r="X72" s="423">
        <v>7</v>
      </c>
      <c r="Y72" s="423" t="s">
        <v>1041</v>
      </c>
      <c r="Z72" s="423" t="s">
        <v>1058</v>
      </c>
      <c r="AD72" s="423">
        <f>IF(ISNUMBER(MATCH(B72,'FICHA SOLIC'!$AB$26:$AB$376,0)),1,0)</f>
        <v>1</v>
      </c>
      <c r="AE72" s="423" t="str">
        <f t="shared" si="1"/>
        <v>AngolZ5</v>
      </c>
    </row>
    <row r="73" spans="1:31" x14ac:dyDescent="0.25">
      <c r="A73" s="423">
        <v>72</v>
      </c>
      <c r="B73" s="423" t="s">
        <v>90</v>
      </c>
      <c r="C73" s="423" t="s">
        <v>2064</v>
      </c>
      <c r="D73" s="972" t="s">
        <v>990</v>
      </c>
      <c r="E73" s="973" t="s">
        <v>991</v>
      </c>
      <c r="F73" s="973" t="s">
        <v>992</v>
      </c>
      <c r="G73" s="973" t="s">
        <v>1997</v>
      </c>
      <c r="H73" s="973" t="s">
        <v>1998</v>
      </c>
      <c r="I73" s="973" t="s">
        <v>1999</v>
      </c>
      <c r="J73" s="972" t="s">
        <v>697</v>
      </c>
      <c r="K73" s="973" t="s">
        <v>995</v>
      </c>
      <c r="L73" s="973" t="s">
        <v>996</v>
      </c>
      <c r="M73" s="973" t="s">
        <v>2000</v>
      </c>
      <c r="N73" s="973" t="s">
        <v>2001</v>
      </c>
      <c r="O73" s="972" t="s">
        <v>1971</v>
      </c>
      <c r="P73" s="973" t="s">
        <v>999</v>
      </c>
      <c r="Q73" s="973" t="s">
        <v>1000</v>
      </c>
      <c r="R73" s="973" t="s">
        <v>1001</v>
      </c>
      <c r="S73" s="973" t="s">
        <v>1002</v>
      </c>
      <c r="T73" s="423">
        <v>300</v>
      </c>
      <c r="U73" s="423">
        <v>12</v>
      </c>
      <c r="V73" s="423" t="s">
        <v>2065</v>
      </c>
      <c r="W73" s="423">
        <v>4.5</v>
      </c>
      <c r="X73" s="423">
        <v>16</v>
      </c>
      <c r="Y73" s="423" t="s">
        <v>2003</v>
      </c>
      <c r="Z73" s="423" t="s">
        <v>1096</v>
      </c>
      <c r="AD73" s="423">
        <f>IF(ISNUMBER(MATCH(B73,'FICHA SOLIC'!$AB$26:$AB$376,0)),1,0)</f>
        <v>1</v>
      </c>
      <c r="AE73" s="423" t="str">
        <f t="shared" si="1"/>
        <v>AntofagastaC1a</v>
      </c>
    </row>
    <row r="74" spans="1:31" x14ac:dyDescent="0.25">
      <c r="A74" s="423">
        <v>73</v>
      </c>
      <c r="B74" s="423" t="s">
        <v>90</v>
      </c>
      <c r="C74" s="423" t="s">
        <v>2066</v>
      </c>
      <c r="D74" s="972" t="s">
        <v>990</v>
      </c>
      <c r="E74" s="973" t="s">
        <v>991</v>
      </c>
      <c r="F74" s="973" t="s">
        <v>992</v>
      </c>
      <c r="G74" s="973" t="s">
        <v>1997</v>
      </c>
      <c r="H74" s="973" t="s">
        <v>1998</v>
      </c>
      <c r="I74" s="973" t="s">
        <v>1999</v>
      </c>
      <c r="J74" s="972" t="s">
        <v>697</v>
      </c>
      <c r="K74" s="973" t="s">
        <v>995</v>
      </c>
      <c r="L74" s="973" t="s">
        <v>996</v>
      </c>
      <c r="M74" s="973" t="s">
        <v>2000</v>
      </c>
      <c r="N74" s="973" t="s">
        <v>2001</v>
      </c>
      <c r="O74" s="972" t="s">
        <v>1971</v>
      </c>
      <c r="P74" s="973" t="s">
        <v>999</v>
      </c>
      <c r="Q74" s="973" t="s">
        <v>1000</v>
      </c>
      <c r="R74" s="973" t="s">
        <v>1001</v>
      </c>
      <c r="S74" s="973" t="s">
        <v>1002</v>
      </c>
      <c r="T74" s="423">
        <v>300</v>
      </c>
      <c r="U74" s="423">
        <v>12</v>
      </c>
      <c r="V74" s="423" t="s">
        <v>2067</v>
      </c>
      <c r="W74" s="423">
        <v>2</v>
      </c>
      <c r="X74" s="423">
        <v>6</v>
      </c>
      <c r="Y74" s="423" t="s">
        <v>2003</v>
      </c>
      <c r="Z74" s="423" t="s">
        <v>2068</v>
      </c>
      <c r="AD74" s="423">
        <f>IF(ISNUMBER(MATCH(B74,'FICHA SOLIC'!$AB$26:$AB$376,0)),1,0)</f>
        <v>1</v>
      </c>
      <c r="AE74" s="423" t="str">
        <f t="shared" si="1"/>
        <v>AntofagastaC1b</v>
      </c>
    </row>
    <row r="75" spans="1:31" x14ac:dyDescent="0.25">
      <c r="A75" s="423">
        <v>74</v>
      </c>
      <c r="B75" s="423" t="s">
        <v>90</v>
      </c>
      <c r="C75" s="423" t="s">
        <v>2069</v>
      </c>
      <c r="D75" s="972" t="s">
        <v>990</v>
      </c>
      <c r="E75" s="973" t="s">
        <v>991</v>
      </c>
      <c r="F75" s="973" t="s">
        <v>992</v>
      </c>
      <c r="G75" s="973" t="s">
        <v>1997</v>
      </c>
      <c r="H75" s="973" t="s">
        <v>1998</v>
      </c>
      <c r="I75" s="973" t="s">
        <v>1999</v>
      </c>
      <c r="J75" s="972" t="s">
        <v>697</v>
      </c>
      <c r="K75" s="973" t="s">
        <v>995</v>
      </c>
      <c r="L75" s="973" t="s">
        <v>996</v>
      </c>
      <c r="M75" s="973" t="s">
        <v>2000</v>
      </c>
      <c r="N75" s="973" t="s">
        <v>2001</v>
      </c>
      <c r="O75" s="972" t="s">
        <v>1971</v>
      </c>
      <c r="P75" s="973" t="s">
        <v>999</v>
      </c>
      <c r="Q75" s="973" t="s">
        <v>1000</v>
      </c>
      <c r="R75" s="973" t="s">
        <v>1001</v>
      </c>
      <c r="S75" s="973" t="s">
        <v>1002</v>
      </c>
      <c r="T75" s="423">
        <v>800</v>
      </c>
      <c r="U75" s="423">
        <v>20</v>
      </c>
      <c r="V75" s="423">
        <v>50</v>
      </c>
      <c r="W75" s="423">
        <v>3</v>
      </c>
      <c r="X75" s="423">
        <v>8.5</v>
      </c>
      <c r="Y75" s="423" t="s">
        <v>2003</v>
      </c>
      <c r="Z75" s="423" t="s">
        <v>1058</v>
      </c>
      <c r="AD75" s="423">
        <f>IF(ISNUMBER(MATCH(B75,'FICHA SOLIC'!$AB$26:$AB$376,0)),1,0)</f>
        <v>1</v>
      </c>
      <c r="AE75" s="423" t="str">
        <f t="shared" si="1"/>
        <v>AntofagastaC1c</v>
      </c>
    </row>
    <row r="76" spans="1:31" x14ac:dyDescent="0.25">
      <c r="A76" s="423">
        <v>75</v>
      </c>
      <c r="B76" s="423" t="s">
        <v>90</v>
      </c>
      <c r="C76" s="423" t="s">
        <v>2070</v>
      </c>
      <c r="D76" s="972" t="s">
        <v>990</v>
      </c>
      <c r="E76" s="973" t="s">
        <v>991</v>
      </c>
      <c r="F76" s="973" t="s">
        <v>992</v>
      </c>
      <c r="G76" s="973" t="s">
        <v>1997</v>
      </c>
      <c r="H76" s="973" t="s">
        <v>1998</v>
      </c>
      <c r="I76" s="973" t="s">
        <v>1999</v>
      </c>
      <c r="J76" s="972" t="s">
        <v>697</v>
      </c>
      <c r="K76" s="973" t="s">
        <v>995</v>
      </c>
      <c r="L76" s="973" t="s">
        <v>996</v>
      </c>
      <c r="M76" s="973" t="s">
        <v>2000</v>
      </c>
      <c r="N76" s="973" t="s">
        <v>2001</v>
      </c>
      <c r="O76" s="972" t="s">
        <v>1971</v>
      </c>
      <c r="P76" s="973" t="s">
        <v>999</v>
      </c>
      <c r="Q76" s="973" t="s">
        <v>1000</v>
      </c>
      <c r="R76" s="973" t="s">
        <v>1001</v>
      </c>
      <c r="S76" s="973" t="s">
        <v>1002</v>
      </c>
      <c r="T76" s="423">
        <v>200</v>
      </c>
      <c r="U76" s="423">
        <v>10</v>
      </c>
      <c r="V76" s="423">
        <v>50</v>
      </c>
      <c r="W76" s="423">
        <v>1.5</v>
      </c>
      <c r="X76" s="423">
        <v>10</v>
      </c>
      <c r="Y76" s="423" t="s">
        <v>2003</v>
      </c>
      <c r="Z76" s="423" t="s">
        <v>1058</v>
      </c>
      <c r="AD76" s="423">
        <f>IF(ISNUMBER(MATCH(B76,'FICHA SOLIC'!$AB$26:$AB$376,0)),1,0)</f>
        <v>1</v>
      </c>
      <c r="AE76" s="423" t="str">
        <f t="shared" si="1"/>
        <v>AntofagastaC1d</v>
      </c>
    </row>
    <row r="77" spans="1:31" x14ac:dyDescent="0.25">
      <c r="A77" s="423">
        <v>76</v>
      </c>
      <c r="B77" s="423" t="s">
        <v>90</v>
      </c>
      <c r="C77" s="423" t="s">
        <v>1189</v>
      </c>
      <c r="D77" s="972" t="s">
        <v>990</v>
      </c>
      <c r="E77" s="973" t="s">
        <v>991</v>
      </c>
      <c r="F77" s="973" t="s">
        <v>992</v>
      </c>
      <c r="G77" s="973" t="s">
        <v>1997</v>
      </c>
      <c r="H77" s="973" t="s">
        <v>1998</v>
      </c>
      <c r="I77" s="973" t="s">
        <v>1999</v>
      </c>
      <c r="J77" s="972" t="s">
        <v>697</v>
      </c>
      <c r="K77" s="973" t="s">
        <v>995</v>
      </c>
      <c r="L77" s="973" t="s">
        <v>996</v>
      </c>
      <c r="M77" s="973" t="s">
        <v>2000</v>
      </c>
      <c r="N77" s="973" t="s">
        <v>2001</v>
      </c>
      <c r="O77" s="972" t="s">
        <v>1971</v>
      </c>
      <c r="P77" s="973" t="s">
        <v>999</v>
      </c>
      <c r="Q77" s="973" t="s">
        <v>1000</v>
      </c>
      <c r="R77" s="973" t="s">
        <v>1001</v>
      </c>
      <c r="S77" s="973" t="s">
        <v>1002</v>
      </c>
      <c r="T77" s="423">
        <v>300</v>
      </c>
      <c r="U77" s="423">
        <v>10</v>
      </c>
      <c r="V77" s="423" t="s">
        <v>2067</v>
      </c>
      <c r="W77" s="423">
        <v>2.6</v>
      </c>
      <c r="X77" s="423">
        <v>6</v>
      </c>
      <c r="Y77" s="423" t="s">
        <v>2071</v>
      </c>
      <c r="Z77" s="423" t="s">
        <v>2068</v>
      </c>
      <c r="AD77" s="423">
        <f>IF(ISNUMBER(MATCH(B77,'FICHA SOLIC'!$AB$26:$AB$376,0)),1,0)</f>
        <v>1</v>
      </c>
      <c r="AE77" s="423" t="str">
        <f t="shared" si="1"/>
        <v>AntofagastaC2</v>
      </c>
    </row>
    <row r="78" spans="1:31" x14ac:dyDescent="0.25">
      <c r="A78" s="423">
        <v>77</v>
      </c>
      <c r="B78" s="423" t="s">
        <v>90</v>
      </c>
      <c r="C78" s="423" t="s">
        <v>1553</v>
      </c>
      <c r="D78" s="972" t="s">
        <v>990</v>
      </c>
      <c r="E78" s="973" t="s">
        <v>991</v>
      </c>
      <c r="F78" s="973" t="s">
        <v>992</v>
      </c>
      <c r="G78" s="973" t="s">
        <v>1997</v>
      </c>
      <c r="H78" s="973" t="s">
        <v>1998</v>
      </c>
      <c r="I78" s="973" t="s">
        <v>1999</v>
      </c>
      <c r="J78" s="972" t="s">
        <v>697</v>
      </c>
      <c r="K78" s="973" t="s">
        <v>995</v>
      </c>
      <c r="L78" s="973" t="s">
        <v>996</v>
      </c>
      <c r="M78" s="973" t="s">
        <v>2000</v>
      </c>
      <c r="N78" s="973" t="s">
        <v>2001</v>
      </c>
      <c r="O78" s="972" t="s">
        <v>1971</v>
      </c>
      <c r="P78" s="973" t="s">
        <v>999</v>
      </c>
      <c r="Q78" s="973" t="s">
        <v>1000</v>
      </c>
      <c r="R78" s="973" t="s">
        <v>1001</v>
      </c>
      <c r="S78" s="973" t="s">
        <v>1002</v>
      </c>
      <c r="T78" s="423">
        <v>240</v>
      </c>
      <c r="U78" s="423">
        <v>10</v>
      </c>
      <c r="V78" s="423" t="s">
        <v>2067</v>
      </c>
      <c r="W78" s="423">
        <v>2.4</v>
      </c>
      <c r="X78" s="423">
        <v>15</v>
      </c>
      <c r="Y78" s="423" t="s">
        <v>2003</v>
      </c>
      <c r="Z78" s="423" t="s">
        <v>1057</v>
      </c>
      <c r="AD78" s="423">
        <f>IF(ISNUMBER(MATCH(B78,'FICHA SOLIC'!$AB$26:$AB$376,0)),1,0)</f>
        <v>1</v>
      </c>
      <c r="AE78" s="423" t="str">
        <f t="shared" si="1"/>
        <v>AntofagastaC3</v>
      </c>
    </row>
    <row r="79" spans="1:31" x14ac:dyDescent="0.25">
      <c r="A79" s="423">
        <v>78</v>
      </c>
      <c r="B79" s="423" t="s">
        <v>90</v>
      </c>
      <c r="C79" s="423" t="s">
        <v>2072</v>
      </c>
      <c r="D79" s="972" t="s">
        <v>990</v>
      </c>
      <c r="E79" s="973" t="s">
        <v>991</v>
      </c>
      <c r="F79" s="973" t="s">
        <v>992</v>
      </c>
      <c r="G79" s="973" t="s">
        <v>1997</v>
      </c>
      <c r="H79" s="973" t="s">
        <v>1998</v>
      </c>
      <c r="I79" s="973" t="s">
        <v>1999</v>
      </c>
      <c r="J79" s="972" t="s">
        <v>697</v>
      </c>
      <c r="K79" s="973" t="s">
        <v>995</v>
      </c>
      <c r="L79" s="973" t="s">
        <v>996</v>
      </c>
      <c r="M79" s="973" t="s">
        <v>2000</v>
      </c>
      <c r="N79" s="973" t="s">
        <v>2001</v>
      </c>
      <c r="O79" s="972" t="s">
        <v>1971</v>
      </c>
      <c r="P79" s="973" t="s">
        <v>999</v>
      </c>
      <c r="Q79" s="973" t="s">
        <v>1000</v>
      </c>
      <c r="R79" s="973" t="s">
        <v>1001</v>
      </c>
      <c r="S79" s="973" t="s">
        <v>1002</v>
      </c>
      <c r="T79" s="423">
        <v>200</v>
      </c>
      <c r="U79" s="423">
        <v>10</v>
      </c>
      <c r="V79" s="423">
        <v>75</v>
      </c>
      <c r="W79" s="423">
        <v>1.5</v>
      </c>
      <c r="X79" s="423">
        <v>15</v>
      </c>
      <c r="Y79" s="423" t="s">
        <v>2003</v>
      </c>
      <c r="Z79" s="423" t="s">
        <v>2068</v>
      </c>
      <c r="AD79" s="423">
        <f>IF(ISNUMBER(MATCH(B79,'FICHA SOLIC'!$AB$26:$AB$376,0)),1,0)</f>
        <v>1</v>
      </c>
      <c r="AE79" s="423" t="str">
        <f t="shared" si="1"/>
        <v>AntofagastaC4</v>
      </c>
    </row>
    <row r="80" spans="1:31" x14ac:dyDescent="0.25">
      <c r="A80" s="423">
        <v>79</v>
      </c>
      <c r="B80" s="423" t="s">
        <v>90</v>
      </c>
      <c r="C80" s="423" t="s">
        <v>2073</v>
      </c>
      <c r="D80" s="972" t="s">
        <v>990</v>
      </c>
      <c r="E80" s="973" t="s">
        <v>991</v>
      </c>
      <c r="F80" s="973" t="s">
        <v>992</v>
      </c>
      <c r="G80" s="973" t="s">
        <v>1997</v>
      </c>
      <c r="H80" s="973" t="s">
        <v>1998</v>
      </c>
      <c r="I80" s="973" t="s">
        <v>1999</v>
      </c>
      <c r="J80" s="972" t="s">
        <v>697</v>
      </c>
      <c r="K80" s="973" t="s">
        <v>995</v>
      </c>
      <c r="L80" s="973" t="s">
        <v>996</v>
      </c>
      <c r="M80" s="973" t="s">
        <v>2000</v>
      </c>
      <c r="N80" s="973" t="s">
        <v>2001</v>
      </c>
      <c r="O80" s="972" t="s">
        <v>1971</v>
      </c>
      <c r="P80" s="973" t="s">
        <v>999</v>
      </c>
      <c r="Q80" s="973" t="s">
        <v>1000</v>
      </c>
      <c r="R80" s="973" t="s">
        <v>1001</v>
      </c>
      <c r="S80" s="973" t="s">
        <v>1002</v>
      </c>
      <c r="T80" s="423">
        <v>100</v>
      </c>
      <c r="U80" s="423">
        <v>5</v>
      </c>
      <c r="V80" s="423">
        <v>85</v>
      </c>
      <c r="W80" s="423">
        <v>2</v>
      </c>
      <c r="X80" s="423">
        <v>15</v>
      </c>
      <c r="Y80" s="423" t="s">
        <v>2003</v>
      </c>
      <c r="Z80" s="423" t="s">
        <v>2068</v>
      </c>
      <c r="AD80" s="423">
        <f>IF(ISNUMBER(MATCH(B80,'FICHA SOLIC'!$AB$26:$AB$376,0)),1,0)</f>
        <v>1</v>
      </c>
      <c r="AE80" s="423" t="str">
        <f t="shared" si="1"/>
        <v>AntofagastaC5</v>
      </c>
    </row>
    <row r="81" spans="1:31" x14ac:dyDescent="0.25">
      <c r="A81" s="423">
        <v>80</v>
      </c>
      <c r="B81" s="423" t="s">
        <v>90</v>
      </c>
      <c r="C81" s="423" t="s">
        <v>2074</v>
      </c>
      <c r="D81" s="972" t="s">
        <v>990</v>
      </c>
      <c r="E81" s="973" t="s">
        <v>991</v>
      </c>
      <c r="F81" s="973" t="s">
        <v>992</v>
      </c>
      <c r="G81" s="973" t="s">
        <v>1997</v>
      </c>
      <c r="H81" s="973" t="s">
        <v>1998</v>
      </c>
      <c r="I81" s="973" t="s">
        <v>1999</v>
      </c>
      <c r="J81" s="972" t="s">
        <v>697</v>
      </c>
      <c r="K81" s="973" t="s">
        <v>995</v>
      </c>
      <c r="L81" s="973" t="s">
        <v>996</v>
      </c>
      <c r="M81" s="973" t="s">
        <v>2000</v>
      </c>
      <c r="N81" s="973" t="s">
        <v>2001</v>
      </c>
      <c r="O81" s="972" t="s">
        <v>1971</v>
      </c>
      <c r="P81" s="973" t="s">
        <v>999</v>
      </c>
      <c r="Q81" s="973" t="s">
        <v>1000</v>
      </c>
      <c r="R81" s="973" t="s">
        <v>1001</v>
      </c>
      <c r="S81" s="973" t="s">
        <v>1002</v>
      </c>
      <c r="T81" s="423">
        <v>100</v>
      </c>
      <c r="U81" s="423">
        <v>5</v>
      </c>
      <c r="V81" s="423">
        <v>85</v>
      </c>
      <c r="W81" s="423">
        <v>1</v>
      </c>
      <c r="X81" s="423">
        <v>8.5</v>
      </c>
      <c r="Y81" s="423" t="s">
        <v>2003</v>
      </c>
      <c r="Z81" s="423" t="s">
        <v>2068</v>
      </c>
      <c r="AD81" s="423">
        <f>IF(ISNUMBER(MATCH(B81,'FICHA SOLIC'!$AB$26:$AB$376,0)),1,0)</f>
        <v>1</v>
      </c>
      <c r="AE81" s="423" t="str">
        <f t="shared" si="1"/>
        <v>AntofagastaC6</v>
      </c>
    </row>
    <row r="82" spans="1:31" x14ac:dyDescent="0.25">
      <c r="A82" s="423">
        <v>81</v>
      </c>
      <c r="B82" s="423" t="s">
        <v>90</v>
      </c>
      <c r="C82" s="423" t="s">
        <v>2075</v>
      </c>
      <c r="D82" s="972" t="s">
        <v>990</v>
      </c>
      <c r="E82" s="973" t="s">
        <v>991</v>
      </c>
      <c r="F82" s="973" t="s">
        <v>992</v>
      </c>
      <c r="G82" s="973" t="s">
        <v>1997</v>
      </c>
      <c r="H82" s="973" t="s">
        <v>1998</v>
      </c>
      <c r="I82" s="973" t="s">
        <v>1999</v>
      </c>
      <c r="J82" s="972" t="s">
        <v>697</v>
      </c>
      <c r="K82" s="973" t="s">
        <v>995</v>
      </c>
      <c r="L82" s="973" t="s">
        <v>996</v>
      </c>
      <c r="M82" s="973" t="s">
        <v>2000</v>
      </c>
      <c r="N82" s="973" t="s">
        <v>2001</v>
      </c>
      <c r="O82" s="972" t="s">
        <v>1971</v>
      </c>
      <c r="P82" s="973" t="s">
        <v>999</v>
      </c>
      <c r="Q82" s="973" t="s">
        <v>1000</v>
      </c>
      <c r="R82" s="973" t="s">
        <v>1001</v>
      </c>
      <c r="S82" s="973" t="s">
        <v>1002</v>
      </c>
      <c r="T82" s="423">
        <v>800</v>
      </c>
      <c r="U82" s="423">
        <v>20</v>
      </c>
      <c r="V82" s="423">
        <v>60</v>
      </c>
      <c r="W82" s="423">
        <v>1.2</v>
      </c>
      <c r="Y82" s="423" t="s">
        <v>2003</v>
      </c>
      <c r="Z82" s="423" t="s">
        <v>1058</v>
      </c>
      <c r="AD82" s="423">
        <f>IF(ISNUMBER(MATCH(B82,'FICHA SOLIC'!$AB$26:$AB$376,0)),1,0)</f>
        <v>1</v>
      </c>
      <c r="AE82" s="423" t="str">
        <f t="shared" si="1"/>
        <v>AntofagastaC7</v>
      </c>
    </row>
    <row r="83" spans="1:31" x14ac:dyDescent="0.25">
      <c r="A83" s="423">
        <v>82</v>
      </c>
      <c r="B83" s="423" t="s">
        <v>90</v>
      </c>
      <c r="C83" s="423" t="s">
        <v>2076</v>
      </c>
      <c r="D83" s="972" t="s">
        <v>990</v>
      </c>
      <c r="E83" s="973" t="s">
        <v>991</v>
      </c>
      <c r="F83" s="973" t="s">
        <v>992</v>
      </c>
      <c r="G83" s="973" t="s">
        <v>1997</v>
      </c>
      <c r="H83" s="973" t="s">
        <v>1998</v>
      </c>
      <c r="I83" s="973" t="s">
        <v>1999</v>
      </c>
      <c r="J83" s="972" t="s">
        <v>697</v>
      </c>
      <c r="K83" s="973" t="s">
        <v>995</v>
      </c>
      <c r="L83" s="973" t="s">
        <v>996</v>
      </c>
      <c r="M83" s="973" t="s">
        <v>2000</v>
      </c>
      <c r="N83" s="973" t="s">
        <v>2001</v>
      </c>
      <c r="O83" s="972" t="s">
        <v>1971</v>
      </c>
      <c r="P83" s="973" t="s">
        <v>999</v>
      </c>
      <c r="Q83" s="973" t="s">
        <v>1000</v>
      </c>
      <c r="R83" s="973" t="s">
        <v>1001</v>
      </c>
      <c r="S83" s="973" t="s">
        <v>1002</v>
      </c>
      <c r="T83" s="423" t="s">
        <v>2077</v>
      </c>
      <c r="AD83" s="423">
        <f>IF(ISNUMBER(MATCH(B83,'FICHA SOLIC'!$AB$26:$AB$376,0)),1,0)</f>
        <v>1</v>
      </c>
      <c r="AE83" s="423" t="str">
        <f t="shared" si="1"/>
        <v>AntofagastaC7a</v>
      </c>
    </row>
    <row r="84" spans="1:31" x14ac:dyDescent="0.25">
      <c r="A84" s="423">
        <v>83</v>
      </c>
      <c r="B84" s="423" t="s">
        <v>90</v>
      </c>
      <c r="C84" s="423" t="s">
        <v>2078</v>
      </c>
      <c r="D84" s="972" t="s">
        <v>990</v>
      </c>
      <c r="E84" s="973" t="s">
        <v>991</v>
      </c>
      <c r="F84" s="973" t="s">
        <v>992</v>
      </c>
      <c r="G84" s="973" t="s">
        <v>1997</v>
      </c>
      <c r="H84" s="973" t="s">
        <v>1998</v>
      </c>
      <c r="I84" s="973" t="s">
        <v>1999</v>
      </c>
      <c r="J84" s="972" t="s">
        <v>697</v>
      </c>
      <c r="K84" s="973" t="s">
        <v>995</v>
      </c>
      <c r="L84" s="973" t="s">
        <v>996</v>
      </c>
      <c r="M84" s="973" t="s">
        <v>2000</v>
      </c>
      <c r="N84" s="973" t="s">
        <v>2001</v>
      </c>
      <c r="O84" s="972" t="s">
        <v>1971</v>
      </c>
      <c r="P84" s="973" t="s">
        <v>999</v>
      </c>
      <c r="Q84" s="973" t="s">
        <v>1000</v>
      </c>
      <c r="R84" s="973" t="s">
        <v>1001</v>
      </c>
      <c r="S84" s="973" t="s">
        <v>1002</v>
      </c>
      <c r="T84" s="423">
        <v>240</v>
      </c>
      <c r="U84" s="423">
        <v>8</v>
      </c>
      <c r="V84" s="423">
        <v>60</v>
      </c>
      <c r="W84" s="423">
        <v>2.4</v>
      </c>
      <c r="X84" s="423">
        <v>15</v>
      </c>
      <c r="Y84" s="423" t="s">
        <v>2003</v>
      </c>
      <c r="Z84" s="423" t="s">
        <v>1057</v>
      </c>
      <c r="AD84" s="423">
        <f>IF(ISNUMBER(MATCH(B84,'FICHA SOLIC'!$AB$26:$AB$376,0)),1,0)</f>
        <v>1</v>
      </c>
      <c r="AE84" s="423" t="str">
        <f t="shared" si="1"/>
        <v>AntofagastaC8</v>
      </c>
    </row>
    <row r="85" spans="1:31" x14ac:dyDescent="0.25">
      <c r="A85" s="423">
        <v>84</v>
      </c>
      <c r="B85" s="423" t="s">
        <v>90</v>
      </c>
      <c r="C85" s="423" t="s">
        <v>2079</v>
      </c>
      <c r="D85" s="972" t="s">
        <v>990</v>
      </c>
      <c r="E85" s="973" t="s">
        <v>991</v>
      </c>
      <c r="F85" s="973" t="s">
        <v>992</v>
      </c>
      <c r="G85" s="973" t="s">
        <v>1997</v>
      </c>
      <c r="H85" s="973" t="s">
        <v>1998</v>
      </c>
      <c r="I85" s="973" t="s">
        <v>1999</v>
      </c>
      <c r="J85" s="972" t="s">
        <v>697</v>
      </c>
      <c r="K85" s="973" t="s">
        <v>995</v>
      </c>
      <c r="L85" s="973" t="s">
        <v>996</v>
      </c>
      <c r="M85" s="973" t="s">
        <v>2000</v>
      </c>
      <c r="N85" s="973" t="s">
        <v>2001</v>
      </c>
      <c r="O85" s="972" t="s">
        <v>1971</v>
      </c>
      <c r="P85" s="973" t="s">
        <v>999</v>
      </c>
      <c r="Q85" s="973" t="s">
        <v>1000</v>
      </c>
      <c r="R85" s="973" t="s">
        <v>1001</v>
      </c>
      <c r="S85" s="973" t="s">
        <v>1002</v>
      </c>
      <c r="T85" s="423">
        <v>400</v>
      </c>
      <c r="U85" s="423">
        <v>14</v>
      </c>
      <c r="V85" s="423">
        <v>40</v>
      </c>
      <c r="W85" s="423">
        <v>1</v>
      </c>
      <c r="X85" s="423">
        <v>8.5</v>
      </c>
      <c r="Y85" s="423" t="s">
        <v>2003</v>
      </c>
      <c r="Z85" s="423" t="s">
        <v>1057</v>
      </c>
      <c r="AD85" s="423">
        <f>IF(ISNUMBER(MATCH(B85,'FICHA SOLIC'!$AB$26:$AB$376,0)),1,0)</f>
        <v>1</v>
      </c>
      <c r="AE85" s="423" t="str">
        <f t="shared" si="1"/>
        <v>AntofagastaC9</v>
      </c>
    </row>
    <row r="86" spans="1:31" x14ac:dyDescent="0.25">
      <c r="A86" s="423">
        <v>85</v>
      </c>
      <c r="B86" s="423" t="s">
        <v>90</v>
      </c>
      <c r="C86" s="423" t="s">
        <v>1492</v>
      </c>
      <c r="D86" s="972" t="s">
        <v>990</v>
      </c>
      <c r="E86" s="973" t="s">
        <v>991</v>
      </c>
      <c r="F86" s="973" t="s">
        <v>992</v>
      </c>
      <c r="G86" s="973" t="s">
        <v>1997</v>
      </c>
      <c r="H86" s="973" t="s">
        <v>1998</v>
      </c>
      <c r="I86" s="973" t="s">
        <v>1999</v>
      </c>
      <c r="J86" s="972" t="s">
        <v>697</v>
      </c>
      <c r="K86" s="973" t="s">
        <v>995</v>
      </c>
      <c r="L86" s="973" t="s">
        <v>996</v>
      </c>
      <c r="M86" s="973" t="s">
        <v>2000</v>
      </c>
      <c r="N86" s="973" t="s">
        <v>2001</v>
      </c>
      <c r="O86" s="972" t="s">
        <v>1971</v>
      </c>
      <c r="P86" s="973" t="s">
        <v>999</v>
      </c>
      <c r="Q86" s="973" t="s">
        <v>1000</v>
      </c>
      <c r="R86" s="973" t="s">
        <v>1001</v>
      </c>
      <c r="S86" s="973" t="s">
        <v>1002</v>
      </c>
      <c r="T86" s="423">
        <v>300</v>
      </c>
      <c r="U86" s="423">
        <v>12</v>
      </c>
      <c r="V86" s="423" t="s">
        <v>2065</v>
      </c>
      <c r="X86" s="423">
        <v>16</v>
      </c>
      <c r="Z86" s="423" t="s">
        <v>1096</v>
      </c>
      <c r="AD86" s="423">
        <f>IF(ISNUMBER(MATCH(B86,'FICHA SOLIC'!$AB$26:$AB$376,0)),1,0)</f>
        <v>1</v>
      </c>
      <c r="AE86" s="423" t="str">
        <f t="shared" si="1"/>
        <v>AntofagastaCC</v>
      </c>
    </row>
    <row r="87" spans="1:31" x14ac:dyDescent="0.25">
      <c r="A87" s="423">
        <v>86</v>
      </c>
      <c r="B87" s="423" t="s">
        <v>90</v>
      </c>
      <c r="C87" s="423" t="s">
        <v>1426</v>
      </c>
      <c r="D87" s="972" t="s">
        <v>990</v>
      </c>
      <c r="E87" s="973" t="s">
        <v>991</v>
      </c>
      <c r="F87" s="973" t="s">
        <v>992</v>
      </c>
      <c r="G87" s="973" t="s">
        <v>1997</v>
      </c>
      <c r="H87" s="973" t="s">
        <v>1998</v>
      </c>
      <c r="I87" s="973" t="s">
        <v>1999</v>
      </c>
      <c r="J87" s="972" t="s">
        <v>697</v>
      </c>
      <c r="K87" s="973" t="s">
        <v>995</v>
      </c>
      <c r="L87" s="973" t="s">
        <v>996</v>
      </c>
      <c r="M87" s="973" t="s">
        <v>2000</v>
      </c>
      <c r="N87" s="973" t="s">
        <v>2001</v>
      </c>
      <c r="O87" s="972" t="s">
        <v>1971</v>
      </c>
      <c r="P87" s="973" t="s">
        <v>999</v>
      </c>
      <c r="Q87" s="973" t="s">
        <v>1000</v>
      </c>
      <c r="R87" s="973" t="s">
        <v>1001</v>
      </c>
      <c r="S87" s="973" t="s">
        <v>1002</v>
      </c>
      <c r="T87" s="423">
        <v>2500</v>
      </c>
      <c r="U87" s="423">
        <v>25</v>
      </c>
      <c r="V87" s="423">
        <v>5</v>
      </c>
      <c r="W87" s="423">
        <v>0.1</v>
      </c>
      <c r="X87" s="423">
        <v>8.5</v>
      </c>
      <c r="Z87" s="423" t="s">
        <v>1058</v>
      </c>
      <c r="AD87" s="423">
        <f>IF(ISNUMBER(MATCH(B87,'FICHA SOLIC'!$AB$26:$AB$376,0)),1,0)</f>
        <v>1</v>
      </c>
      <c r="AE87" s="423" t="str">
        <f t="shared" si="1"/>
        <v>AntofagastaE1</v>
      </c>
    </row>
    <row r="88" spans="1:31" x14ac:dyDescent="0.25">
      <c r="A88" s="423">
        <v>87</v>
      </c>
      <c r="B88" s="423" t="s">
        <v>90</v>
      </c>
      <c r="C88" s="423" t="s">
        <v>2080</v>
      </c>
      <c r="D88" s="972" t="s">
        <v>990</v>
      </c>
      <c r="E88" s="973" t="s">
        <v>991</v>
      </c>
      <c r="F88" s="973" t="s">
        <v>992</v>
      </c>
      <c r="G88" s="973" t="s">
        <v>1997</v>
      </c>
      <c r="H88" s="973" t="s">
        <v>1998</v>
      </c>
      <c r="I88" s="973" t="s">
        <v>1999</v>
      </c>
      <c r="J88" s="972" t="s">
        <v>697</v>
      </c>
      <c r="K88" s="973" t="s">
        <v>995</v>
      </c>
      <c r="L88" s="973" t="s">
        <v>996</v>
      </c>
      <c r="M88" s="973" t="s">
        <v>2000</v>
      </c>
      <c r="N88" s="973" t="s">
        <v>2001</v>
      </c>
      <c r="O88" s="972" t="s">
        <v>1971</v>
      </c>
      <c r="P88" s="973" t="s">
        <v>999</v>
      </c>
      <c r="Q88" s="973" t="s">
        <v>1000</v>
      </c>
      <c r="R88" s="973" t="s">
        <v>1001</v>
      </c>
      <c r="S88" s="973" t="s">
        <v>1002</v>
      </c>
      <c r="T88" s="423">
        <v>1000</v>
      </c>
      <c r="U88" s="423">
        <v>20</v>
      </c>
      <c r="X88" s="423">
        <v>15</v>
      </c>
      <c r="Z88" s="423" t="s">
        <v>1058</v>
      </c>
      <c r="AD88" s="423">
        <f>IF(ISNUMBER(MATCH(B88,'FICHA SOLIC'!$AB$26:$AB$376,0)),1,0)</f>
        <v>1</v>
      </c>
      <c r="AE88" s="423" t="str">
        <f t="shared" si="1"/>
        <v>AntofagastaE14</v>
      </c>
    </row>
    <row r="89" spans="1:31" x14ac:dyDescent="0.25">
      <c r="A89" s="423">
        <v>88</v>
      </c>
      <c r="B89" s="423" t="s">
        <v>90</v>
      </c>
      <c r="C89" s="423" t="s">
        <v>2081</v>
      </c>
      <c r="D89" s="972" t="s">
        <v>990</v>
      </c>
      <c r="E89" s="973" t="s">
        <v>991</v>
      </c>
      <c r="F89" s="973" t="s">
        <v>992</v>
      </c>
      <c r="G89" s="973" t="s">
        <v>1997</v>
      </c>
      <c r="H89" s="973" t="s">
        <v>1998</v>
      </c>
      <c r="I89" s="973" t="s">
        <v>1999</v>
      </c>
      <c r="J89" s="972" t="s">
        <v>697</v>
      </c>
      <c r="K89" s="973" t="s">
        <v>995</v>
      </c>
      <c r="L89" s="973" t="s">
        <v>996</v>
      </c>
      <c r="M89" s="973" t="s">
        <v>2000</v>
      </c>
      <c r="N89" s="973" t="s">
        <v>2001</v>
      </c>
      <c r="O89" s="972" t="s">
        <v>1971</v>
      </c>
      <c r="P89" s="973" t="s">
        <v>999</v>
      </c>
      <c r="Q89" s="973" t="s">
        <v>1000</v>
      </c>
      <c r="R89" s="973" t="s">
        <v>1001</v>
      </c>
      <c r="S89" s="973" t="s">
        <v>1002</v>
      </c>
      <c r="T89" s="423">
        <v>10000</v>
      </c>
      <c r="V89" s="423">
        <v>10</v>
      </c>
      <c r="W89" s="423">
        <v>0.3</v>
      </c>
      <c r="X89" s="423">
        <v>8.5</v>
      </c>
      <c r="Z89" s="423" t="s">
        <v>1058</v>
      </c>
      <c r="AD89" s="423">
        <f>IF(ISNUMBER(MATCH(B89,'FICHA SOLIC'!$AB$26:$AB$376,0)),1,0)</f>
        <v>1</v>
      </c>
      <c r="AE89" s="423" t="str">
        <f t="shared" si="1"/>
        <v>AntofagastaE3b</v>
      </c>
    </row>
    <row r="90" spans="1:31" x14ac:dyDescent="0.25">
      <c r="A90" s="423">
        <v>89</v>
      </c>
      <c r="B90" s="423" t="s">
        <v>90</v>
      </c>
      <c r="C90" s="423" t="s">
        <v>2082</v>
      </c>
      <c r="D90" s="972" t="s">
        <v>990</v>
      </c>
      <c r="E90" s="973" t="s">
        <v>991</v>
      </c>
      <c r="F90" s="973" t="s">
        <v>992</v>
      </c>
      <c r="G90" s="973" t="s">
        <v>1997</v>
      </c>
      <c r="H90" s="973" t="s">
        <v>1998</v>
      </c>
      <c r="I90" s="973" t="s">
        <v>1999</v>
      </c>
      <c r="J90" s="972" t="s">
        <v>697</v>
      </c>
      <c r="K90" s="973" t="s">
        <v>995</v>
      </c>
      <c r="L90" s="973" t="s">
        <v>996</v>
      </c>
      <c r="M90" s="973" t="s">
        <v>2000</v>
      </c>
      <c r="N90" s="973" t="s">
        <v>2001</v>
      </c>
      <c r="O90" s="972" t="s">
        <v>1971</v>
      </c>
      <c r="P90" s="973" t="s">
        <v>999</v>
      </c>
      <c r="Q90" s="973" t="s">
        <v>1000</v>
      </c>
      <c r="R90" s="973" t="s">
        <v>1001</v>
      </c>
      <c r="S90" s="973" t="s">
        <v>1002</v>
      </c>
      <c r="T90" s="423">
        <v>5000</v>
      </c>
      <c r="U90" s="423">
        <v>50</v>
      </c>
      <c r="V90" s="423">
        <v>5</v>
      </c>
      <c r="W90" s="423">
        <v>0.05</v>
      </c>
      <c r="X90" s="423">
        <v>5</v>
      </c>
      <c r="Z90" s="423" t="s">
        <v>1058</v>
      </c>
      <c r="AD90" s="423">
        <f>IF(ISNUMBER(MATCH(B90,'FICHA SOLIC'!$AB$26:$AB$376,0)),1,0)</f>
        <v>1</v>
      </c>
      <c r="AE90" s="423" t="str">
        <f t="shared" si="1"/>
        <v>AntofagastaE4a</v>
      </c>
    </row>
    <row r="91" spans="1:31" x14ac:dyDescent="0.25">
      <c r="A91" s="423">
        <v>90</v>
      </c>
      <c r="B91" s="423" t="s">
        <v>90</v>
      </c>
      <c r="C91" s="423" t="s">
        <v>2083</v>
      </c>
      <c r="D91" s="972" t="s">
        <v>990</v>
      </c>
      <c r="E91" s="973" t="s">
        <v>991</v>
      </c>
      <c r="F91" s="973" t="s">
        <v>992</v>
      </c>
      <c r="G91" s="973" t="s">
        <v>1997</v>
      </c>
      <c r="H91" s="973" t="s">
        <v>1998</v>
      </c>
      <c r="I91" s="973" t="s">
        <v>1999</v>
      </c>
      <c r="J91" s="972" t="s">
        <v>697</v>
      </c>
      <c r="K91" s="973" t="s">
        <v>995</v>
      </c>
      <c r="L91" s="973" t="s">
        <v>996</v>
      </c>
      <c r="M91" s="973" t="s">
        <v>2000</v>
      </c>
      <c r="N91" s="973" t="s">
        <v>2001</v>
      </c>
      <c r="O91" s="972" t="s">
        <v>1971</v>
      </c>
      <c r="P91" s="973" t="s">
        <v>999</v>
      </c>
      <c r="Q91" s="973" t="s">
        <v>1000</v>
      </c>
      <c r="R91" s="973" t="s">
        <v>1001</v>
      </c>
      <c r="S91" s="973" t="s">
        <v>1002</v>
      </c>
      <c r="T91" s="423">
        <v>1000</v>
      </c>
      <c r="U91" s="423">
        <v>25</v>
      </c>
      <c r="V91" s="423">
        <v>40</v>
      </c>
      <c r="X91" s="423">
        <v>21.5</v>
      </c>
      <c r="Z91" s="423" t="s">
        <v>1058</v>
      </c>
      <c r="AD91" s="423">
        <f>IF(ISNUMBER(MATCH(B91,'FICHA SOLIC'!$AB$26:$AB$376,0)),1,0)</f>
        <v>1</v>
      </c>
      <c r="AE91" s="423" t="str">
        <f t="shared" si="1"/>
        <v>AntofagastaE4b</v>
      </c>
    </row>
    <row r="92" spans="1:31" x14ac:dyDescent="0.25">
      <c r="A92" s="423">
        <v>91</v>
      </c>
      <c r="B92" s="423" t="s">
        <v>90</v>
      </c>
      <c r="C92" s="423" t="s">
        <v>2084</v>
      </c>
      <c r="D92" s="972" t="s">
        <v>990</v>
      </c>
      <c r="E92" s="973" t="s">
        <v>991</v>
      </c>
      <c r="F92" s="973" t="s">
        <v>992</v>
      </c>
      <c r="G92" s="973" t="s">
        <v>1997</v>
      </c>
      <c r="H92" s="973" t="s">
        <v>1998</v>
      </c>
      <c r="I92" s="973" t="s">
        <v>1999</v>
      </c>
      <c r="J92" s="972" t="s">
        <v>697</v>
      </c>
      <c r="K92" s="973" t="s">
        <v>995</v>
      </c>
      <c r="L92" s="973" t="s">
        <v>996</v>
      </c>
      <c r="M92" s="973" t="s">
        <v>2000</v>
      </c>
      <c r="N92" s="973" t="s">
        <v>2001</v>
      </c>
      <c r="O92" s="972" t="s">
        <v>1971</v>
      </c>
      <c r="P92" s="973" t="s">
        <v>999</v>
      </c>
      <c r="Q92" s="973" t="s">
        <v>1000</v>
      </c>
      <c r="R92" s="973" t="s">
        <v>1001</v>
      </c>
      <c r="S92" s="973" t="s">
        <v>1002</v>
      </c>
      <c r="T92" s="423">
        <v>2500</v>
      </c>
      <c r="U92" s="423">
        <v>50</v>
      </c>
      <c r="V92" s="423">
        <v>10</v>
      </c>
      <c r="W92" s="423">
        <v>0.1</v>
      </c>
      <c r="X92" s="423">
        <v>7</v>
      </c>
      <c r="Z92" s="423" t="s">
        <v>1058</v>
      </c>
      <c r="AD92" s="423">
        <f>IF(ISNUMBER(MATCH(B92,'FICHA SOLIC'!$AB$26:$AB$376,0)),1,0)</f>
        <v>1</v>
      </c>
      <c r="AE92" s="423" t="str">
        <f t="shared" si="1"/>
        <v>AntofagastaE4c</v>
      </c>
    </row>
    <row r="93" spans="1:31" x14ac:dyDescent="0.25">
      <c r="A93" s="423">
        <v>92</v>
      </c>
      <c r="B93" s="423" t="s">
        <v>90</v>
      </c>
      <c r="C93" s="423" t="s">
        <v>2085</v>
      </c>
      <c r="D93" s="972" t="s">
        <v>990</v>
      </c>
      <c r="E93" s="973" t="s">
        <v>991</v>
      </c>
      <c r="F93" s="973" t="s">
        <v>992</v>
      </c>
      <c r="G93" s="973" t="s">
        <v>1997</v>
      </c>
      <c r="H93" s="973" t="s">
        <v>1998</v>
      </c>
      <c r="I93" s="973" t="s">
        <v>1999</v>
      </c>
      <c r="J93" s="972" t="s">
        <v>697</v>
      </c>
      <c r="K93" s="973" t="s">
        <v>995</v>
      </c>
      <c r="L93" s="973" t="s">
        <v>996</v>
      </c>
      <c r="M93" s="973" t="s">
        <v>2000</v>
      </c>
      <c r="N93" s="973" t="s">
        <v>2001</v>
      </c>
      <c r="O93" s="972" t="s">
        <v>1971</v>
      </c>
      <c r="P93" s="973" t="s">
        <v>999</v>
      </c>
      <c r="Q93" s="973" t="s">
        <v>1000</v>
      </c>
      <c r="R93" s="973" t="s">
        <v>1001</v>
      </c>
      <c r="S93" s="973" t="s">
        <v>1002</v>
      </c>
      <c r="T93" s="423">
        <v>5000</v>
      </c>
      <c r="U93" s="423">
        <v>50</v>
      </c>
      <c r="V93" s="423">
        <v>5</v>
      </c>
      <c r="W93" s="423">
        <v>0.05</v>
      </c>
      <c r="X93" s="423">
        <v>5</v>
      </c>
      <c r="Z93" s="423" t="s">
        <v>1058</v>
      </c>
      <c r="AD93" s="423">
        <f>IF(ISNUMBER(MATCH(B93,'FICHA SOLIC'!$AB$26:$AB$376,0)),1,0)</f>
        <v>1</v>
      </c>
      <c r="AE93" s="423" t="str">
        <f t="shared" si="1"/>
        <v>AntofagastaE4d</v>
      </c>
    </row>
    <row r="94" spans="1:31" x14ac:dyDescent="0.25">
      <c r="A94" s="423">
        <v>93</v>
      </c>
      <c r="B94" s="423" t="s">
        <v>90</v>
      </c>
      <c r="C94" s="423" t="s">
        <v>2086</v>
      </c>
      <c r="D94" s="972" t="s">
        <v>990</v>
      </c>
      <c r="E94" s="973" t="s">
        <v>991</v>
      </c>
      <c r="F94" s="973" t="s">
        <v>992</v>
      </c>
      <c r="G94" s="973" t="s">
        <v>1997</v>
      </c>
      <c r="H94" s="973" t="s">
        <v>1998</v>
      </c>
      <c r="I94" s="973" t="s">
        <v>1999</v>
      </c>
      <c r="J94" s="972" t="s">
        <v>697</v>
      </c>
      <c r="K94" s="973" t="s">
        <v>995</v>
      </c>
      <c r="L94" s="973" t="s">
        <v>996</v>
      </c>
      <c r="M94" s="973" t="s">
        <v>2000</v>
      </c>
      <c r="N94" s="973" t="s">
        <v>2001</v>
      </c>
      <c r="O94" s="972" t="s">
        <v>1971</v>
      </c>
      <c r="P94" s="973" t="s">
        <v>999</v>
      </c>
      <c r="Q94" s="973" t="s">
        <v>1000</v>
      </c>
      <c r="R94" s="973" t="s">
        <v>1001</v>
      </c>
      <c r="S94" s="973" t="s">
        <v>1002</v>
      </c>
      <c r="T94" s="423">
        <v>200</v>
      </c>
      <c r="V94" s="423">
        <v>0.6</v>
      </c>
      <c r="W94" s="423">
        <v>1.5</v>
      </c>
      <c r="X94" s="423">
        <v>7</v>
      </c>
      <c r="Z94" s="423" t="s">
        <v>1058</v>
      </c>
      <c r="AD94" s="423">
        <f>IF(ISNUMBER(MATCH(B94,'FICHA SOLIC'!$AB$26:$AB$376,0)),1,0)</f>
        <v>1</v>
      </c>
      <c r="AE94" s="423" t="str">
        <f t="shared" si="1"/>
        <v>AntofagastaU1</v>
      </c>
    </row>
    <row r="95" spans="1:31" x14ac:dyDescent="0.25">
      <c r="A95" s="423">
        <v>94</v>
      </c>
      <c r="B95" s="423" t="s">
        <v>90</v>
      </c>
      <c r="C95" s="423" t="s">
        <v>2087</v>
      </c>
      <c r="D95" s="972" t="s">
        <v>990</v>
      </c>
      <c r="E95" s="973" t="s">
        <v>991</v>
      </c>
      <c r="F95" s="973" t="s">
        <v>992</v>
      </c>
      <c r="G95" s="973" t="s">
        <v>1997</v>
      </c>
      <c r="H95" s="973" t="s">
        <v>1998</v>
      </c>
      <c r="I95" s="973" t="s">
        <v>1999</v>
      </c>
      <c r="J95" s="972" t="s">
        <v>697</v>
      </c>
      <c r="K95" s="973" t="s">
        <v>995</v>
      </c>
      <c r="L95" s="973" t="s">
        <v>996</v>
      </c>
      <c r="M95" s="973" t="s">
        <v>2000</v>
      </c>
      <c r="N95" s="973" t="s">
        <v>2001</v>
      </c>
      <c r="O95" s="972" t="s">
        <v>1971</v>
      </c>
      <c r="P95" s="973" t="s">
        <v>999</v>
      </c>
      <c r="Q95" s="973" t="s">
        <v>1000</v>
      </c>
      <c r="R95" s="973" t="s">
        <v>1001</v>
      </c>
      <c r="S95" s="973" t="s">
        <v>1002</v>
      </c>
      <c r="AD95" s="423">
        <f>IF(ISNUMBER(MATCH(B95,'FICHA SOLIC'!$AB$26:$AB$376,0)),1,0)</f>
        <v>1</v>
      </c>
      <c r="AE95" s="423" t="str">
        <f t="shared" si="1"/>
        <v>AntofagastaU2</v>
      </c>
    </row>
    <row r="96" spans="1:31" x14ac:dyDescent="0.25">
      <c r="A96" s="423">
        <v>95</v>
      </c>
      <c r="B96" s="423" t="s">
        <v>90</v>
      </c>
      <c r="C96" s="423" t="s">
        <v>2088</v>
      </c>
      <c r="D96" s="972" t="s">
        <v>990</v>
      </c>
      <c r="E96" s="973" t="s">
        <v>991</v>
      </c>
      <c r="F96" s="973" t="s">
        <v>992</v>
      </c>
      <c r="G96" s="973" t="s">
        <v>1997</v>
      </c>
      <c r="H96" s="973" t="s">
        <v>1998</v>
      </c>
      <c r="I96" s="973" t="s">
        <v>1999</v>
      </c>
      <c r="J96" s="972" t="s">
        <v>697</v>
      </c>
      <c r="K96" s="973" t="s">
        <v>995</v>
      </c>
      <c r="L96" s="973" t="s">
        <v>996</v>
      </c>
      <c r="M96" s="973" t="s">
        <v>2000</v>
      </c>
      <c r="N96" s="973" t="s">
        <v>2001</v>
      </c>
      <c r="O96" s="972" t="s">
        <v>1971</v>
      </c>
      <c r="P96" s="973" t="s">
        <v>999</v>
      </c>
      <c r="Q96" s="973" t="s">
        <v>1000</v>
      </c>
      <c r="R96" s="973" t="s">
        <v>1001</v>
      </c>
      <c r="S96" s="973" t="s">
        <v>1002</v>
      </c>
      <c r="T96" s="423">
        <v>2500</v>
      </c>
      <c r="U96" s="423">
        <v>25</v>
      </c>
      <c r="V96" s="423">
        <v>50</v>
      </c>
      <c r="W96" s="423">
        <v>1</v>
      </c>
      <c r="Z96" s="423" t="s">
        <v>1058</v>
      </c>
      <c r="AD96" s="423">
        <f>IF(ISNUMBER(MATCH(B96,'FICHA SOLIC'!$AB$26:$AB$376,0)),1,0)</f>
        <v>1</v>
      </c>
      <c r="AE96" s="423" t="str">
        <f t="shared" si="1"/>
        <v>AntofagastaU4</v>
      </c>
    </row>
    <row r="97" spans="1:31" x14ac:dyDescent="0.25">
      <c r="A97" s="423">
        <v>96</v>
      </c>
      <c r="B97" s="423" t="s">
        <v>262</v>
      </c>
      <c r="C97" s="423" t="s">
        <v>1041</v>
      </c>
      <c r="D97" s="972" t="s">
        <v>990</v>
      </c>
      <c r="E97" s="973" t="s">
        <v>991</v>
      </c>
      <c r="F97" s="973" t="s">
        <v>992</v>
      </c>
      <c r="G97" s="973" t="s">
        <v>1997</v>
      </c>
      <c r="H97" s="973" t="s">
        <v>1998</v>
      </c>
      <c r="I97" s="973" t="s">
        <v>1999</v>
      </c>
      <c r="J97" s="972" t="s">
        <v>697</v>
      </c>
      <c r="K97" s="973" t="s">
        <v>995</v>
      </c>
      <c r="L97" s="973" t="s">
        <v>996</v>
      </c>
      <c r="M97" s="973" t="s">
        <v>2000</v>
      </c>
      <c r="N97" s="973" t="s">
        <v>2001</v>
      </c>
      <c r="O97" s="972" t="s">
        <v>1971</v>
      </c>
      <c r="P97" s="973" t="s">
        <v>999</v>
      </c>
      <c r="Q97" s="973" t="s">
        <v>1000</v>
      </c>
      <c r="R97" s="973" t="s">
        <v>1001</v>
      </c>
      <c r="S97" s="973" t="s">
        <v>1002</v>
      </c>
      <c r="T97" s="423" t="s">
        <v>1041</v>
      </c>
      <c r="U97" s="423" t="s">
        <v>1041</v>
      </c>
      <c r="V97" s="423" t="s">
        <v>1041</v>
      </c>
      <c r="W97" s="423" t="s">
        <v>1041</v>
      </c>
      <c r="X97" s="423" t="s">
        <v>1041</v>
      </c>
      <c r="Y97" s="423" t="s">
        <v>1041</v>
      </c>
      <c r="Z97" s="423" t="s">
        <v>1041</v>
      </c>
      <c r="AD97" s="423">
        <f>IF(ISNUMBER(MATCH(B97,'FICHA SOLIC'!$AB$26:$AB$376,0)),1,0)</f>
        <v>1</v>
      </c>
      <c r="AE97" s="423" t="str">
        <f t="shared" si="1"/>
        <v>AraucoOGUC</v>
      </c>
    </row>
    <row r="98" spans="1:31" x14ac:dyDescent="0.25">
      <c r="A98" s="423">
        <v>97</v>
      </c>
      <c r="B98" s="423" t="s">
        <v>44</v>
      </c>
      <c r="C98" s="423" t="s">
        <v>2089</v>
      </c>
      <c r="D98" s="972" t="s">
        <v>990</v>
      </c>
      <c r="E98" s="973" t="s">
        <v>991</v>
      </c>
      <c r="F98" s="973" t="s">
        <v>992</v>
      </c>
      <c r="G98" s="973" t="s">
        <v>1997</v>
      </c>
      <c r="H98" s="973" t="s">
        <v>1998</v>
      </c>
      <c r="I98" s="973" t="s">
        <v>1999</v>
      </c>
      <c r="J98" s="972" t="s">
        <v>697</v>
      </c>
      <c r="K98" s="973" t="s">
        <v>995</v>
      </c>
      <c r="L98" s="973" t="s">
        <v>996</v>
      </c>
      <c r="M98" s="973" t="s">
        <v>2000</v>
      </c>
      <c r="N98" s="973" t="s">
        <v>2001</v>
      </c>
      <c r="O98" s="972" t="s">
        <v>1971</v>
      </c>
      <c r="P98" s="973" t="s">
        <v>999</v>
      </c>
      <c r="Q98" s="973" t="s">
        <v>1000</v>
      </c>
      <c r="R98" s="973" t="s">
        <v>1001</v>
      </c>
      <c r="S98" s="973" t="s">
        <v>1002</v>
      </c>
      <c r="T98" s="423">
        <v>350</v>
      </c>
      <c r="V98" s="423">
        <v>0.8</v>
      </c>
      <c r="W98" s="423">
        <v>6</v>
      </c>
      <c r="X98" s="423" t="s">
        <v>2090</v>
      </c>
      <c r="Y98" s="423" t="s">
        <v>2091</v>
      </c>
      <c r="Z98" s="423" t="s">
        <v>1059</v>
      </c>
      <c r="AD98" s="423">
        <f>IF(ISNUMBER(MATCH(B98,'FICHA SOLIC'!$AB$26:$AB$376,0)),1,0)</f>
        <v>1</v>
      </c>
      <c r="AE98" s="423" t="str">
        <f t="shared" si="1"/>
        <v>AricaZC</v>
      </c>
    </row>
    <row r="99" spans="1:31" x14ac:dyDescent="0.25">
      <c r="A99" s="423">
        <v>98</v>
      </c>
      <c r="B99" s="423" t="s">
        <v>44</v>
      </c>
      <c r="C99" s="423" t="s">
        <v>2092</v>
      </c>
      <c r="D99" s="972" t="s">
        <v>990</v>
      </c>
      <c r="E99" s="973" t="s">
        <v>991</v>
      </c>
      <c r="F99" s="973" t="s">
        <v>992</v>
      </c>
      <c r="G99" s="973" t="s">
        <v>1997</v>
      </c>
      <c r="H99" s="973" t="s">
        <v>1998</v>
      </c>
      <c r="I99" s="973" t="s">
        <v>1999</v>
      </c>
      <c r="J99" s="972" t="s">
        <v>697</v>
      </c>
      <c r="K99" s="973" t="s">
        <v>995</v>
      </c>
      <c r="L99" s="973" t="s">
        <v>996</v>
      </c>
      <c r="M99" s="973" t="s">
        <v>2000</v>
      </c>
      <c r="N99" s="973" t="s">
        <v>2001</v>
      </c>
      <c r="O99" s="972" t="s">
        <v>1971</v>
      </c>
      <c r="P99" s="973" t="s">
        <v>999</v>
      </c>
      <c r="Q99" s="973" t="s">
        <v>1000</v>
      </c>
      <c r="R99" s="973" t="s">
        <v>1001</v>
      </c>
      <c r="S99" s="973" t="s">
        <v>1002</v>
      </c>
      <c r="T99" s="423">
        <v>200</v>
      </c>
      <c r="V99" s="423">
        <v>1</v>
      </c>
      <c r="W99" s="423">
        <v>6</v>
      </c>
      <c r="X99" s="423" t="s">
        <v>2090</v>
      </c>
      <c r="Y99" s="423" t="s">
        <v>2091</v>
      </c>
      <c r="Z99" s="423" t="s">
        <v>1096</v>
      </c>
      <c r="AD99" s="423">
        <f>IF(ISNUMBER(MATCH(B99,'FICHA SOLIC'!$AB$26:$AB$376,0)),1,0)</f>
        <v>1</v>
      </c>
      <c r="AE99" s="423" t="str">
        <f t="shared" si="1"/>
        <v>AricaZCA</v>
      </c>
    </row>
    <row r="100" spans="1:31" x14ac:dyDescent="0.25">
      <c r="A100" s="423">
        <v>99</v>
      </c>
      <c r="B100" s="423" t="s">
        <v>44</v>
      </c>
      <c r="C100" s="423" t="s">
        <v>2033</v>
      </c>
      <c r="D100" s="972" t="s">
        <v>990</v>
      </c>
      <c r="E100" s="973" t="s">
        <v>991</v>
      </c>
      <c r="F100" s="973" t="s">
        <v>992</v>
      </c>
      <c r="G100" s="973" t="s">
        <v>1997</v>
      </c>
      <c r="H100" s="973" t="s">
        <v>1998</v>
      </c>
      <c r="I100" s="973" t="s">
        <v>1999</v>
      </c>
      <c r="J100" s="972" t="s">
        <v>697</v>
      </c>
      <c r="K100" s="973" t="s">
        <v>995</v>
      </c>
      <c r="L100" s="973" t="s">
        <v>996</v>
      </c>
      <c r="M100" s="973" t="s">
        <v>2000</v>
      </c>
      <c r="N100" s="973" t="s">
        <v>2001</v>
      </c>
      <c r="O100" s="972" t="s">
        <v>1971</v>
      </c>
      <c r="P100" s="973" t="s">
        <v>999</v>
      </c>
      <c r="Q100" s="973" t="s">
        <v>1000</v>
      </c>
      <c r="R100" s="973" t="s">
        <v>1001</v>
      </c>
      <c r="S100" s="973" t="s">
        <v>1002</v>
      </c>
      <c r="T100" s="423">
        <v>2500</v>
      </c>
      <c r="Y100" s="423" t="s">
        <v>2003</v>
      </c>
      <c r="Z100" s="423" t="s">
        <v>1058</v>
      </c>
      <c r="AD100" s="423">
        <f>IF(ISNUMBER(MATCH(B100,'FICHA SOLIC'!$AB$26:$AB$376,0)),1,0)</f>
        <v>1</v>
      </c>
      <c r="AE100" s="423" t="str">
        <f t="shared" si="1"/>
        <v>AricaZCE</v>
      </c>
    </row>
    <row r="101" spans="1:31" x14ac:dyDescent="0.25">
      <c r="A101" s="423">
        <v>100</v>
      </c>
      <c r="B101" s="423" t="s">
        <v>44</v>
      </c>
      <c r="C101" s="423" t="s">
        <v>2093</v>
      </c>
      <c r="D101" s="972" t="s">
        <v>990</v>
      </c>
      <c r="E101" s="973" t="s">
        <v>991</v>
      </c>
      <c r="F101" s="973" t="s">
        <v>992</v>
      </c>
      <c r="G101" s="973" t="s">
        <v>1997</v>
      </c>
      <c r="H101" s="973" t="s">
        <v>1998</v>
      </c>
      <c r="I101" s="973" t="s">
        <v>1999</v>
      </c>
      <c r="J101" s="972" t="s">
        <v>697</v>
      </c>
      <c r="K101" s="973" t="s">
        <v>995</v>
      </c>
      <c r="L101" s="973" t="s">
        <v>996</v>
      </c>
      <c r="M101" s="973" t="s">
        <v>2000</v>
      </c>
      <c r="N101" s="973" t="s">
        <v>2001</v>
      </c>
      <c r="O101" s="972" t="s">
        <v>1971</v>
      </c>
      <c r="P101" s="973" t="s">
        <v>999</v>
      </c>
      <c r="Q101" s="973" t="s">
        <v>1000</v>
      </c>
      <c r="R101" s="973" t="s">
        <v>1001</v>
      </c>
      <c r="S101" s="973" t="s">
        <v>1002</v>
      </c>
      <c r="T101" s="423">
        <v>2500</v>
      </c>
      <c r="V101" s="423">
        <v>0.6</v>
      </c>
      <c r="W101" s="423">
        <v>1</v>
      </c>
      <c r="X101" s="423" t="s">
        <v>2094</v>
      </c>
      <c r="Y101" s="423">
        <v>5</v>
      </c>
      <c r="Z101" s="423" t="s">
        <v>1058</v>
      </c>
      <c r="AD101" s="423">
        <f>IF(ISNUMBER(MATCH(B101,'FICHA SOLIC'!$AB$26:$AB$376,0)),1,0)</f>
        <v>1</v>
      </c>
      <c r="AE101" s="423" t="str">
        <f t="shared" si="1"/>
        <v>AricaZDD</v>
      </c>
    </row>
    <row r="102" spans="1:31" x14ac:dyDescent="0.25">
      <c r="A102" s="423">
        <v>101</v>
      </c>
      <c r="B102" s="423" t="s">
        <v>44</v>
      </c>
      <c r="C102" s="423" t="s">
        <v>2095</v>
      </c>
      <c r="D102" s="972" t="s">
        <v>990</v>
      </c>
      <c r="E102" s="973" t="s">
        <v>991</v>
      </c>
      <c r="F102" s="973" t="s">
        <v>992</v>
      </c>
      <c r="G102" s="973" t="s">
        <v>1997</v>
      </c>
      <c r="H102" s="973" t="s">
        <v>1998</v>
      </c>
      <c r="I102" s="973" t="s">
        <v>1999</v>
      </c>
      <c r="J102" s="972" t="s">
        <v>697</v>
      </c>
      <c r="K102" s="973" t="s">
        <v>995</v>
      </c>
      <c r="L102" s="973" t="s">
        <v>996</v>
      </c>
      <c r="M102" s="973" t="s">
        <v>2000</v>
      </c>
      <c r="N102" s="973" t="s">
        <v>2001</v>
      </c>
      <c r="O102" s="972" t="s">
        <v>1971</v>
      </c>
      <c r="P102" s="973" t="s">
        <v>999</v>
      </c>
      <c r="Q102" s="973" t="s">
        <v>1000</v>
      </c>
      <c r="R102" s="973" t="s">
        <v>1001</v>
      </c>
      <c r="S102" s="973" t="s">
        <v>1002</v>
      </c>
      <c r="T102" s="423">
        <v>2500</v>
      </c>
      <c r="V102" s="423">
        <v>0.3</v>
      </c>
      <c r="W102" s="423">
        <v>1.5</v>
      </c>
      <c r="X102" s="423" t="s">
        <v>2002</v>
      </c>
      <c r="Y102" s="423">
        <v>5</v>
      </c>
      <c r="Z102" s="423" t="s">
        <v>1058</v>
      </c>
      <c r="AD102" s="423">
        <f>IF(ISNUMBER(MATCH(B102,'FICHA SOLIC'!$AB$26:$AB$376,0)),1,0)</f>
        <v>1</v>
      </c>
      <c r="AE102" s="423" t="str">
        <f t="shared" si="1"/>
        <v>AricaZER</v>
      </c>
    </row>
    <row r="103" spans="1:31" x14ac:dyDescent="0.25">
      <c r="A103" s="423">
        <v>102</v>
      </c>
      <c r="B103" s="423" t="s">
        <v>44</v>
      </c>
      <c r="C103" s="423" t="s">
        <v>2096</v>
      </c>
      <c r="D103" s="972" t="s">
        <v>990</v>
      </c>
      <c r="E103" s="973" t="s">
        <v>991</v>
      </c>
      <c r="F103" s="973" t="s">
        <v>992</v>
      </c>
      <c r="G103" s="973" t="s">
        <v>1997</v>
      </c>
      <c r="H103" s="973" t="s">
        <v>1998</v>
      </c>
      <c r="I103" s="973" t="s">
        <v>1999</v>
      </c>
      <c r="J103" s="972" t="s">
        <v>697</v>
      </c>
      <c r="K103" s="973" t="s">
        <v>995</v>
      </c>
      <c r="L103" s="973" t="s">
        <v>996</v>
      </c>
      <c r="M103" s="973" t="s">
        <v>2000</v>
      </c>
      <c r="N103" s="973" t="s">
        <v>2001</v>
      </c>
      <c r="O103" s="972" t="s">
        <v>1971</v>
      </c>
      <c r="P103" s="973" t="s">
        <v>999</v>
      </c>
      <c r="Q103" s="973" t="s">
        <v>1000</v>
      </c>
      <c r="R103" s="973" t="s">
        <v>1001</v>
      </c>
      <c r="S103" s="973" t="s">
        <v>1002</v>
      </c>
      <c r="T103" s="423">
        <v>300</v>
      </c>
      <c r="V103" s="423">
        <v>0.8</v>
      </c>
      <c r="W103" s="423">
        <v>1.5</v>
      </c>
      <c r="X103" s="423">
        <v>10.5</v>
      </c>
      <c r="Y103" s="423">
        <v>5</v>
      </c>
      <c r="Z103" s="423" t="s">
        <v>1058</v>
      </c>
      <c r="AD103" s="423">
        <f>IF(ISNUMBER(MATCH(B103,'FICHA SOLIC'!$AB$26:$AB$376,0)),1,0)</f>
        <v>1</v>
      </c>
      <c r="AE103" s="423" t="str">
        <f t="shared" si="1"/>
        <v>AricaZET</v>
      </c>
    </row>
    <row r="104" spans="1:31" x14ac:dyDescent="0.25">
      <c r="A104" s="423">
        <v>103</v>
      </c>
      <c r="B104" s="423" t="s">
        <v>44</v>
      </c>
      <c r="C104" s="423" t="s">
        <v>1339</v>
      </c>
      <c r="D104" s="972" t="s">
        <v>990</v>
      </c>
      <c r="E104" s="973" t="s">
        <v>991</v>
      </c>
      <c r="F104" s="973" t="s">
        <v>992</v>
      </c>
      <c r="G104" s="973" t="s">
        <v>1997</v>
      </c>
      <c r="H104" s="973" t="s">
        <v>1998</v>
      </c>
      <c r="I104" s="973" t="s">
        <v>1999</v>
      </c>
      <c r="J104" s="972" t="s">
        <v>697</v>
      </c>
      <c r="K104" s="973" t="s">
        <v>995</v>
      </c>
      <c r="L104" s="973" t="s">
        <v>996</v>
      </c>
      <c r="M104" s="973" t="s">
        <v>2000</v>
      </c>
      <c r="N104" s="973" t="s">
        <v>2001</v>
      </c>
      <c r="O104" s="972" t="s">
        <v>1971</v>
      </c>
      <c r="P104" s="973" t="s">
        <v>999</v>
      </c>
      <c r="Q104" s="973" t="s">
        <v>1000</v>
      </c>
      <c r="R104" s="973" t="s">
        <v>1001</v>
      </c>
      <c r="S104" s="973" t="s">
        <v>1002</v>
      </c>
      <c r="T104" s="423">
        <v>2000</v>
      </c>
      <c r="V104" s="423">
        <v>0.5</v>
      </c>
      <c r="W104" s="423">
        <v>1</v>
      </c>
      <c r="X104" s="423" t="s">
        <v>2097</v>
      </c>
      <c r="Y104" s="423">
        <v>5</v>
      </c>
      <c r="Z104" s="423" t="s">
        <v>1058</v>
      </c>
      <c r="AD104" s="423">
        <f>IF(ISNUMBER(MATCH(B104,'FICHA SOLIC'!$AB$26:$AB$376,0)),1,0)</f>
        <v>1</v>
      </c>
      <c r="AE104" s="423" t="str">
        <f t="shared" si="1"/>
        <v>AricaZI1</v>
      </c>
    </row>
    <row r="105" spans="1:31" x14ac:dyDescent="0.25">
      <c r="A105" s="423">
        <v>104</v>
      </c>
      <c r="B105" s="423" t="s">
        <v>44</v>
      </c>
      <c r="C105" s="423" t="s">
        <v>1340</v>
      </c>
      <c r="D105" s="972" t="s">
        <v>990</v>
      </c>
      <c r="E105" s="973" t="s">
        <v>991</v>
      </c>
      <c r="F105" s="973" t="s">
        <v>992</v>
      </c>
      <c r="G105" s="973" t="s">
        <v>1997</v>
      </c>
      <c r="H105" s="973" t="s">
        <v>1998</v>
      </c>
      <c r="I105" s="973" t="s">
        <v>1999</v>
      </c>
      <c r="J105" s="972" t="s">
        <v>697</v>
      </c>
      <c r="K105" s="973" t="s">
        <v>995</v>
      </c>
      <c r="L105" s="973" t="s">
        <v>996</v>
      </c>
      <c r="M105" s="973" t="s">
        <v>2000</v>
      </c>
      <c r="N105" s="973" t="s">
        <v>2001</v>
      </c>
      <c r="O105" s="972" t="s">
        <v>1971</v>
      </c>
      <c r="P105" s="973" t="s">
        <v>999</v>
      </c>
      <c r="Q105" s="973" t="s">
        <v>1000</v>
      </c>
      <c r="R105" s="973" t="s">
        <v>1001</v>
      </c>
      <c r="S105" s="973" t="s">
        <v>1002</v>
      </c>
      <c r="T105" s="423">
        <v>1000</v>
      </c>
      <c r="V105" s="423">
        <v>0.5</v>
      </c>
      <c r="W105" s="423">
        <v>0.2</v>
      </c>
      <c r="X105" s="423" t="s">
        <v>2097</v>
      </c>
      <c r="Y105" s="423">
        <v>5</v>
      </c>
      <c r="Z105" s="423" t="s">
        <v>1058</v>
      </c>
      <c r="AD105" s="423">
        <f>IF(ISNUMBER(MATCH(B105,'FICHA SOLIC'!$AB$26:$AB$376,0)),1,0)</f>
        <v>1</v>
      </c>
      <c r="AE105" s="423" t="str">
        <f t="shared" si="1"/>
        <v>AricaZI2</v>
      </c>
    </row>
    <row r="106" spans="1:31" x14ac:dyDescent="0.25">
      <c r="A106" s="423">
        <v>105</v>
      </c>
      <c r="B106" s="423" t="s">
        <v>44</v>
      </c>
      <c r="C106" s="423" t="s">
        <v>2098</v>
      </c>
      <c r="D106" s="972" t="s">
        <v>990</v>
      </c>
      <c r="E106" s="973" t="s">
        <v>991</v>
      </c>
      <c r="F106" s="973" t="s">
        <v>992</v>
      </c>
      <c r="G106" s="973" t="s">
        <v>1997</v>
      </c>
      <c r="H106" s="973" t="s">
        <v>1998</v>
      </c>
      <c r="I106" s="973" t="s">
        <v>1999</v>
      </c>
      <c r="J106" s="972" t="s">
        <v>697</v>
      </c>
      <c r="K106" s="973" t="s">
        <v>995</v>
      </c>
      <c r="L106" s="973" t="s">
        <v>996</v>
      </c>
      <c r="M106" s="973" t="s">
        <v>2000</v>
      </c>
      <c r="N106" s="973" t="s">
        <v>2001</v>
      </c>
      <c r="O106" s="972" t="s">
        <v>1971</v>
      </c>
      <c r="P106" s="973" t="s">
        <v>999</v>
      </c>
      <c r="Q106" s="973" t="s">
        <v>1000</v>
      </c>
      <c r="R106" s="973" t="s">
        <v>1001</v>
      </c>
      <c r="S106" s="973" t="s">
        <v>1002</v>
      </c>
      <c r="T106" s="423">
        <v>350</v>
      </c>
      <c r="V106" s="423">
        <v>0.5</v>
      </c>
      <c r="W106" s="423">
        <v>1</v>
      </c>
      <c r="X106" s="423" t="s">
        <v>2097</v>
      </c>
      <c r="Y106" s="423">
        <v>5</v>
      </c>
      <c r="Z106" s="423" t="s">
        <v>1058</v>
      </c>
      <c r="AD106" s="423">
        <f>IF(ISNUMBER(MATCH(B106,'FICHA SOLIC'!$AB$26:$AB$376,0)),1,0)</f>
        <v>1</v>
      </c>
      <c r="AE106" s="423" t="str">
        <f t="shared" si="1"/>
        <v>AricaZI3</v>
      </c>
    </row>
    <row r="107" spans="1:31" x14ac:dyDescent="0.25">
      <c r="A107" s="423">
        <v>106</v>
      </c>
      <c r="B107" s="423" t="s">
        <v>44</v>
      </c>
      <c r="C107" s="423" t="s">
        <v>2099</v>
      </c>
      <c r="D107" s="972" t="s">
        <v>990</v>
      </c>
      <c r="E107" s="973" t="s">
        <v>991</v>
      </c>
      <c r="F107" s="973" t="s">
        <v>992</v>
      </c>
      <c r="G107" s="973" t="s">
        <v>1997</v>
      </c>
      <c r="H107" s="973" t="s">
        <v>1998</v>
      </c>
      <c r="I107" s="973" t="s">
        <v>1999</v>
      </c>
      <c r="J107" s="972" t="s">
        <v>697</v>
      </c>
      <c r="K107" s="973" t="s">
        <v>995</v>
      </c>
      <c r="L107" s="973" t="s">
        <v>996</v>
      </c>
      <c r="M107" s="973" t="s">
        <v>2000</v>
      </c>
      <c r="N107" s="973" t="s">
        <v>2001</v>
      </c>
      <c r="O107" s="972" t="s">
        <v>1971</v>
      </c>
      <c r="P107" s="973" t="s">
        <v>999</v>
      </c>
      <c r="Q107" s="973" t="s">
        <v>1000</v>
      </c>
      <c r="R107" s="973" t="s">
        <v>1001</v>
      </c>
      <c r="S107" s="973" t="s">
        <v>1002</v>
      </c>
      <c r="T107" s="423">
        <v>160</v>
      </c>
      <c r="V107" s="423">
        <v>0.8</v>
      </c>
      <c r="W107" s="423">
        <v>2.5</v>
      </c>
      <c r="X107" s="423" t="s">
        <v>2100</v>
      </c>
      <c r="Y107" s="423" t="s">
        <v>2091</v>
      </c>
      <c r="Z107" s="423" t="s">
        <v>1059</v>
      </c>
      <c r="AD107" s="423">
        <f>IF(ISNUMBER(MATCH(B107,'FICHA SOLIC'!$AB$26:$AB$376,0)),1,0)</f>
        <v>1</v>
      </c>
      <c r="AE107" s="423" t="str">
        <f t="shared" si="1"/>
        <v>AricaZM1</v>
      </c>
    </row>
    <row r="108" spans="1:31" x14ac:dyDescent="0.25">
      <c r="A108" s="423">
        <v>107</v>
      </c>
      <c r="B108" s="423" t="s">
        <v>44</v>
      </c>
      <c r="C108" s="423" t="s">
        <v>2101</v>
      </c>
      <c r="D108" s="972" t="s">
        <v>990</v>
      </c>
      <c r="E108" s="973" t="s">
        <v>991</v>
      </c>
      <c r="F108" s="973" t="s">
        <v>992</v>
      </c>
      <c r="G108" s="973" t="s">
        <v>1997</v>
      </c>
      <c r="H108" s="973" t="s">
        <v>1998</v>
      </c>
      <c r="I108" s="973" t="s">
        <v>1999</v>
      </c>
      <c r="J108" s="972" t="s">
        <v>697</v>
      </c>
      <c r="K108" s="973" t="s">
        <v>995</v>
      </c>
      <c r="L108" s="973" t="s">
        <v>996</v>
      </c>
      <c r="M108" s="973" t="s">
        <v>2000</v>
      </c>
      <c r="N108" s="973" t="s">
        <v>2001</v>
      </c>
      <c r="O108" s="972" t="s">
        <v>1971</v>
      </c>
      <c r="P108" s="973" t="s">
        <v>999</v>
      </c>
      <c r="Q108" s="973" t="s">
        <v>1000</v>
      </c>
      <c r="R108" s="973" t="s">
        <v>1001</v>
      </c>
      <c r="S108" s="973" t="s">
        <v>1002</v>
      </c>
      <c r="T108" s="423">
        <v>250</v>
      </c>
      <c r="V108" s="423">
        <v>0.8</v>
      </c>
      <c r="W108" s="423">
        <v>2.5</v>
      </c>
      <c r="X108" s="423" t="s">
        <v>2097</v>
      </c>
      <c r="Y108" s="423" t="s">
        <v>2091</v>
      </c>
      <c r="Z108" s="423" t="s">
        <v>1059</v>
      </c>
      <c r="AD108" s="423">
        <f>IF(ISNUMBER(MATCH(B108,'FICHA SOLIC'!$AB$26:$AB$376,0)),1,0)</f>
        <v>1</v>
      </c>
      <c r="AE108" s="423" t="str">
        <f t="shared" si="1"/>
        <v>AricaZM2</v>
      </c>
    </row>
    <row r="109" spans="1:31" x14ac:dyDescent="0.25">
      <c r="A109" s="423">
        <v>108</v>
      </c>
      <c r="B109" s="423" t="s">
        <v>44</v>
      </c>
      <c r="C109" s="423" t="s">
        <v>2102</v>
      </c>
      <c r="D109" s="972" t="s">
        <v>990</v>
      </c>
      <c r="E109" s="973" t="s">
        <v>991</v>
      </c>
      <c r="F109" s="973" t="s">
        <v>992</v>
      </c>
      <c r="G109" s="973" t="s">
        <v>1997</v>
      </c>
      <c r="H109" s="973" t="s">
        <v>1998</v>
      </c>
      <c r="I109" s="973" t="s">
        <v>1999</v>
      </c>
      <c r="J109" s="972" t="s">
        <v>697</v>
      </c>
      <c r="K109" s="973" t="s">
        <v>995</v>
      </c>
      <c r="L109" s="973" t="s">
        <v>996</v>
      </c>
      <c r="M109" s="973" t="s">
        <v>2000</v>
      </c>
      <c r="N109" s="973" t="s">
        <v>2001</v>
      </c>
      <c r="O109" s="972" t="s">
        <v>1971</v>
      </c>
      <c r="P109" s="973" t="s">
        <v>999</v>
      </c>
      <c r="Q109" s="973" t="s">
        <v>1000</v>
      </c>
      <c r="R109" s="973" t="s">
        <v>1001</v>
      </c>
      <c r="S109" s="973" t="s">
        <v>1002</v>
      </c>
      <c r="T109" s="423">
        <v>2000</v>
      </c>
      <c r="V109" s="423">
        <v>0.6</v>
      </c>
      <c r="W109" s="423">
        <v>2</v>
      </c>
      <c r="X109" s="423" t="s">
        <v>2097</v>
      </c>
      <c r="Y109" s="423">
        <v>5</v>
      </c>
      <c r="Z109" s="423" t="s">
        <v>1058</v>
      </c>
      <c r="AD109" s="423">
        <f>IF(ISNUMBER(MATCH(B109,'FICHA SOLIC'!$AB$26:$AB$376,0)),1,0)</f>
        <v>1</v>
      </c>
      <c r="AE109" s="423" t="str">
        <f t="shared" si="1"/>
        <v>AricaZONA PUERTO</v>
      </c>
    </row>
    <row r="110" spans="1:31" x14ac:dyDescent="0.25">
      <c r="A110" s="423">
        <v>109</v>
      </c>
      <c r="B110" s="423" t="s">
        <v>44</v>
      </c>
      <c r="C110" s="423" t="s">
        <v>2103</v>
      </c>
      <c r="D110" s="972" t="s">
        <v>990</v>
      </c>
      <c r="E110" s="973" t="s">
        <v>991</v>
      </c>
      <c r="F110" s="973" t="s">
        <v>992</v>
      </c>
      <c r="G110" s="973" t="s">
        <v>1997</v>
      </c>
      <c r="H110" s="973" t="s">
        <v>1998</v>
      </c>
      <c r="I110" s="973" t="s">
        <v>1999</v>
      </c>
      <c r="J110" s="972" t="s">
        <v>697</v>
      </c>
      <c r="K110" s="973" t="s">
        <v>995</v>
      </c>
      <c r="L110" s="973" t="s">
        <v>996</v>
      </c>
      <c r="M110" s="973" t="s">
        <v>2000</v>
      </c>
      <c r="N110" s="973" t="s">
        <v>2001</v>
      </c>
      <c r="O110" s="972" t="s">
        <v>1971</v>
      </c>
      <c r="P110" s="973" t="s">
        <v>999</v>
      </c>
      <c r="Q110" s="973" t="s">
        <v>1000</v>
      </c>
      <c r="R110" s="973" t="s">
        <v>1001</v>
      </c>
      <c r="S110" s="973" t="s">
        <v>1002</v>
      </c>
      <c r="T110" s="423">
        <v>1000</v>
      </c>
      <c r="V110" s="423">
        <v>0.4</v>
      </c>
      <c r="W110" s="423">
        <v>2</v>
      </c>
      <c r="X110" s="423" t="s">
        <v>2104</v>
      </c>
      <c r="Y110" s="423" t="s">
        <v>2091</v>
      </c>
      <c r="Z110" s="423" t="s">
        <v>1058</v>
      </c>
      <c r="AD110" s="423">
        <f>IF(ISNUMBER(MATCH(B110,'FICHA SOLIC'!$AB$26:$AB$376,0)),1,0)</f>
        <v>1</v>
      </c>
      <c r="AE110" s="423" t="str">
        <f t="shared" si="1"/>
        <v>AricaZP1</v>
      </c>
    </row>
    <row r="111" spans="1:31" x14ac:dyDescent="0.25">
      <c r="A111" s="423">
        <v>110</v>
      </c>
      <c r="B111" s="423" t="s">
        <v>44</v>
      </c>
      <c r="C111" s="423" t="s">
        <v>2105</v>
      </c>
      <c r="D111" s="972" t="s">
        <v>990</v>
      </c>
      <c r="E111" s="973" t="s">
        <v>991</v>
      </c>
      <c r="F111" s="973" t="s">
        <v>992</v>
      </c>
      <c r="G111" s="973" t="s">
        <v>1997</v>
      </c>
      <c r="H111" s="973" t="s">
        <v>1998</v>
      </c>
      <c r="I111" s="973" t="s">
        <v>1999</v>
      </c>
      <c r="J111" s="972" t="s">
        <v>697</v>
      </c>
      <c r="K111" s="973" t="s">
        <v>995</v>
      </c>
      <c r="L111" s="973" t="s">
        <v>996</v>
      </c>
      <c r="M111" s="973" t="s">
        <v>2000</v>
      </c>
      <c r="N111" s="973" t="s">
        <v>2001</v>
      </c>
      <c r="O111" s="972" t="s">
        <v>1971</v>
      </c>
      <c r="P111" s="973" t="s">
        <v>999</v>
      </c>
      <c r="Q111" s="973" t="s">
        <v>1000</v>
      </c>
      <c r="R111" s="973" t="s">
        <v>1001</v>
      </c>
      <c r="S111" s="973" t="s">
        <v>1002</v>
      </c>
      <c r="T111" s="423" t="s">
        <v>2106</v>
      </c>
      <c r="U111" s="423" t="s">
        <v>2106</v>
      </c>
      <c r="V111" s="423" t="s">
        <v>2106</v>
      </c>
      <c r="W111" s="423" t="s">
        <v>2106</v>
      </c>
      <c r="X111" s="423" t="s">
        <v>2106</v>
      </c>
      <c r="Y111" s="423" t="s">
        <v>2106</v>
      </c>
      <c r="Z111" s="423" t="s">
        <v>2106</v>
      </c>
      <c r="AD111" s="423">
        <f>IF(ISNUMBER(MATCH(B111,'FICHA SOLIC'!$AB$26:$AB$376,0)),1,0)</f>
        <v>1</v>
      </c>
      <c r="AE111" s="423" t="str">
        <f t="shared" si="1"/>
        <v>AricaZP2</v>
      </c>
    </row>
    <row r="112" spans="1:31" x14ac:dyDescent="0.25">
      <c r="A112" s="423">
        <v>111</v>
      </c>
      <c r="B112" s="423" t="s">
        <v>44</v>
      </c>
      <c r="C112" s="423" t="s">
        <v>2107</v>
      </c>
      <c r="D112" s="972" t="s">
        <v>990</v>
      </c>
      <c r="E112" s="973" t="s">
        <v>991</v>
      </c>
      <c r="F112" s="973" t="s">
        <v>992</v>
      </c>
      <c r="G112" s="973" t="s">
        <v>1997</v>
      </c>
      <c r="H112" s="973" t="s">
        <v>1998</v>
      </c>
      <c r="I112" s="973" t="s">
        <v>1999</v>
      </c>
      <c r="J112" s="972" t="s">
        <v>697</v>
      </c>
      <c r="K112" s="973" t="s">
        <v>995</v>
      </c>
      <c r="L112" s="973" t="s">
        <v>996</v>
      </c>
      <c r="M112" s="973" t="s">
        <v>2000</v>
      </c>
      <c r="N112" s="973" t="s">
        <v>2001</v>
      </c>
      <c r="O112" s="972" t="s">
        <v>1971</v>
      </c>
      <c r="P112" s="973" t="s">
        <v>999</v>
      </c>
      <c r="Q112" s="973" t="s">
        <v>1000</v>
      </c>
      <c r="R112" s="973" t="s">
        <v>1001</v>
      </c>
      <c r="S112" s="973" t="s">
        <v>1002</v>
      </c>
      <c r="T112" s="423">
        <v>2000</v>
      </c>
      <c r="Z112" s="423" t="s">
        <v>1058</v>
      </c>
      <c r="AD112" s="423">
        <f>IF(ISNUMBER(MATCH(B112,'FICHA SOLIC'!$AB$26:$AB$376,0)),1,0)</f>
        <v>1</v>
      </c>
      <c r="AE112" s="423" t="str">
        <f t="shared" si="1"/>
        <v>AricaZP3</v>
      </c>
    </row>
    <row r="113" spans="1:31" x14ac:dyDescent="0.25">
      <c r="A113" s="423">
        <v>112</v>
      </c>
      <c r="B113" s="423" t="s">
        <v>44</v>
      </c>
      <c r="C113" s="423" t="s">
        <v>2108</v>
      </c>
      <c r="D113" s="972" t="s">
        <v>990</v>
      </c>
      <c r="E113" s="973" t="s">
        <v>991</v>
      </c>
      <c r="F113" s="973" t="s">
        <v>992</v>
      </c>
      <c r="G113" s="973" t="s">
        <v>1997</v>
      </c>
      <c r="H113" s="973" t="s">
        <v>1998</v>
      </c>
      <c r="I113" s="973" t="s">
        <v>1999</v>
      </c>
      <c r="J113" s="972" t="s">
        <v>697</v>
      </c>
      <c r="K113" s="973" t="s">
        <v>995</v>
      </c>
      <c r="L113" s="973" t="s">
        <v>996</v>
      </c>
      <c r="M113" s="973" t="s">
        <v>2000</v>
      </c>
      <c r="N113" s="973" t="s">
        <v>2001</v>
      </c>
      <c r="O113" s="972" t="s">
        <v>1971</v>
      </c>
      <c r="P113" s="973" t="s">
        <v>999</v>
      </c>
      <c r="Q113" s="973" t="s">
        <v>1000</v>
      </c>
      <c r="R113" s="973" t="s">
        <v>1001</v>
      </c>
      <c r="S113" s="973" t="s">
        <v>1002</v>
      </c>
      <c r="T113" s="423" t="s">
        <v>2106</v>
      </c>
      <c r="U113" s="423" t="s">
        <v>2106</v>
      </c>
      <c r="V113" s="423" t="s">
        <v>2106</v>
      </c>
      <c r="W113" s="423" t="s">
        <v>2106</v>
      </c>
      <c r="X113" s="423" t="s">
        <v>2106</v>
      </c>
      <c r="Y113" s="423" t="s">
        <v>2106</v>
      </c>
      <c r="Z113" s="423" t="s">
        <v>2106</v>
      </c>
      <c r="AD113" s="423">
        <f>IF(ISNUMBER(MATCH(B113,'FICHA SOLIC'!$AB$26:$AB$376,0)),1,0)</f>
        <v>1</v>
      </c>
      <c r="AE113" s="423" t="str">
        <f t="shared" si="1"/>
        <v>AricaZP5</v>
      </c>
    </row>
    <row r="114" spans="1:31" ht="12.75" customHeight="1" x14ac:dyDescent="0.25">
      <c r="A114" s="423">
        <v>113</v>
      </c>
      <c r="B114" s="423" t="s">
        <v>44</v>
      </c>
      <c r="C114" s="423" t="s">
        <v>2109</v>
      </c>
      <c r="D114" s="972" t="s">
        <v>990</v>
      </c>
      <c r="E114" s="973" t="s">
        <v>991</v>
      </c>
      <c r="F114" s="973" t="s">
        <v>992</v>
      </c>
      <c r="G114" s="973" t="s">
        <v>1997</v>
      </c>
      <c r="H114" s="973" t="s">
        <v>1998</v>
      </c>
      <c r="I114" s="973" t="s">
        <v>1999</v>
      </c>
      <c r="J114" s="972" t="s">
        <v>697</v>
      </c>
      <c r="K114" s="973" t="s">
        <v>995</v>
      </c>
      <c r="L114" s="973" t="s">
        <v>996</v>
      </c>
      <c r="M114" s="973" t="s">
        <v>2000</v>
      </c>
      <c r="N114" s="973" t="s">
        <v>2001</v>
      </c>
      <c r="O114" s="972" t="s">
        <v>1971</v>
      </c>
      <c r="P114" s="973" t="s">
        <v>999</v>
      </c>
      <c r="Q114" s="973" t="s">
        <v>1000</v>
      </c>
      <c r="R114" s="973" t="s">
        <v>1001</v>
      </c>
      <c r="S114" s="973" t="s">
        <v>1002</v>
      </c>
      <c r="T114" s="423">
        <v>200</v>
      </c>
      <c r="V114" s="423">
        <v>0.7</v>
      </c>
      <c r="W114" s="423">
        <v>2.5</v>
      </c>
      <c r="X114" s="423" t="s">
        <v>2110</v>
      </c>
      <c r="Y114" s="423" t="s">
        <v>2091</v>
      </c>
      <c r="Z114" s="423" t="s">
        <v>1059</v>
      </c>
      <c r="AD114" s="423">
        <f>IF(ISNUMBER(MATCH(B114,'FICHA SOLIC'!$AB$26:$AB$376,0)),1,0)</f>
        <v>1</v>
      </c>
      <c r="AE114" s="423" t="str">
        <f t="shared" si="1"/>
        <v>AricaZPE</v>
      </c>
    </row>
    <row r="115" spans="1:31" ht="12.75" customHeight="1" x14ac:dyDescent="0.25">
      <c r="A115" s="423">
        <v>114</v>
      </c>
      <c r="B115" s="423" t="s">
        <v>44</v>
      </c>
      <c r="C115" s="423" t="s">
        <v>2111</v>
      </c>
      <c r="D115" s="972" t="s">
        <v>990</v>
      </c>
      <c r="E115" s="973" t="s">
        <v>991</v>
      </c>
      <c r="F115" s="973" t="s">
        <v>992</v>
      </c>
      <c r="G115" s="973" t="s">
        <v>1997</v>
      </c>
      <c r="H115" s="973" t="s">
        <v>1998</v>
      </c>
      <c r="I115" s="973" t="s">
        <v>1999</v>
      </c>
      <c r="J115" s="972" t="s">
        <v>697</v>
      </c>
      <c r="K115" s="973" t="s">
        <v>995</v>
      </c>
      <c r="L115" s="973" t="s">
        <v>996</v>
      </c>
      <c r="M115" s="973" t="s">
        <v>2000</v>
      </c>
      <c r="N115" s="973" t="s">
        <v>2001</v>
      </c>
      <c r="O115" s="972" t="s">
        <v>1971</v>
      </c>
      <c r="P115" s="973" t="s">
        <v>999</v>
      </c>
      <c r="Q115" s="973" t="s">
        <v>1000</v>
      </c>
      <c r="R115" s="973" t="s">
        <v>1001</v>
      </c>
      <c r="S115" s="973" t="s">
        <v>1002</v>
      </c>
      <c r="T115" s="423">
        <v>900</v>
      </c>
      <c r="V115" s="423">
        <v>0.6</v>
      </c>
      <c r="W115" s="423">
        <v>0.6</v>
      </c>
      <c r="X115" s="423" t="s">
        <v>2090</v>
      </c>
      <c r="Y115" s="423" t="s">
        <v>2091</v>
      </c>
      <c r="Z115" s="423" t="s">
        <v>1058</v>
      </c>
      <c r="AD115" s="423">
        <f>IF(ISNUMBER(MATCH(B115,'FICHA SOLIC'!$AB$26:$AB$376,0)),1,0)</f>
        <v>1</v>
      </c>
      <c r="AE115" s="423" t="str">
        <f t="shared" si="1"/>
        <v>AricaZR1</v>
      </c>
    </row>
    <row r="116" spans="1:31" ht="12.75" customHeight="1" x14ac:dyDescent="0.25">
      <c r="A116" s="423">
        <v>115</v>
      </c>
      <c r="B116" s="423" t="s">
        <v>44</v>
      </c>
      <c r="C116" s="423" t="s">
        <v>2112</v>
      </c>
      <c r="D116" s="972" t="s">
        <v>990</v>
      </c>
      <c r="E116" s="973" t="s">
        <v>991</v>
      </c>
      <c r="F116" s="973" t="s">
        <v>992</v>
      </c>
      <c r="G116" s="973" t="s">
        <v>1997</v>
      </c>
      <c r="H116" s="973" t="s">
        <v>1998</v>
      </c>
      <c r="I116" s="973" t="s">
        <v>1999</v>
      </c>
      <c r="J116" s="972" t="s">
        <v>697</v>
      </c>
      <c r="K116" s="973" t="s">
        <v>995</v>
      </c>
      <c r="L116" s="973" t="s">
        <v>996</v>
      </c>
      <c r="M116" s="973" t="s">
        <v>2000</v>
      </c>
      <c r="N116" s="973" t="s">
        <v>2001</v>
      </c>
      <c r="O116" s="972" t="s">
        <v>1971</v>
      </c>
      <c r="P116" s="973" t="s">
        <v>999</v>
      </c>
      <c r="Q116" s="973" t="s">
        <v>1000</v>
      </c>
      <c r="R116" s="973" t="s">
        <v>1001</v>
      </c>
      <c r="S116" s="973" t="s">
        <v>1002</v>
      </c>
      <c r="T116" s="423">
        <v>160</v>
      </c>
      <c r="V116" s="423">
        <v>0.85</v>
      </c>
      <c r="W116" s="423">
        <v>2.5</v>
      </c>
      <c r="X116" s="423" t="s">
        <v>2097</v>
      </c>
      <c r="Y116" s="423" t="s">
        <v>2091</v>
      </c>
      <c r="Z116" s="423" t="s">
        <v>1059</v>
      </c>
      <c r="AD116" s="423">
        <f>IF(ISNUMBER(MATCH(B116,'FICHA SOLIC'!$AB$26:$AB$376,0)),1,0)</f>
        <v>1</v>
      </c>
      <c r="AE116" s="423" t="str">
        <f t="shared" si="1"/>
        <v>AricaZR2</v>
      </c>
    </row>
    <row r="117" spans="1:31" x14ac:dyDescent="0.25">
      <c r="A117" s="423">
        <v>116</v>
      </c>
      <c r="B117" s="423" t="s">
        <v>44</v>
      </c>
      <c r="C117" s="423" t="s">
        <v>2113</v>
      </c>
      <c r="D117" s="972" t="s">
        <v>990</v>
      </c>
      <c r="E117" s="973" t="s">
        <v>991</v>
      </c>
      <c r="F117" s="973" t="s">
        <v>992</v>
      </c>
      <c r="G117" s="973" t="s">
        <v>1997</v>
      </c>
      <c r="H117" s="973" t="s">
        <v>1998</v>
      </c>
      <c r="I117" s="973" t="s">
        <v>1999</v>
      </c>
      <c r="J117" s="972" t="s">
        <v>697</v>
      </c>
      <c r="K117" s="973" t="s">
        <v>995</v>
      </c>
      <c r="L117" s="973" t="s">
        <v>996</v>
      </c>
      <c r="M117" s="973" t="s">
        <v>2000</v>
      </c>
      <c r="N117" s="973" t="s">
        <v>2001</v>
      </c>
      <c r="O117" s="972" t="s">
        <v>1971</v>
      </c>
      <c r="P117" s="973" t="s">
        <v>999</v>
      </c>
      <c r="Q117" s="973" t="s">
        <v>1000</v>
      </c>
      <c r="R117" s="973" t="s">
        <v>1001</v>
      </c>
      <c r="S117" s="973" t="s">
        <v>1002</v>
      </c>
      <c r="T117" s="423">
        <v>250</v>
      </c>
      <c r="V117" s="423">
        <v>0.7</v>
      </c>
      <c r="W117" s="423">
        <v>2.5</v>
      </c>
      <c r="X117" s="423" t="s">
        <v>2110</v>
      </c>
      <c r="Y117" s="423" t="s">
        <v>2091</v>
      </c>
      <c r="Z117" s="423" t="s">
        <v>1059</v>
      </c>
      <c r="AD117" s="423">
        <f>IF(ISNUMBER(MATCH(B117,'FICHA SOLIC'!$AB$26:$AB$376,0)),1,0)</f>
        <v>1</v>
      </c>
      <c r="AE117" s="423" t="str">
        <f t="shared" si="1"/>
        <v>AricaZR3</v>
      </c>
    </row>
    <row r="118" spans="1:31" x14ac:dyDescent="0.25">
      <c r="A118" s="423">
        <v>117</v>
      </c>
      <c r="B118" s="423" t="s">
        <v>44</v>
      </c>
      <c r="C118" s="423" t="s">
        <v>2114</v>
      </c>
      <c r="D118" s="972" t="s">
        <v>990</v>
      </c>
      <c r="E118" s="973" t="s">
        <v>991</v>
      </c>
      <c r="F118" s="973" t="s">
        <v>992</v>
      </c>
      <c r="G118" s="973" t="s">
        <v>1997</v>
      </c>
      <c r="H118" s="973" t="s">
        <v>1998</v>
      </c>
      <c r="I118" s="973" t="s">
        <v>1999</v>
      </c>
      <c r="J118" s="972" t="s">
        <v>697</v>
      </c>
      <c r="K118" s="973" t="s">
        <v>995</v>
      </c>
      <c r="L118" s="973" t="s">
        <v>996</v>
      </c>
      <c r="M118" s="973" t="s">
        <v>2000</v>
      </c>
      <c r="N118" s="973" t="s">
        <v>2001</v>
      </c>
      <c r="O118" s="972" t="s">
        <v>1971</v>
      </c>
      <c r="P118" s="973" t="s">
        <v>999</v>
      </c>
      <c r="Q118" s="973" t="s">
        <v>1000</v>
      </c>
      <c r="R118" s="973" t="s">
        <v>1001</v>
      </c>
      <c r="S118" s="973" t="s">
        <v>1002</v>
      </c>
      <c r="T118" s="423">
        <v>450</v>
      </c>
      <c r="V118" s="423">
        <v>0.7</v>
      </c>
      <c r="W118" s="423">
        <v>2.5</v>
      </c>
      <c r="X118" s="423" t="s">
        <v>2110</v>
      </c>
      <c r="Y118" s="423" t="s">
        <v>2091</v>
      </c>
      <c r="Z118" s="423" t="s">
        <v>1059</v>
      </c>
      <c r="AD118" s="423">
        <f>IF(ISNUMBER(MATCH(B118,'FICHA SOLIC'!$AB$26:$AB$376,0)),1,0)</f>
        <v>1</v>
      </c>
      <c r="AE118" s="423" t="str">
        <f t="shared" si="1"/>
        <v>AricaZR4</v>
      </c>
    </row>
    <row r="119" spans="1:31" x14ac:dyDescent="0.25">
      <c r="A119" s="423">
        <v>118</v>
      </c>
      <c r="B119" s="423" t="s">
        <v>44</v>
      </c>
      <c r="C119" s="423" t="s">
        <v>2115</v>
      </c>
      <c r="D119" s="972" t="s">
        <v>990</v>
      </c>
      <c r="E119" s="973" t="s">
        <v>991</v>
      </c>
      <c r="F119" s="973" t="s">
        <v>992</v>
      </c>
      <c r="G119" s="973" t="s">
        <v>1997</v>
      </c>
      <c r="H119" s="973" t="s">
        <v>1998</v>
      </c>
      <c r="I119" s="973" t="s">
        <v>1999</v>
      </c>
      <c r="J119" s="972" t="s">
        <v>697</v>
      </c>
      <c r="K119" s="973" t="s">
        <v>995</v>
      </c>
      <c r="L119" s="973" t="s">
        <v>996</v>
      </c>
      <c r="M119" s="973" t="s">
        <v>2000</v>
      </c>
      <c r="N119" s="973" t="s">
        <v>2001</v>
      </c>
      <c r="O119" s="972" t="s">
        <v>1971</v>
      </c>
      <c r="P119" s="973" t="s">
        <v>999</v>
      </c>
      <c r="Q119" s="973" t="s">
        <v>1000</v>
      </c>
      <c r="R119" s="973" t="s">
        <v>1001</v>
      </c>
      <c r="S119" s="973" t="s">
        <v>1002</v>
      </c>
      <c r="T119" s="423">
        <v>500</v>
      </c>
      <c r="V119" s="423">
        <v>0.5</v>
      </c>
      <c r="W119" s="423">
        <v>3.5</v>
      </c>
      <c r="X119" s="423" t="s">
        <v>2090</v>
      </c>
      <c r="Y119" s="423" t="s">
        <v>2091</v>
      </c>
      <c r="Z119" s="423" t="s">
        <v>1059</v>
      </c>
      <c r="AD119" s="423">
        <f>IF(ISNUMBER(MATCH(B119,'FICHA SOLIC'!$AB$26:$AB$376,0)),1,0)</f>
        <v>1</v>
      </c>
      <c r="AE119" s="423" t="str">
        <f t="shared" si="1"/>
        <v>AricaZT2</v>
      </c>
    </row>
    <row r="120" spans="1:31" x14ac:dyDescent="0.25">
      <c r="A120" s="423">
        <v>119</v>
      </c>
      <c r="B120" s="423" t="s">
        <v>44</v>
      </c>
      <c r="C120" s="423" t="s">
        <v>2116</v>
      </c>
      <c r="D120" s="972" t="s">
        <v>990</v>
      </c>
      <c r="E120" s="973" t="s">
        <v>991</v>
      </c>
      <c r="F120" s="973" t="s">
        <v>992</v>
      </c>
      <c r="G120" s="973" t="s">
        <v>1997</v>
      </c>
      <c r="H120" s="973" t="s">
        <v>1998</v>
      </c>
      <c r="I120" s="973" t="s">
        <v>1999</v>
      </c>
      <c r="J120" s="972" t="s">
        <v>697</v>
      </c>
      <c r="K120" s="973" t="s">
        <v>995</v>
      </c>
      <c r="L120" s="973" t="s">
        <v>996</v>
      </c>
      <c r="M120" s="973" t="s">
        <v>2000</v>
      </c>
      <c r="N120" s="973" t="s">
        <v>2001</v>
      </c>
      <c r="O120" s="972" t="s">
        <v>1971</v>
      </c>
      <c r="P120" s="973" t="s">
        <v>999</v>
      </c>
      <c r="Q120" s="973" t="s">
        <v>1000</v>
      </c>
      <c r="R120" s="973" t="s">
        <v>1001</v>
      </c>
      <c r="S120" s="973" t="s">
        <v>1002</v>
      </c>
      <c r="T120" s="423">
        <v>500</v>
      </c>
      <c r="V120" s="423">
        <v>0.6</v>
      </c>
      <c r="W120" s="423">
        <v>4</v>
      </c>
      <c r="X120" s="423" t="s">
        <v>1437</v>
      </c>
      <c r="Y120" s="423" t="s">
        <v>2091</v>
      </c>
      <c r="Z120" s="423" t="s">
        <v>1059</v>
      </c>
      <c r="AD120" s="423">
        <f>IF(ISNUMBER(MATCH(B120,'FICHA SOLIC'!$AB$26:$AB$376,0)),1,0)</f>
        <v>1</v>
      </c>
      <c r="AE120" s="423" t="str">
        <f t="shared" si="1"/>
        <v>AricaZT3</v>
      </c>
    </row>
    <row r="121" spans="1:31" x14ac:dyDescent="0.25">
      <c r="A121" s="423">
        <v>120</v>
      </c>
      <c r="B121" s="423" t="s">
        <v>44</v>
      </c>
      <c r="C121" s="423" t="s">
        <v>2117</v>
      </c>
      <c r="D121" s="972" t="s">
        <v>990</v>
      </c>
      <c r="E121" s="973" t="s">
        <v>991</v>
      </c>
      <c r="F121" s="973" t="s">
        <v>992</v>
      </c>
      <c r="G121" s="973" t="s">
        <v>1997</v>
      </c>
      <c r="H121" s="973" t="s">
        <v>1998</v>
      </c>
      <c r="I121" s="973" t="s">
        <v>1999</v>
      </c>
      <c r="J121" s="972" t="s">
        <v>697</v>
      </c>
      <c r="K121" s="973" t="s">
        <v>995</v>
      </c>
      <c r="L121" s="973" t="s">
        <v>996</v>
      </c>
      <c r="M121" s="973" t="s">
        <v>2000</v>
      </c>
      <c r="N121" s="973" t="s">
        <v>2001</v>
      </c>
      <c r="O121" s="972" t="s">
        <v>1971</v>
      </c>
      <c r="P121" s="973" t="s">
        <v>999</v>
      </c>
      <c r="Q121" s="973" t="s">
        <v>1000</v>
      </c>
      <c r="R121" s="973" t="s">
        <v>1001</v>
      </c>
      <c r="S121" s="973" t="s">
        <v>1002</v>
      </c>
      <c r="T121" s="423">
        <v>2500</v>
      </c>
      <c r="V121" s="423" t="s">
        <v>1041</v>
      </c>
      <c r="W121" s="423" t="s">
        <v>1041</v>
      </c>
      <c r="Y121" s="423" t="s">
        <v>2003</v>
      </c>
      <c r="Z121" s="423" t="s">
        <v>1058</v>
      </c>
      <c r="AD121" s="423">
        <f>IF(ISNUMBER(MATCH(B121,'FICHA SOLIC'!$AB$26:$AB$376,0)),1,0)</f>
        <v>1</v>
      </c>
      <c r="AE121" s="423" t="str">
        <f t="shared" si="1"/>
        <v>AricaZV</v>
      </c>
    </row>
    <row r="122" spans="1:31" x14ac:dyDescent="0.25">
      <c r="A122" s="423">
        <v>121</v>
      </c>
      <c r="B122" s="423" t="s">
        <v>442</v>
      </c>
      <c r="C122" s="423" t="s">
        <v>2032</v>
      </c>
      <c r="D122" s="424" t="s">
        <v>990</v>
      </c>
      <c r="E122" s="425" t="s">
        <v>991</v>
      </c>
      <c r="F122" s="425" t="s">
        <v>992</v>
      </c>
      <c r="G122" s="425" t="s">
        <v>993</v>
      </c>
      <c r="H122" s="426" t="s">
        <v>699</v>
      </c>
      <c r="I122" s="425" t="s">
        <v>994</v>
      </c>
      <c r="J122" s="424" t="s">
        <v>697</v>
      </c>
      <c r="K122" s="425" t="s">
        <v>995</v>
      </c>
      <c r="L122" s="425" t="s">
        <v>996</v>
      </c>
      <c r="M122" s="425" t="s">
        <v>997</v>
      </c>
      <c r="N122" s="425" t="s">
        <v>558</v>
      </c>
      <c r="O122" s="424" t="s">
        <v>998</v>
      </c>
      <c r="P122" s="425" t="s">
        <v>999</v>
      </c>
      <c r="Q122" s="425" t="s">
        <v>1000</v>
      </c>
      <c r="R122" s="425" t="s">
        <v>1001</v>
      </c>
      <c r="S122" s="425" t="s">
        <v>1002</v>
      </c>
      <c r="T122" s="423" t="s">
        <v>2032</v>
      </c>
      <c r="U122" s="423" t="s">
        <v>2032</v>
      </c>
      <c r="V122" s="423" t="s">
        <v>2032</v>
      </c>
      <c r="W122" s="423" t="s">
        <v>2032</v>
      </c>
      <c r="X122" s="423" t="s">
        <v>2032</v>
      </c>
      <c r="Y122" s="423" t="s">
        <v>2032</v>
      </c>
      <c r="Z122" s="423" t="s">
        <v>2032</v>
      </c>
      <c r="AD122" s="423">
        <f>IF(ISNUMBER(MATCH(B122,'FICHA SOLIC'!$AB$26:$AB$376,0)),1,0)</f>
        <v>1</v>
      </c>
      <c r="AE122" s="423" t="str">
        <f t="shared" si="1"/>
        <v>BuinPRMS</v>
      </c>
    </row>
    <row r="123" spans="1:31" x14ac:dyDescent="0.25">
      <c r="A123" s="423">
        <v>122</v>
      </c>
      <c r="B123" s="423" t="s">
        <v>283</v>
      </c>
      <c r="C123" s="423" t="s">
        <v>1041</v>
      </c>
      <c r="D123" s="972" t="s">
        <v>990</v>
      </c>
      <c r="E123" s="973" t="s">
        <v>991</v>
      </c>
      <c r="F123" s="973" t="s">
        <v>992</v>
      </c>
      <c r="G123" s="973" t="s">
        <v>1997</v>
      </c>
      <c r="H123" s="973" t="s">
        <v>1998</v>
      </c>
      <c r="I123" s="973" t="s">
        <v>1999</v>
      </c>
      <c r="J123" s="972" t="s">
        <v>697</v>
      </c>
      <c r="K123" s="973" t="s">
        <v>995</v>
      </c>
      <c r="L123" s="973" t="s">
        <v>996</v>
      </c>
      <c r="M123" s="973" t="s">
        <v>2000</v>
      </c>
      <c r="N123" s="973" t="s">
        <v>2001</v>
      </c>
      <c r="O123" s="972" t="s">
        <v>1971</v>
      </c>
      <c r="P123" s="973" t="s">
        <v>999</v>
      </c>
      <c r="Q123" s="973" t="s">
        <v>1000</v>
      </c>
      <c r="R123" s="973" t="s">
        <v>1001</v>
      </c>
      <c r="S123" s="973" t="s">
        <v>1002</v>
      </c>
      <c r="T123" s="423" t="s">
        <v>1041</v>
      </c>
      <c r="U123" s="423" t="s">
        <v>1041</v>
      </c>
      <c r="V123" s="423" t="s">
        <v>1041</v>
      </c>
      <c r="W123" s="423" t="s">
        <v>1041</v>
      </c>
      <c r="X123" s="423" t="s">
        <v>1041</v>
      </c>
      <c r="Y123" s="423" t="s">
        <v>1041</v>
      </c>
      <c r="Z123" s="423" t="s">
        <v>1041</v>
      </c>
      <c r="AD123" s="423">
        <f>IF(ISNUMBER(MATCH(B123,'FICHA SOLIC'!$AB$26:$AB$376,0)),1,0)</f>
        <v>1</v>
      </c>
      <c r="AE123" s="423" t="str">
        <f t="shared" si="1"/>
        <v>BulnesOGUC</v>
      </c>
    </row>
    <row r="124" spans="1:31" x14ac:dyDescent="0.25">
      <c r="A124" s="423">
        <v>123</v>
      </c>
      <c r="B124" s="423" t="s">
        <v>160</v>
      </c>
      <c r="C124" s="423" t="s">
        <v>1041</v>
      </c>
      <c r="D124" s="972" t="s">
        <v>990</v>
      </c>
      <c r="E124" s="973" t="s">
        <v>991</v>
      </c>
      <c r="F124" s="973" t="s">
        <v>992</v>
      </c>
      <c r="G124" s="973" t="s">
        <v>1997</v>
      </c>
      <c r="H124" s="973" t="s">
        <v>1998</v>
      </c>
      <c r="I124" s="973" t="s">
        <v>1999</v>
      </c>
      <c r="J124" s="972" t="s">
        <v>697</v>
      </c>
      <c r="K124" s="973" t="s">
        <v>995</v>
      </c>
      <c r="L124" s="973" t="s">
        <v>996</v>
      </c>
      <c r="M124" s="973" t="s">
        <v>2000</v>
      </c>
      <c r="N124" s="973" t="s">
        <v>2001</v>
      </c>
      <c r="O124" s="972" t="s">
        <v>1971</v>
      </c>
      <c r="P124" s="973" t="s">
        <v>999</v>
      </c>
      <c r="Q124" s="973" t="s">
        <v>1000</v>
      </c>
      <c r="R124" s="973" t="s">
        <v>1001</v>
      </c>
      <c r="S124" s="973" t="s">
        <v>1002</v>
      </c>
      <c r="T124" s="423" t="s">
        <v>1041</v>
      </c>
      <c r="U124" s="423" t="s">
        <v>1041</v>
      </c>
      <c r="V124" s="423" t="s">
        <v>1041</v>
      </c>
      <c r="W124" s="423" t="s">
        <v>1041</v>
      </c>
      <c r="X124" s="423" t="s">
        <v>1041</v>
      </c>
      <c r="Y124" s="423" t="s">
        <v>1041</v>
      </c>
      <c r="Z124" s="423" t="s">
        <v>1041</v>
      </c>
      <c r="AD124" s="423">
        <f>IF(ISNUMBER(MATCH(B124,'FICHA SOLIC'!$AB$26:$AB$376,0)),1,0)</f>
        <v>1</v>
      </c>
      <c r="AE124" s="423" t="str">
        <f t="shared" si="1"/>
        <v>CabildoOGUC</v>
      </c>
    </row>
    <row r="125" spans="1:31" x14ac:dyDescent="0.25">
      <c r="A125" s="423">
        <v>124</v>
      </c>
      <c r="B125" s="423" t="s">
        <v>270</v>
      </c>
      <c r="C125" s="423" t="s">
        <v>1041</v>
      </c>
      <c r="D125" s="972" t="s">
        <v>990</v>
      </c>
      <c r="E125" s="973" t="s">
        <v>991</v>
      </c>
      <c r="F125" s="973" t="s">
        <v>992</v>
      </c>
      <c r="G125" s="973" t="s">
        <v>1997</v>
      </c>
      <c r="H125" s="973" t="s">
        <v>1998</v>
      </c>
      <c r="I125" s="973" t="s">
        <v>1999</v>
      </c>
      <c r="J125" s="972" t="s">
        <v>697</v>
      </c>
      <c r="K125" s="973" t="s">
        <v>995</v>
      </c>
      <c r="L125" s="973" t="s">
        <v>996</v>
      </c>
      <c r="M125" s="973" t="s">
        <v>2000</v>
      </c>
      <c r="N125" s="973" t="s">
        <v>2001</v>
      </c>
      <c r="O125" s="972" t="s">
        <v>1971</v>
      </c>
      <c r="P125" s="973" t="s">
        <v>999</v>
      </c>
      <c r="Q125" s="973" t="s">
        <v>1000</v>
      </c>
      <c r="R125" s="973" t="s">
        <v>1001</v>
      </c>
      <c r="S125" s="973" t="s">
        <v>1002</v>
      </c>
      <c r="T125" s="423" t="s">
        <v>1041</v>
      </c>
      <c r="U125" s="423" t="s">
        <v>1041</v>
      </c>
      <c r="V125" s="423" t="s">
        <v>1041</v>
      </c>
      <c r="W125" s="423" t="s">
        <v>1041</v>
      </c>
      <c r="X125" s="423" t="s">
        <v>1041</v>
      </c>
      <c r="Y125" s="423" t="s">
        <v>1041</v>
      </c>
      <c r="Z125" s="423" t="s">
        <v>1041</v>
      </c>
      <c r="AD125" s="423">
        <f>IF(ISNUMBER(MATCH(B125,'FICHA SOLIC'!$AB$26:$AB$376,0)),1,0)</f>
        <v>1</v>
      </c>
      <c r="AE125" s="423" t="str">
        <f t="shared" si="1"/>
        <v>CabreroOGUC</v>
      </c>
    </row>
    <row r="126" spans="1:31" x14ac:dyDescent="0.25">
      <c r="A126" s="423">
        <v>125</v>
      </c>
      <c r="B126" s="423" t="s">
        <v>2118</v>
      </c>
      <c r="C126" s="423" t="s">
        <v>1041</v>
      </c>
      <c r="D126" s="972" t="s">
        <v>990</v>
      </c>
      <c r="E126" s="973" t="s">
        <v>991</v>
      </c>
      <c r="F126" s="973" t="s">
        <v>992</v>
      </c>
      <c r="G126" s="973" t="s">
        <v>1997</v>
      </c>
      <c r="H126" s="973" t="s">
        <v>1998</v>
      </c>
      <c r="I126" s="973" t="s">
        <v>1999</v>
      </c>
      <c r="J126" s="972" t="s">
        <v>697</v>
      </c>
      <c r="K126" s="973" t="s">
        <v>995</v>
      </c>
      <c r="L126" s="973" t="s">
        <v>996</v>
      </c>
      <c r="M126" s="973" t="s">
        <v>2000</v>
      </c>
      <c r="N126" s="973" t="s">
        <v>2001</v>
      </c>
      <c r="O126" s="972" t="s">
        <v>1971</v>
      </c>
      <c r="P126" s="973" t="s">
        <v>999</v>
      </c>
      <c r="Q126" s="973" t="s">
        <v>1000</v>
      </c>
      <c r="R126" s="973" t="s">
        <v>1001</v>
      </c>
      <c r="S126" s="973" t="s">
        <v>1002</v>
      </c>
      <c r="T126" s="423" t="s">
        <v>1041</v>
      </c>
      <c r="U126" s="423" t="s">
        <v>1041</v>
      </c>
      <c r="V126" s="423" t="s">
        <v>1041</v>
      </c>
      <c r="W126" s="423" t="s">
        <v>1041</v>
      </c>
      <c r="X126" s="423" t="s">
        <v>1041</v>
      </c>
      <c r="Y126" s="423" t="s">
        <v>1041</v>
      </c>
      <c r="Z126" s="423" t="s">
        <v>1041</v>
      </c>
      <c r="AD126" s="423">
        <f>IF(ISNUMBER(MATCH(B126,'FICHA SOLIC'!$AB$26:$AB$376,0)),1,0)</f>
        <v>0</v>
      </c>
      <c r="AE126" s="423" t="str">
        <f t="shared" si="1"/>
        <v>CachapoalOGUC</v>
      </c>
    </row>
    <row r="127" spans="1:31" x14ac:dyDescent="0.25">
      <c r="A127" s="423">
        <v>126</v>
      </c>
      <c r="B127" s="423" t="s">
        <v>100</v>
      </c>
      <c r="C127" s="423" t="s">
        <v>1454</v>
      </c>
      <c r="D127" s="972" t="s">
        <v>990</v>
      </c>
      <c r="E127" s="973" t="s">
        <v>991</v>
      </c>
      <c r="F127" s="973" t="s">
        <v>992</v>
      </c>
      <c r="G127" s="973" t="s">
        <v>1997</v>
      </c>
      <c r="H127" s="973" t="s">
        <v>1998</v>
      </c>
      <c r="I127" s="973" t="s">
        <v>1999</v>
      </c>
      <c r="J127" s="972" t="s">
        <v>697</v>
      </c>
      <c r="K127" s="973" t="s">
        <v>995</v>
      </c>
      <c r="L127" s="973" t="s">
        <v>996</v>
      </c>
      <c r="M127" s="973" t="s">
        <v>2000</v>
      </c>
      <c r="N127" s="973" t="s">
        <v>2001</v>
      </c>
      <c r="O127" s="972" t="s">
        <v>1971</v>
      </c>
      <c r="P127" s="973" t="s">
        <v>999</v>
      </c>
      <c r="Q127" s="973" t="s">
        <v>1000</v>
      </c>
      <c r="R127" s="973" t="s">
        <v>1001</v>
      </c>
      <c r="S127" s="973" t="s">
        <v>1002</v>
      </c>
      <c r="T127" s="423">
        <v>1000</v>
      </c>
      <c r="U127" s="423">
        <v>20</v>
      </c>
      <c r="V127" s="423">
        <v>91</v>
      </c>
      <c r="W127" s="423">
        <v>3.9</v>
      </c>
      <c r="X127" s="423" t="s">
        <v>1173</v>
      </c>
      <c r="Y127" s="423" t="s">
        <v>1041</v>
      </c>
      <c r="Z127" s="423" t="s">
        <v>1059</v>
      </c>
      <c r="AD127" s="423">
        <f>IF(ISNUMBER(MATCH(B127,'FICHA SOLIC'!$AB$26:$AB$376,0)),1,0)</f>
        <v>1</v>
      </c>
      <c r="AE127" s="423" t="str">
        <f t="shared" si="1"/>
        <v>CalamaZE-1</v>
      </c>
    </row>
    <row r="128" spans="1:31" x14ac:dyDescent="0.25">
      <c r="A128" s="423">
        <v>127</v>
      </c>
      <c r="B128" s="423" t="s">
        <v>100</v>
      </c>
      <c r="C128" s="423" t="s">
        <v>1474</v>
      </c>
      <c r="D128" s="972" t="s">
        <v>990</v>
      </c>
      <c r="E128" s="973" t="s">
        <v>991</v>
      </c>
      <c r="F128" s="973" t="s">
        <v>992</v>
      </c>
      <c r="G128" s="973" t="s">
        <v>1997</v>
      </c>
      <c r="H128" s="973" t="s">
        <v>1998</v>
      </c>
      <c r="I128" s="973" t="s">
        <v>1999</v>
      </c>
      <c r="J128" s="972" t="s">
        <v>697</v>
      </c>
      <c r="K128" s="973" t="s">
        <v>995</v>
      </c>
      <c r="L128" s="973" t="s">
        <v>996</v>
      </c>
      <c r="M128" s="973" t="s">
        <v>2000</v>
      </c>
      <c r="N128" s="973" t="s">
        <v>2001</v>
      </c>
      <c r="O128" s="972" t="s">
        <v>1971</v>
      </c>
      <c r="P128" s="973" t="s">
        <v>999</v>
      </c>
      <c r="Q128" s="973" t="s">
        <v>1000</v>
      </c>
      <c r="R128" s="973" t="s">
        <v>1001</v>
      </c>
      <c r="S128" s="973" t="s">
        <v>1002</v>
      </c>
      <c r="T128" s="423">
        <v>250</v>
      </c>
      <c r="U128" s="423">
        <v>10</v>
      </c>
      <c r="V128" s="423">
        <v>52</v>
      </c>
      <c r="W128" s="423">
        <v>3.25</v>
      </c>
      <c r="X128" s="423" t="s">
        <v>1438</v>
      </c>
      <c r="Y128" s="423" t="s">
        <v>1041</v>
      </c>
      <c r="Z128" s="423" t="s">
        <v>1058</v>
      </c>
      <c r="AD128" s="423">
        <f>IF(ISNUMBER(MATCH(B128,'FICHA SOLIC'!$AB$26:$AB$376,0)),1,0)</f>
        <v>1</v>
      </c>
      <c r="AE128" s="423" t="str">
        <f t="shared" si="1"/>
        <v>CalamaZE-2</v>
      </c>
    </row>
    <row r="129" spans="1:31" x14ac:dyDescent="0.25">
      <c r="A129" s="423">
        <v>128</v>
      </c>
      <c r="B129" s="423" t="s">
        <v>100</v>
      </c>
      <c r="C129" s="423" t="s">
        <v>1475</v>
      </c>
      <c r="D129" s="972" t="s">
        <v>990</v>
      </c>
      <c r="E129" s="973" t="s">
        <v>991</v>
      </c>
      <c r="F129" s="973" t="s">
        <v>992</v>
      </c>
      <c r="G129" s="973" t="s">
        <v>1997</v>
      </c>
      <c r="H129" s="973" t="s">
        <v>1998</v>
      </c>
      <c r="I129" s="973" t="s">
        <v>1999</v>
      </c>
      <c r="J129" s="972" t="s">
        <v>697</v>
      </c>
      <c r="K129" s="973" t="s">
        <v>995</v>
      </c>
      <c r="L129" s="973" t="s">
        <v>996</v>
      </c>
      <c r="M129" s="973" t="s">
        <v>2000</v>
      </c>
      <c r="N129" s="973" t="s">
        <v>2001</v>
      </c>
      <c r="O129" s="972" t="s">
        <v>1971</v>
      </c>
      <c r="P129" s="973" t="s">
        <v>999</v>
      </c>
      <c r="Q129" s="973" t="s">
        <v>1000</v>
      </c>
      <c r="R129" s="973" t="s">
        <v>1001</v>
      </c>
      <c r="S129" s="973" t="s">
        <v>1002</v>
      </c>
      <c r="T129" s="423">
        <v>250</v>
      </c>
      <c r="U129" s="423">
        <v>10</v>
      </c>
      <c r="V129" s="423">
        <v>52</v>
      </c>
      <c r="W129" s="423">
        <v>3.25</v>
      </c>
      <c r="X129" s="423" t="s">
        <v>2119</v>
      </c>
      <c r="Y129" s="423" t="s">
        <v>1041</v>
      </c>
      <c r="Z129" s="423" t="s">
        <v>1057</v>
      </c>
      <c r="AD129" s="423">
        <f>IF(ISNUMBER(MATCH(B129,'FICHA SOLIC'!$AB$26:$AB$376,0)),1,0)</f>
        <v>1</v>
      </c>
      <c r="AE129" s="423" t="str">
        <f t="shared" si="1"/>
        <v>CalamaZE-3</v>
      </c>
    </row>
    <row r="130" spans="1:31" x14ac:dyDescent="0.25">
      <c r="A130" s="423">
        <v>129</v>
      </c>
      <c r="B130" s="423" t="s">
        <v>100</v>
      </c>
      <c r="C130" s="423" t="s">
        <v>1476</v>
      </c>
      <c r="D130" s="972" t="s">
        <v>990</v>
      </c>
      <c r="E130" s="973" t="s">
        <v>991</v>
      </c>
      <c r="F130" s="973" t="s">
        <v>992</v>
      </c>
      <c r="G130" s="973" t="s">
        <v>1997</v>
      </c>
      <c r="H130" s="973" t="s">
        <v>1998</v>
      </c>
      <c r="I130" s="973" t="s">
        <v>1999</v>
      </c>
      <c r="J130" s="972" t="s">
        <v>697</v>
      </c>
      <c r="K130" s="973" t="s">
        <v>995</v>
      </c>
      <c r="L130" s="973" t="s">
        <v>996</v>
      </c>
      <c r="M130" s="973" t="s">
        <v>2000</v>
      </c>
      <c r="N130" s="973" t="s">
        <v>2001</v>
      </c>
      <c r="O130" s="972" t="s">
        <v>1971</v>
      </c>
      <c r="P130" s="973" t="s">
        <v>999</v>
      </c>
      <c r="Q130" s="973" t="s">
        <v>1000</v>
      </c>
      <c r="R130" s="973" t="s">
        <v>1001</v>
      </c>
      <c r="S130" s="973" t="s">
        <v>1002</v>
      </c>
      <c r="T130" s="423">
        <v>160</v>
      </c>
      <c r="U130" s="423">
        <v>10</v>
      </c>
      <c r="V130" s="423">
        <v>65</v>
      </c>
      <c r="W130" s="423">
        <v>3.1</v>
      </c>
      <c r="X130" s="423" t="s">
        <v>2119</v>
      </c>
      <c r="Y130" s="423" t="s">
        <v>1041</v>
      </c>
      <c r="Z130" s="423" t="s">
        <v>1059</v>
      </c>
      <c r="AD130" s="423">
        <f>IF(ISNUMBER(MATCH(B130,'FICHA SOLIC'!$AB$26:$AB$376,0)),1,0)</f>
        <v>1</v>
      </c>
      <c r="AE130" s="423" t="str">
        <f t="shared" si="1"/>
        <v>CalamaZE-4</v>
      </c>
    </row>
    <row r="131" spans="1:31" x14ac:dyDescent="0.25">
      <c r="A131" s="423">
        <v>130</v>
      </c>
      <c r="B131" s="423" t="s">
        <v>100</v>
      </c>
      <c r="C131" s="423" t="s">
        <v>1477</v>
      </c>
      <c r="D131" s="972" t="s">
        <v>990</v>
      </c>
      <c r="E131" s="973" t="s">
        <v>991</v>
      </c>
      <c r="F131" s="973" t="s">
        <v>992</v>
      </c>
      <c r="G131" s="973" t="s">
        <v>1997</v>
      </c>
      <c r="H131" s="973" t="s">
        <v>1998</v>
      </c>
      <c r="I131" s="973" t="s">
        <v>1999</v>
      </c>
      <c r="J131" s="972" t="s">
        <v>697</v>
      </c>
      <c r="K131" s="973" t="s">
        <v>995</v>
      </c>
      <c r="L131" s="973" t="s">
        <v>996</v>
      </c>
      <c r="M131" s="973" t="s">
        <v>2000</v>
      </c>
      <c r="N131" s="973" t="s">
        <v>2001</v>
      </c>
      <c r="O131" s="972" t="s">
        <v>1971</v>
      </c>
      <c r="P131" s="973" t="s">
        <v>999</v>
      </c>
      <c r="Q131" s="973" t="s">
        <v>1000</v>
      </c>
      <c r="R131" s="973" t="s">
        <v>1001</v>
      </c>
      <c r="S131" s="973" t="s">
        <v>1002</v>
      </c>
      <c r="T131" s="423">
        <v>5000</v>
      </c>
      <c r="U131" s="423">
        <v>50</v>
      </c>
      <c r="V131" s="423">
        <v>42</v>
      </c>
      <c r="W131" s="423">
        <v>2.6</v>
      </c>
      <c r="X131" s="423" t="s">
        <v>1173</v>
      </c>
      <c r="Y131" s="423" t="s">
        <v>1041</v>
      </c>
      <c r="Z131" s="423" t="s">
        <v>1058</v>
      </c>
      <c r="AD131" s="423">
        <f>IF(ISNUMBER(MATCH(B131,'FICHA SOLIC'!$AB$26:$AB$376,0)),1,0)</f>
        <v>1</v>
      </c>
      <c r="AE131" s="423" t="str">
        <f t="shared" ref="AE131:AE194" si="2">B131&amp;C131</f>
        <v>CalamaZE-5</v>
      </c>
    </row>
    <row r="132" spans="1:31" x14ac:dyDescent="0.25">
      <c r="A132" s="423">
        <v>131</v>
      </c>
      <c r="B132" s="423" t="s">
        <v>100</v>
      </c>
      <c r="C132" s="423" t="s">
        <v>1478</v>
      </c>
      <c r="D132" s="972" t="s">
        <v>990</v>
      </c>
      <c r="E132" s="973" t="s">
        <v>991</v>
      </c>
      <c r="F132" s="973" t="s">
        <v>992</v>
      </c>
      <c r="G132" s="973" t="s">
        <v>1997</v>
      </c>
      <c r="H132" s="973" t="s">
        <v>1998</v>
      </c>
      <c r="I132" s="973" t="s">
        <v>1999</v>
      </c>
      <c r="J132" s="972" t="s">
        <v>697</v>
      </c>
      <c r="K132" s="973" t="s">
        <v>995</v>
      </c>
      <c r="L132" s="973" t="s">
        <v>996</v>
      </c>
      <c r="M132" s="973" t="s">
        <v>2000</v>
      </c>
      <c r="N132" s="973" t="s">
        <v>2001</v>
      </c>
      <c r="O132" s="972" t="s">
        <v>1971</v>
      </c>
      <c r="P132" s="973" t="s">
        <v>999</v>
      </c>
      <c r="Q132" s="973" t="s">
        <v>1000</v>
      </c>
      <c r="R132" s="973" t="s">
        <v>1001</v>
      </c>
      <c r="S132" s="973" t="s">
        <v>1002</v>
      </c>
      <c r="T132" s="423">
        <v>500</v>
      </c>
      <c r="U132" s="423">
        <v>15</v>
      </c>
      <c r="V132" s="423">
        <v>65</v>
      </c>
      <c r="W132" s="423">
        <v>2.6</v>
      </c>
      <c r="X132" s="423">
        <v>7.2</v>
      </c>
      <c r="Y132" s="423" t="s">
        <v>1041</v>
      </c>
      <c r="Z132" s="423" t="s">
        <v>1058</v>
      </c>
      <c r="AD132" s="423">
        <f>IF(ISNUMBER(MATCH(B132,'FICHA SOLIC'!$AB$26:$AB$376,0)),1,0)</f>
        <v>1</v>
      </c>
      <c r="AE132" s="423" t="str">
        <f t="shared" si="2"/>
        <v>CalamaZE-6</v>
      </c>
    </row>
    <row r="133" spans="1:31" x14ac:dyDescent="0.25">
      <c r="A133" s="423">
        <v>132</v>
      </c>
      <c r="B133" s="423" t="s">
        <v>100</v>
      </c>
      <c r="C133" s="423" t="s">
        <v>1479</v>
      </c>
      <c r="D133" s="972" t="s">
        <v>990</v>
      </c>
      <c r="E133" s="973" t="s">
        <v>991</v>
      </c>
      <c r="F133" s="973" t="s">
        <v>992</v>
      </c>
      <c r="G133" s="973" t="s">
        <v>1997</v>
      </c>
      <c r="H133" s="973" t="s">
        <v>1998</v>
      </c>
      <c r="I133" s="973" t="s">
        <v>1999</v>
      </c>
      <c r="J133" s="972" t="s">
        <v>697</v>
      </c>
      <c r="K133" s="973" t="s">
        <v>995</v>
      </c>
      <c r="L133" s="973" t="s">
        <v>996</v>
      </c>
      <c r="M133" s="973" t="s">
        <v>2000</v>
      </c>
      <c r="N133" s="973" t="s">
        <v>2001</v>
      </c>
      <c r="O133" s="972" t="s">
        <v>1971</v>
      </c>
      <c r="P133" s="973" t="s">
        <v>999</v>
      </c>
      <c r="Q133" s="973" t="s">
        <v>1000</v>
      </c>
      <c r="R133" s="973" t="s">
        <v>1001</v>
      </c>
      <c r="S133" s="973" t="s">
        <v>1002</v>
      </c>
      <c r="T133" s="423">
        <v>5000</v>
      </c>
      <c r="U133" s="423">
        <v>50</v>
      </c>
      <c r="V133" s="423">
        <v>39</v>
      </c>
      <c r="W133" s="423">
        <v>2.6</v>
      </c>
      <c r="X133" s="423" t="s">
        <v>1173</v>
      </c>
      <c r="Y133" s="423" t="s">
        <v>1041</v>
      </c>
      <c r="Z133" s="423" t="s">
        <v>1058</v>
      </c>
      <c r="AD133" s="423">
        <f>IF(ISNUMBER(MATCH(B133,'FICHA SOLIC'!$AB$26:$AB$376,0)),1,0)</f>
        <v>1</v>
      </c>
      <c r="AE133" s="423" t="str">
        <f t="shared" si="2"/>
        <v>CalamaZE-7</v>
      </c>
    </row>
    <row r="134" spans="1:31" x14ac:dyDescent="0.25">
      <c r="A134" s="423">
        <v>133</v>
      </c>
      <c r="B134" s="423" t="s">
        <v>100</v>
      </c>
      <c r="C134" s="423" t="s">
        <v>2120</v>
      </c>
      <c r="D134" s="972" t="s">
        <v>990</v>
      </c>
      <c r="E134" s="973" t="s">
        <v>991</v>
      </c>
      <c r="F134" s="973" t="s">
        <v>992</v>
      </c>
      <c r="G134" s="973" t="s">
        <v>1997</v>
      </c>
      <c r="H134" s="973" t="s">
        <v>1998</v>
      </c>
      <c r="I134" s="973" t="s">
        <v>1999</v>
      </c>
      <c r="J134" s="972" t="s">
        <v>697</v>
      </c>
      <c r="K134" s="973" t="s">
        <v>995</v>
      </c>
      <c r="L134" s="973" t="s">
        <v>996</v>
      </c>
      <c r="M134" s="973" t="s">
        <v>2000</v>
      </c>
      <c r="N134" s="973" t="s">
        <v>2001</v>
      </c>
      <c r="O134" s="972" t="s">
        <v>1971</v>
      </c>
      <c r="P134" s="973" t="s">
        <v>999</v>
      </c>
      <c r="Q134" s="973" t="s">
        <v>1000</v>
      </c>
      <c r="R134" s="973" t="s">
        <v>1001</v>
      </c>
      <c r="S134" s="973" t="s">
        <v>1002</v>
      </c>
      <c r="T134" s="423">
        <v>700</v>
      </c>
      <c r="U134" s="423">
        <v>20</v>
      </c>
      <c r="V134" s="423">
        <v>39</v>
      </c>
      <c r="W134" s="423">
        <v>0.65</v>
      </c>
      <c r="X134" s="423" t="s">
        <v>2121</v>
      </c>
      <c r="Y134" s="423" t="s">
        <v>1041</v>
      </c>
      <c r="Z134" s="423" t="s">
        <v>1058</v>
      </c>
      <c r="AD134" s="423">
        <f>IF(ISNUMBER(MATCH(B134,'FICHA SOLIC'!$AB$26:$AB$376,0)),1,0)</f>
        <v>1</v>
      </c>
      <c r="AE134" s="423" t="str">
        <f t="shared" si="2"/>
        <v>CalamaZE-R</v>
      </c>
    </row>
    <row r="135" spans="1:31" x14ac:dyDescent="0.25">
      <c r="A135" s="423">
        <v>134</v>
      </c>
      <c r="B135" s="423" t="s">
        <v>100</v>
      </c>
      <c r="C135" s="423" t="s">
        <v>2122</v>
      </c>
      <c r="D135" s="972" t="s">
        <v>990</v>
      </c>
      <c r="E135" s="973" t="s">
        <v>991</v>
      </c>
      <c r="F135" s="973" t="s">
        <v>992</v>
      </c>
      <c r="G135" s="973" t="s">
        <v>1997</v>
      </c>
      <c r="H135" s="973" t="s">
        <v>1998</v>
      </c>
      <c r="I135" s="973" t="s">
        <v>1999</v>
      </c>
      <c r="J135" s="972" t="s">
        <v>697</v>
      </c>
      <c r="K135" s="973" t="s">
        <v>995</v>
      </c>
      <c r="L135" s="973" t="s">
        <v>996</v>
      </c>
      <c r="M135" s="973" t="s">
        <v>2000</v>
      </c>
      <c r="N135" s="973" t="s">
        <v>2001</v>
      </c>
      <c r="O135" s="972" t="s">
        <v>1971</v>
      </c>
      <c r="P135" s="973" t="s">
        <v>999</v>
      </c>
      <c r="Q135" s="973" t="s">
        <v>1000</v>
      </c>
      <c r="R135" s="973" t="s">
        <v>1001</v>
      </c>
      <c r="S135" s="973" t="s">
        <v>1002</v>
      </c>
      <c r="T135" s="423">
        <v>5000</v>
      </c>
      <c r="U135" s="423">
        <v>40</v>
      </c>
      <c r="V135" s="423">
        <v>8</v>
      </c>
      <c r="W135" s="423">
        <v>0.1</v>
      </c>
      <c r="X135" s="423" t="s">
        <v>2123</v>
      </c>
      <c r="Y135" s="423" t="s">
        <v>1041</v>
      </c>
      <c r="Z135" s="423" t="s">
        <v>1058</v>
      </c>
      <c r="AD135" s="423">
        <f>IF(ISNUMBER(MATCH(B135,'FICHA SOLIC'!$AB$26:$AB$376,0)),1,0)</f>
        <v>1</v>
      </c>
      <c r="AE135" s="423" t="str">
        <f t="shared" si="2"/>
        <v>CalamaZR-1A</v>
      </c>
    </row>
    <row r="136" spans="1:31" x14ac:dyDescent="0.25">
      <c r="A136" s="423">
        <v>135</v>
      </c>
      <c r="B136" s="423" t="s">
        <v>100</v>
      </c>
      <c r="C136" s="423" t="s">
        <v>2124</v>
      </c>
      <c r="D136" s="972" t="s">
        <v>990</v>
      </c>
      <c r="E136" s="973" t="s">
        <v>991</v>
      </c>
      <c r="F136" s="973" t="s">
        <v>992</v>
      </c>
      <c r="G136" s="973" t="s">
        <v>1997</v>
      </c>
      <c r="H136" s="973" t="s">
        <v>1998</v>
      </c>
      <c r="I136" s="973" t="s">
        <v>1999</v>
      </c>
      <c r="J136" s="972" t="s">
        <v>697</v>
      </c>
      <c r="K136" s="973" t="s">
        <v>995</v>
      </c>
      <c r="L136" s="973" t="s">
        <v>996</v>
      </c>
      <c r="M136" s="973" t="s">
        <v>2000</v>
      </c>
      <c r="N136" s="973" t="s">
        <v>2001</v>
      </c>
      <c r="O136" s="972" t="s">
        <v>1971</v>
      </c>
      <c r="P136" s="973" t="s">
        <v>999</v>
      </c>
      <c r="Q136" s="973" t="s">
        <v>1000</v>
      </c>
      <c r="R136" s="973" t="s">
        <v>1001</v>
      </c>
      <c r="S136" s="973" t="s">
        <v>1002</v>
      </c>
      <c r="T136" s="423">
        <v>5000</v>
      </c>
      <c r="U136" s="423">
        <v>40</v>
      </c>
      <c r="V136" s="423">
        <v>8</v>
      </c>
      <c r="W136" s="423">
        <v>0.12</v>
      </c>
      <c r="X136" s="423" t="s">
        <v>2123</v>
      </c>
      <c r="Y136" s="423" t="s">
        <v>1041</v>
      </c>
      <c r="Z136" s="423" t="s">
        <v>1058</v>
      </c>
      <c r="AD136" s="423">
        <f>IF(ISNUMBER(MATCH(B136,'FICHA SOLIC'!$AB$26:$AB$376,0)),1,0)</f>
        <v>1</v>
      </c>
      <c r="AE136" s="423" t="str">
        <f t="shared" si="2"/>
        <v>CalamaZR-1B</v>
      </c>
    </row>
    <row r="137" spans="1:31" x14ac:dyDescent="0.25">
      <c r="A137" s="423">
        <v>136</v>
      </c>
      <c r="B137" s="423" t="s">
        <v>100</v>
      </c>
      <c r="C137" s="423" t="s">
        <v>1241</v>
      </c>
      <c r="D137" s="972" t="s">
        <v>990</v>
      </c>
      <c r="E137" s="973" t="s">
        <v>991</v>
      </c>
      <c r="F137" s="973" t="s">
        <v>992</v>
      </c>
      <c r="G137" s="973" t="s">
        <v>1997</v>
      </c>
      <c r="H137" s="973" t="s">
        <v>1998</v>
      </c>
      <c r="I137" s="973" t="s">
        <v>1999</v>
      </c>
      <c r="J137" s="972" t="s">
        <v>697</v>
      </c>
      <c r="K137" s="973" t="s">
        <v>995</v>
      </c>
      <c r="L137" s="973" t="s">
        <v>996</v>
      </c>
      <c r="M137" s="973" t="s">
        <v>2000</v>
      </c>
      <c r="N137" s="973" t="s">
        <v>2001</v>
      </c>
      <c r="O137" s="972" t="s">
        <v>1971</v>
      </c>
      <c r="P137" s="973" t="s">
        <v>999</v>
      </c>
      <c r="Q137" s="973" t="s">
        <v>1000</v>
      </c>
      <c r="R137" s="973" t="s">
        <v>1001</v>
      </c>
      <c r="S137" s="973" t="s">
        <v>1002</v>
      </c>
      <c r="T137" s="423" t="s">
        <v>2125</v>
      </c>
      <c r="U137" s="423" t="s">
        <v>1097</v>
      </c>
      <c r="V137" s="423" t="s">
        <v>1097</v>
      </c>
      <c r="W137" s="423" t="s">
        <v>1097</v>
      </c>
      <c r="X137" s="423" t="s">
        <v>1097</v>
      </c>
      <c r="Y137" s="423" t="s">
        <v>1097</v>
      </c>
      <c r="Z137" s="423" t="s">
        <v>1097</v>
      </c>
      <c r="AD137" s="423">
        <f>IF(ISNUMBER(MATCH(B137,'FICHA SOLIC'!$AB$26:$AB$376,0)),1,0)</f>
        <v>1</v>
      </c>
      <c r="AE137" s="423" t="str">
        <f t="shared" si="2"/>
        <v>CalamaZU-1</v>
      </c>
    </row>
    <row r="138" spans="1:31" x14ac:dyDescent="0.25">
      <c r="A138" s="423">
        <v>137</v>
      </c>
      <c r="B138" s="423" t="s">
        <v>100</v>
      </c>
      <c r="C138" s="423" t="s">
        <v>1242</v>
      </c>
      <c r="D138" s="972" t="s">
        <v>990</v>
      </c>
      <c r="E138" s="973" t="s">
        <v>991</v>
      </c>
      <c r="F138" s="973" t="s">
        <v>992</v>
      </c>
      <c r="G138" s="973" t="s">
        <v>1997</v>
      </c>
      <c r="H138" s="973" t="s">
        <v>1998</v>
      </c>
      <c r="I138" s="973" t="s">
        <v>1999</v>
      </c>
      <c r="J138" s="972" t="s">
        <v>697</v>
      </c>
      <c r="K138" s="973" t="s">
        <v>995</v>
      </c>
      <c r="L138" s="973" t="s">
        <v>996</v>
      </c>
      <c r="M138" s="973" t="s">
        <v>2000</v>
      </c>
      <c r="N138" s="973" t="s">
        <v>2001</v>
      </c>
      <c r="O138" s="972" t="s">
        <v>1971</v>
      </c>
      <c r="P138" s="973" t="s">
        <v>999</v>
      </c>
      <c r="Q138" s="973" t="s">
        <v>1000</v>
      </c>
      <c r="R138" s="973" t="s">
        <v>1001</v>
      </c>
      <c r="S138" s="973" t="s">
        <v>1002</v>
      </c>
      <c r="T138" s="423">
        <v>300</v>
      </c>
      <c r="U138" s="423">
        <v>15</v>
      </c>
      <c r="V138" s="423">
        <v>100</v>
      </c>
      <c r="W138" s="423">
        <v>3.9</v>
      </c>
      <c r="X138" s="423" t="s">
        <v>1172</v>
      </c>
      <c r="Y138" s="423" t="s">
        <v>1041</v>
      </c>
      <c r="Z138" s="423" t="s">
        <v>1059</v>
      </c>
      <c r="AD138" s="423">
        <f>IF(ISNUMBER(MATCH(B138,'FICHA SOLIC'!$AB$26:$AB$376,0)),1,0)</f>
        <v>1</v>
      </c>
      <c r="AE138" s="423" t="str">
        <f t="shared" si="2"/>
        <v>CalamaZU-2</v>
      </c>
    </row>
    <row r="139" spans="1:31" x14ac:dyDescent="0.25">
      <c r="A139" s="423">
        <v>138</v>
      </c>
      <c r="B139" s="423" t="s">
        <v>100</v>
      </c>
      <c r="C139" s="423" t="s">
        <v>1243</v>
      </c>
      <c r="D139" s="972" t="s">
        <v>990</v>
      </c>
      <c r="E139" s="973" t="s">
        <v>991</v>
      </c>
      <c r="F139" s="973" t="s">
        <v>992</v>
      </c>
      <c r="G139" s="973" t="s">
        <v>1997</v>
      </c>
      <c r="H139" s="973" t="s">
        <v>1998</v>
      </c>
      <c r="I139" s="973" t="s">
        <v>1999</v>
      </c>
      <c r="J139" s="972" t="s">
        <v>697</v>
      </c>
      <c r="K139" s="973" t="s">
        <v>995</v>
      </c>
      <c r="L139" s="973" t="s">
        <v>996</v>
      </c>
      <c r="M139" s="973" t="s">
        <v>2000</v>
      </c>
      <c r="N139" s="973" t="s">
        <v>2001</v>
      </c>
      <c r="O139" s="972" t="s">
        <v>1971</v>
      </c>
      <c r="P139" s="973" t="s">
        <v>999</v>
      </c>
      <c r="Q139" s="973" t="s">
        <v>1000</v>
      </c>
      <c r="R139" s="973" t="s">
        <v>1001</v>
      </c>
      <c r="S139" s="973" t="s">
        <v>1002</v>
      </c>
      <c r="T139" s="423">
        <v>500</v>
      </c>
      <c r="U139" s="423">
        <v>15</v>
      </c>
      <c r="V139" s="423">
        <v>65</v>
      </c>
      <c r="W139" s="423">
        <v>2.6</v>
      </c>
      <c r="X139" s="423" t="s">
        <v>1175</v>
      </c>
      <c r="Y139" s="423" t="s">
        <v>1041</v>
      </c>
      <c r="Z139" s="423" t="s">
        <v>1059</v>
      </c>
      <c r="AD139" s="423">
        <f>IF(ISNUMBER(MATCH(B139,'FICHA SOLIC'!$AB$26:$AB$376,0)),1,0)</f>
        <v>1</v>
      </c>
      <c r="AE139" s="423" t="str">
        <f t="shared" si="2"/>
        <v>CalamaZU-3</v>
      </c>
    </row>
    <row r="140" spans="1:31" x14ac:dyDescent="0.25">
      <c r="A140" s="423">
        <v>139</v>
      </c>
      <c r="B140" s="423" t="s">
        <v>100</v>
      </c>
      <c r="C140" s="423" t="s">
        <v>1244</v>
      </c>
      <c r="D140" s="972" t="s">
        <v>990</v>
      </c>
      <c r="E140" s="973" t="s">
        <v>991</v>
      </c>
      <c r="F140" s="973" t="s">
        <v>992</v>
      </c>
      <c r="G140" s="973" t="s">
        <v>1997</v>
      </c>
      <c r="H140" s="973" t="s">
        <v>1998</v>
      </c>
      <c r="I140" s="973" t="s">
        <v>1999</v>
      </c>
      <c r="J140" s="972" t="s">
        <v>697</v>
      </c>
      <c r="K140" s="973" t="s">
        <v>995</v>
      </c>
      <c r="L140" s="973" t="s">
        <v>996</v>
      </c>
      <c r="M140" s="973" t="s">
        <v>2000</v>
      </c>
      <c r="N140" s="973" t="s">
        <v>2001</v>
      </c>
      <c r="O140" s="972" t="s">
        <v>1971</v>
      </c>
      <c r="P140" s="973" t="s">
        <v>999</v>
      </c>
      <c r="Q140" s="973" t="s">
        <v>1000</v>
      </c>
      <c r="R140" s="973" t="s">
        <v>1001</v>
      </c>
      <c r="S140" s="973" t="s">
        <v>1002</v>
      </c>
      <c r="T140" s="423">
        <v>160</v>
      </c>
      <c r="U140" s="423">
        <v>8</v>
      </c>
      <c r="V140" s="423">
        <v>91</v>
      </c>
      <c r="W140" s="423">
        <v>3</v>
      </c>
      <c r="X140" s="423" t="s">
        <v>2126</v>
      </c>
      <c r="Y140" s="423" t="s">
        <v>1041</v>
      </c>
      <c r="Z140" s="423" t="s">
        <v>1059</v>
      </c>
      <c r="AD140" s="423">
        <f>IF(ISNUMBER(MATCH(B140,'FICHA SOLIC'!$AB$26:$AB$376,0)),1,0)</f>
        <v>1</v>
      </c>
      <c r="AE140" s="423" t="str">
        <f t="shared" si="2"/>
        <v>CalamaZU-4</v>
      </c>
    </row>
    <row r="141" spans="1:31" x14ac:dyDescent="0.25">
      <c r="A141" s="423">
        <v>140</v>
      </c>
      <c r="B141" s="423" t="s">
        <v>100</v>
      </c>
      <c r="C141" s="423" t="s">
        <v>1245</v>
      </c>
      <c r="D141" s="972" t="s">
        <v>990</v>
      </c>
      <c r="E141" s="973" t="s">
        <v>991</v>
      </c>
      <c r="F141" s="973" t="s">
        <v>992</v>
      </c>
      <c r="G141" s="973" t="s">
        <v>1997</v>
      </c>
      <c r="H141" s="973" t="s">
        <v>1998</v>
      </c>
      <c r="I141" s="973" t="s">
        <v>1999</v>
      </c>
      <c r="J141" s="972" t="s">
        <v>697</v>
      </c>
      <c r="K141" s="973" t="s">
        <v>995</v>
      </c>
      <c r="L141" s="973" t="s">
        <v>996</v>
      </c>
      <c r="M141" s="973" t="s">
        <v>2000</v>
      </c>
      <c r="N141" s="973" t="s">
        <v>2001</v>
      </c>
      <c r="O141" s="972" t="s">
        <v>1971</v>
      </c>
      <c r="P141" s="973" t="s">
        <v>999</v>
      </c>
      <c r="Q141" s="973" t="s">
        <v>1000</v>
      </c>
      <c r="R141" s="973" t="s">
        <v>1001</v>
      </c>
      <c r="S141" s="973" t="s">
        <v>1002</v>
      </c>
      <c r="T141" s="423">
        <v>1000</v>
      </c>
      <c r="U141" s="423">
        <v>25</v>
      </c>
      <c r="V141" s="423">
        <v>52</v>
      </c>
      <c r="W141" s="423">
        <v>1.9</v>
      </c>
      <c r="X141" s="423">
        <v>25</v>
      </c>
      <c r="Y141" s="423" t="s">
        <v>1041</v>
      </c>
      <c r="Z141" s="423" t="s">
        <v>1057</v>
      </c>
      <c r="AD141" s="423">
        <f>IF(ISNUMBER(MATCH(B141,'FICHA SOLIC'!$AB$26:$AB$376,0)),1,0)</f>
        <v>1</v>
      </c>
      <c r="AE141" s="423" t="str">
        <f t="shared" si="2"/>
        <v>CalamaZU-5</v>
      </c>
    </row>
    <row r="142" spans="1:31" x14ac:dyDescent="0.25">
      <c r="A142" s="423">
        <v>141</v>
      </c>
      <c r="B142" s="423" t="s">
        <v>100</v>
      </c>
      <c r="C142" s="423" t="s">
        <v>1246</v>
      </c>
      <c r="D142" s="972" t="s">
        <v>990</v>
      </c>
      <c r="E142" s="973" t="s">
        <v>991</v>
      </c>
      <c r="F142" s="973" t="s">
        <v>992</v>
      </c>
      <c r="G142" s="973" t="s">
        <v>1997</v>
      </c>
      <c r="H142" s="973" t="s">
        <v>1998</v>
      </c>
      <c r="I142" s="973" t="s">
        <v>1999</v>
      </c>
      <c r="J142" s="972" t="s">
        <v>697</v>
      </c>
      <c r="K142" s="973" t="s">
        <v>995</v>
      </c>
      <c r="L142" s="973" t="s">
        <v>996</v>
      </c>
      <c r="M142" s="973" t="s">
        <v>2000</v>
      </c>
      <c r="N142" s="973" t="s">
        <v>2001</v>
      </c>
      <c r="O142" s="972" t="s">
        <v>1971</v>
      </c>
      <c r="P142" s="973" t="s">
        <v>999</v>
      </c>
      <c r="Q142" s="973" t="s">
        <v>1000</v>
      </c>
      <c r="R142" s="973" t="s">
        <v>1001</v>
      </c>
      <c r="S142" s="973" t="s">
        <v>1002</v>
      </c>
      <c r="T142" s="423">
        <v>2000</v>
      </c>
      <c r="U142" s="423">
        <v>40</v>
      </c>
      <c r="V142" s="423">
        <v>39</v>
      </c>
      <c r="W142" s="423">
        <v>1.9</v>
      </c>
      <c r="X142" s="423" t="s">
        <v>1173</v>
      </c>
      <c r="Y142" s="423" t="s">
        <v>1041</v>
      </c>
      <c r="Z142" s="423" t="s">
        <v>1058</v>
      </c>
      <c r="AD142" s="423">
        <f>IF(ISNUMBER(MATCH(B142,'FICHA SOLIC'!$AB$26:$AB$376,0)),1,0)</f>
        <v>1</v>
      </c>
      <c r="AE142" s="423" t="str">
        <f t="shared" si="2"/>
        <v>CalamaZU-6</v>
      </c>
    </row>
    <row r="143" spans="1:31" x14ac:dyDescent="0.25">
      <c r="A143" s="423">
        <v>142</v>
      </c>
      <c r="B143" s="423" t="s">
        <v>100</v>
      </c>
      <c r="C143" s="423" t="s">
        <v>1247</v>
      </c>
      <c r="D143" s="972" t="s">
        <v>990</v>
      </c>
      <c r="E143" s="973" t="s">
        <v>991</v>
      </c>
      <c r="F143" s="973" t="s">
        <v>992</v>
      </c>
      <c r="G143" s="973" t="s">
        <v>1997</v>
      </c>
      <c r="H143" s="973" t="s">
        <v>1998</v>
      </c>
      <c r="I143" s="973" t="s">
        <v>1999</v>
      </c>
      <c r="J143" s="972" t="s">
        <v>697</v>
      </c>
      <c r="K143" s="973" t="s">
        <v>995</v>
      </c>
      <c r="L143" s="973" t="s">
        <v>996</v>
      </c>
      <c r="M143" s="973" t="s">
        <v>2000</v>
      </c>
      <c r="N143" s="973" t="s">
        <v>2001</v>
      </c>
      <c r="O143" s="972" t="s">
        <v>1971</v>
      </c>
      <c r="P143" s="973" t="s">
        <v>999</v>
      </c>
      <c r="Q143" s="973" t="s">
        <v>1000</v>
      </c>
      <c r="R143" s="973" t="s">
        <v>1001</v>
      </c>
      <c r="S143" s="973" t="s">
        <v>1002</v>
      </c>
      <c r="T143" s="423">
        <v>5000</v>
      </c>
      <c r="U143" s="423">
        <v>50</v>
      </c>
      <c r="V143" s="423">
        <v>39</v>
      </c>
      <c r="W143" s="423">
        <v>0.65</v>
      </c>
      <c r="X143" s="423" t="s">
        <v>1173</v>
      </c>
      <c r="Y143" s="423" t="s">
        <v>1041</v>
      </c>
      <c r="Z143" s="423" t="s">
        <v>1058</v>
      </c>
      <c r="AD143" s="423">
        <f>IF(ISNUMBER(MATCH(B143,'FICHA SOLIC'!$AB$26:$AB$376,0)),1,0)</f>
        <v>1</v>
      </c>
      <c r="AE143" s="423" t="str">
        <f t="shared" si="2"/>
        <v>CalamaZU-7</v>
      </c>
    </row>
    <row r="144" spans="1:31" x14ac:dyDescent="0.25">
      <c r="A144" s="423">
        <v>143</v>
      </c>
      <c r="B144" s="423" t="s">
        <v>100</v>
      </c>
      <c r="C144" s="423" t="s">
        <v>1248</v>
      </c>
      <c r="D144" s="972" t="s">
        <v>990</v>
      </c>
      <c r="E144" s="973" t="s">
        <v>991</v>
      </c>
      <c r="F144" s="973" t="s">
        <v>992</v>
      </c>
      <c r="G144" s="973" t="s">
        <v>1997</v>
      </c>
      <c r="H144" s="973" t="s">
        <v>1998</v>
      </c>
      <c r="I144" s="973" t="s">
        <v>1999</v>
      </c>
      <c r="J144" s="972" t="s">
        <v>697</v>
      </c>
      <c r="K144" s="973" t="s">
        <v>995</v>
      </c>
      <c r="L144" s="973" t="s">
        <v>996</v>
      </c>
      <c r="M144" s="973" t="s">
        <v>2000</v>
      </c>
      <c r="N144" s="973" t="s">
        <v>2001</v>
      </c>
      <c r="O144" s="972" t="s">
        <v>1971</v>
      </c>
      <c r="P144" s="973" t="s">
        <v>999</v>
      </c>
      <c r="Q144" s="973" t="s">
        <v>1000</v>
      </c>
      <c r="R144" s="973" t="s">
        <v>1001</v>
      </c>
      <c r="S144" s="973" t="s">
        <v>1002</v>
      </c>
      <c r="T144" s="423" t="s">
        <v>1612</v>
      </c>
      <c r="U144" s="423" t="s">
        <v>1041</v>
      </c>
      <c r="V144" s="423" t="s">
        <v>1041</v>
      </c>
      <c r="W144" s="423" t="s">
        <v>1041</v>
      </c>
      <c r="X144" s="423" t="s">
        <v>1041</v>
      </c>
      <c r="Y144" s="423" t="s">
        <v>1041</v>
      </c>
      <c r="Z144" s="423" t="s">
        <v>1041</v>
      </c>
      <c r="AD144" s="423">
        <f>IF(ISNUMBER(MATCH(B144,'FICHA SOLIC'!$AB$26:$AB$376,0)),1,0)</f>
        <v>1</v>
      </c>
      <c r="AE144" s="423" t="str">
        <f t="shared" si="2"/>
        <v>CalamaZU-8</v>
      </c>
    </row>
    <row r="145" spans="1:31" x14ac:dyDescent="0.25">
      <c r="A145" s="423">
        <v>144</v>
      </c>
      <c r="B145" s="423" t="s">
        <v>2569</v>
      </c>
      <c r="C145" s="423" t="s">
        <v>2032</v>
      </c>
      <c r="D145" s="424" t="s">
        <v>990</v>
      </c>
      <c r="E145" s="425" t="s">
        <v>991</v>
      </c>
      <c r="F145" s="425" t="s">
        <v>992</v>
      </c>
      <c r="G145" s="425" t="s">
        <v>993</v>
      </c>
      <c r="H145" s="426" t="s">
        <v>699</v>
      </c>
      <c r="I145" s="425" t="s">
        <v>994</v>
      </c>
      <c r="J145" s="424" t="s">
        <v>697</v>
      </c>
      <c r="K145" s="425" t="s">
        <v>995</v>
      </c>
      <c r="L145" s="425" t="s">
        <v>996</v>
      </c>
      <c r="M145" s="425" t="s">
        <v>997</v>
      </c>
      <c r="N145" s="425" t="s">
        <v>558</v>
      </c>
      <c r="O145" s="424" t="s">
        <v>998</v>
      </c>
      <c r="P145" s="425" t="s">
        <v>999</v>
      </c>
      <c r="Q145" s="425" t="s">
        <v>1000</v>
      </c>
      <c r="R145" s="425" t="s">
        <v>1001</v>
      </c>
      <c r="S145" s="425" t="s">
        <v>1002</v>
      </c>
      <c r="T145" s="423" t="s">
        <v>2032</v>
      </c>
      <c r="U145" s="423" t="s">
        <v>2032</v>
      </c>
      <c r="V145" s="423" t="s">
        <v>2032</v>
      </c>
      <c r="W145" s="423" t="s">
        <v>2032</v>
      </c>
      <c r="X145" s="423" t="s">
        <v>2032</v>
      </c>
      <c r="Y145" s="423" t="s">
        <v>2032</v>
      </c>
      <c r="Z145" s="423" t="s">
        <v>2032</v>
      </c>
      <c r="AD145" s="423">
        <f>IF(ISNUMBER(MATCH(B145,'FICHA SOLIC'!$AB$26:$AB$376,0)),1,0)</f>
        <v>1</v>
      </c>
      <c r="AE145" s="423" t="str">
        <f t="shared" si="2"/>
        <v>Calera de tangoPRMS</v>
      </c>
    </row>
    <row r="146" spans="1:31" x14ac:dyDescent="0.25">
      <c r="A146" s="423">
        <v>145</v>
      </c>
      <c r="B146" s="423" t="s">
        <v>156</v>
      </c>
      <c r="C146" s="423" t="s">
        <v>1041</v>
      </c>
      <c r="D146" s="972" t="s">
        <v>990</v>
      </c>
      <c r="E146" s="973" t="s">
        <v>991</v>
      </c>
      <c r="F146" s="973" t="s">
        <v>992</v>
      </c>
      <c r="G146" s="973" t="s">
        <v>1997</v>
      </c>
      <c r="H146" s="973" t="s">
        <v>1998</v>
      </c>
      <c r="I146" s="973" t="s">
        <v>1999</v>
      </c>
      <c r="J146" s="972" t="s">
        <v>697</v>
      </c>
      <c r="K146" s="973" t="s">
        <v>995</v>
      </c>
      <c r="L146" s="973" t="s">
        <v>996</v>
      </c>
      <c r="M146" s="973" t="s">
        <v>2000</v>
      </c>
      <c r="N146" s="973" t="s">
        <v>2001</v>
      </c>
      <c r="O146" s="972" t="s">
        <v>1971</v>
      </c>
      <c r="P146" s="973" t="s">
        <v>999</v>
      </c>
      <c r="Q146" s="973" t="s">
        <v>1000</v>
      </c>
      <c r="R146" s="973" t="s">
        <v>1001</v>
      </c>
      <c r="S146" s="973" t="s">
        <v>1002</v>
      </c>
      <c r="T146" s="423" t="s">
        <v>1041</v>
      </c>
      <c r="U146" s="423" t="s">
        <v>1041</v>
      </c>
      <c r="V146" s="423" t="s">
        <v>1041</v>
      </c>
      <c r="W146" s="423" t="s">
        <v>1041</v>
      </c>
      <c r="X146" s="423" t="s">
        <v>1041</v>
      </c>
      <c r="Y146" s="423" t="s">
        <v>1041</v>
      </c>
      <c r="Z146" s="423" t="s">
        <v>1041</v>
      </c>
      <c r="AD146" s="423">
        <f>IF(ISNUMBER(MATCH(B146,'FICHA SOLIC'!$AB$26:$AB$376,0)),1,0)</f>
        <v>1</v>
      </c>
      <c r="AE146" s="423" t="str">
        <f t="shared" si="2"/>
        <v>Calle LargaOGUC</v>
      </c>
    </row>
    <row r="147" spans="1:31" x14ac:dyDescent="0.25">
      <c r="A147" s="423">
        <v>146</v>
      </c>
      <c r="B147" s="423" t="s">
        <v>136</v>
      </c>
      <c r="C147" s="423" t="s">
        <v>1041</v>
      </c>
      <c r="D147" s="972" t="s">
        <v>990</v>
      </c>
      <c r="E147" s="973" t="s">
        <v>991</v>
      </c>
      <c r="F147" s="973" t="s">
        <v>992</v>
      </c>
      <c r="G147" s="973" t="s">
        <v>1997</v>
      </c>
      <c r="H147" s="973" t="s">
        <v>1998</v>
      </c>
      <c r="I147" s="973" t="s">
        <v>1999</v>
      </c>
      <c r="J147" s="972" t="s">
        <v>697</v>
      </c>
      <c r="K147" s="973" t="s">
        <v>995</v>
      </c>
      <c r="L147" s="973" t="s">
        <v>996</v>
      </c>
      <c r="M147" s="973" t="s">
        <v>2000</v>
      </c>
      <c r="N147" s="973" t="s">
        <v>2001</v>
      </c>
      <c r="O147" s="972" t="s">
        <v>1971</v>
      </c>
      <c r="P147" s="973" t="s">
        <v>999</v>
      </c>
      <c r="Q147" s="973" t="s">
        <v>1000</v>
      </c>
      <c r="R147" s="973" t="s">
        <v>1001</v>
      </c>
      <c r="S147" s="973" t="s">
        <v>1002</v>
      </c>
      <c r="T147" s="423" t="s">
        <v>1041</v>
      </c>
      <c r="U147" s="423" t="s">
        <v>1041</v>
      </c>
      <c r="V147" s="423" t="s">
        <v>1041</v>
      </c>
      <c r="W147" s="423" t="s">
        <v>1041</v>
      </c>
      <c r="X147" s="423" t="s">
        <v>1041</v>
      </c>
      <c r="Y147" s="423" t="s">
        <v>1041</v>
      </c>
      <c r="Z147" s="423" t="s">
        <v>1041</v>
      </c>
      <c r="AD147" s="423">
        <f>IF(ISNUMBER(MATCH(B147,'FICHA SOLIC'!$AB$26:$AB$376,0)),1,0)</f>
        <v>1</v>
      </c>
      <c r="AE147" s="423" t="str">
        <f t="shared" si="2"/>
        <v>CanelaOGUC</v>
      </c>
    </row>
    <row r="148" spans="1:31" x14ac:dyDescent="0.25">
      <c r="A148" s="423">
        <v>147</v>
      </c>
      <c r="B148" s="423" t="s">
        <v>263</v>
      </c>
      <c r="C148" s="423" t="s">
        <v>1041</v>
      </c>
      <c r="D148" s="972" t="s">
        <v>990</v>
      </c>
      <c r="E148" s="973" t="s">
        <v>991</v>
      </c>
      <c r="F148" s="973" t="s">
        <v>992</v>
      </c>
      <c r="G148" s="973" t="s">
        <v>1997</v>
      </c>
      <c r="H148" s="973" t="s">
        <v>1998</v>
      </c>
      <c r="I148" s="973" t="s">
        <v>1999</v>
      </c>
      <c r="J148" s="972" t="s">
        <v>697</v>
      </c>
      <c r="K148" s="973" t="s">
        <v>995</v>
      </c>
      <c r="L148" s="973" t="s">
        <v>996</v>
      </c>
      <c r="M148" s="973" t="s">
        <v>2000</v>
      </c>
      <c r="N148" s="973" t="s">
        <v>2001</v>
      </c>
      <c r="O148" s="972" t="s">
        <v>1971</v>
      </c>
      <c r="P148" s="973" t="s">
        <v>999</v>
      </c>
      <c r="Q148" s="973" t="s">
        <v>1000</v>
      </c>
      <c r="R148" s="973" t="s">
        <v>1001</v>
      </c>
      <c r="S148" s="973" t="s">
        <v>1002</v>
      </c>
      <c r="T148" s="423" t="s">
        <v>1041</v>
      </c>
      <c r="U148" s="423" t="s">
        <v>1041</v>
      </c>
      <c r="V148" s="423" t="s">
        <v>1041</v>
      </c>
      <c r="W148" s="423" t="s">
        <v>1041</v>
      </c>
      <c r="X148" s="423" t="s">
        <v>1041</v>
      </c>
      <c r="Y148" s="423" t="s">
        <v>1041</v>
      </c>
      <c r="Z148" s="423" t="s">
        <v>1041</v>
      </c>
      <c r="AD148" s="423">
        <f>IF(ISNUMBER(MATCH(B148,'FICHA SOLIC'!$AB$26:$AB$376,0)),1,0)</f>
        <v>1</v>
      </c>
      <c r="AE148" s="423" t="str">
        <f t="shared" si="2"/>
        <v>CañeteOGUC</v>
      </c>
    </row>
    <row r="149" spans="1:31" x14ac:dyDescent="0.25">
      <c r="A149" s="423">
        <v>148</v>
      </c>
      <c r="B149" s="423" t="s">
        <v>305</v>
      </c>
      <c r="C149" s="423" t="s">
        <v>1041</v>
      </c>
      <c r="D149" s="972" t="s">
        <v>990</v>
      </c>
      <c r="E149" s="973" t="s">
        <v>991</v>
      </c>
      <c r="F149" s="973" t="s">
        <v>992</v>
      </c>
      <c r="G149" s="973" t="s">
        <v>1997</v>
      </c>
      <c r="H149" s="973" t="s">
        <v>1998</v>
      </c>
      <c r="I149" s="973" t="s">
        <v>1999</v>
      </c>
      <c r="J149" s="972" t="s">
        <v>697</v>
      </c>
      <c r="K149" s="973" t="s">
        <v>995</v>
      </c>
      <c r="L149" s="973" t="s">
        <v>996</v>
      </c>
      <c r="M149" s="973" t="s">
        <v>2000</v>
      </c>
      <c r="N149" s="973" t="s">
        <v>2001</v>
      </c>
      <c r="O149" s="972" t="s">
        <v>1971</v>
      </c>
      <c r="P149" s="973" t="s">
        <v>999</v>
      </c>
      <c r="Q149" s="973" t="s">
        <v>1000</v>
      </c>
      <c r="R149" s="973" t="s">
        <v>1001</v>
      </c>
      <c r="S149" s="973" t="s">
        <v>1002</v>
      </c>
      <c r="T149" s="423" t="s">
        <v>1041</v>
      </c>
      <c r="U149" s="423" t="s">
        <v>1041</v>
      </c>
      <c r="V149" s="423" t="s">
        <v>1041</v>
      </c>
      <c r="W149" s="423" t="s">
        <v>1041</v>
      </c>
      <c r="X149" s="423" t="s">
        <v>1041</v>
      </c>
      <c r="Y149" s="423" t="s">
        <v>1041</v>
      </c>
      <c r="Z149" s="423" t="s">
        <v>1041</v>
      </c>
      <c r="AD149" s="423">
        <f>IF(ISNUMBER(MATCH(B149,'FICHA SOLIC'!$AB$26:$AB$376,0)),1,0)</f>
        <v>1</v>
      </c>
      <c r="AE149" s="423" t="str">
        <f t="shared" si="2"/>
        <v>CarahueOGUC</v>
      </c>
    </row>
    <row r="150" spans="1:31" x14ac:dyDescent="0.25">
      <c r="A150" s="423">
        <v>149</v>
      </c>
      <c r="B150" s="423" t="s">
        <v>305</v>
      </c>
      <c r="C150" s="423" t="s">
        <v>1041</v>
      </c>
      <c r="D150" s="972" t="s">
        <v>990</v>
      </c>
      <c r="E150" s="973" t="s">
        <v>991</v>
      </c>
      <c r="F150" s="973" t="s">
        <v>992</v>
      </c>
      <c r="G150" s="973" t="s">
        <v>1997</v>
      </c>
      <c r="H150" s="973" t="s">
        <v>1998</v>
      </c>
      <c r="I150" s="973" t="s">
        <v>1999</v>
      </c>
      <c r="J150" s="972" t="s">
        <v>697</v>
      </c>
      <c r="K150" s="973" t="s">
        <v>995</v>
      </c>
      <c r="L150" s="973" t="s">
        <v>996</v>
      </c>
      <c r="M150" s="973" t="s">
        <v>2000</v>
      </c>
      <c r="N150" s="973" t="s">
        <v>2001</v>
      </c>
      <c r="O150" s="972" t="s">
        <v>1971</v>
      </c>
      <c r="P150" s="973" t="s">
        <v>999</v>
      </c>
      <c r="Q150" s="973" t="s">
        <v>1000</v>
      </c>
      <c r="R150" s="973" t="s">
        <v>1001</v>
      </c>
      <c r="S150" s="973" t="s">
        <v>1002</v>
      </c>
      <c r="T150" s="423" t="s">
        <v>1041</v>
      </c>
      <c r="U150" s="423" t="s">
        <v>1041</v>
      </c>
      <c r="V150" s="423" t="s">
        <v>1041</v>
      </c>
      <c r="W150" s="423" t="s">
        <v>1041</v>
      </c>
      <c r="X150" s="423" t="s">
        <v>1041</v>
      </c>
      <c r="Y150" s="423" t="s">
        <v>1041</v>
      </c>
      <c r="Z150" s="423" t="s">
        <v>1041</v>
      </c>
      <c r="AD150" s="423">
        <f>IF(ISNUMBER(MATCH(B150,'FICHA SOLIC'!$AB$26:$AB$376,0)),1,0)</f>
        <v>1</v>
      </c>
      <c r="AE150" s="423" t="str">
        <f t="shared" si="2"/>
        <v>CarahueOGUC</v>
      </c>
    </row>
    <row r="151" spans="1:31" x14ac:dyDescent="0.25">
      <c r="A151" s="423">
        <v>150</v>
      </c>
      <c r="B151" s="423" t="s">
        <v>178</v>
      </c>
      <c r="C151" s="423" t="s">
        <v>1041</v>
      </c>
      <c r="D151" s="972" t="s">
        <v>990</v>
      </c>
      <c r="E151" s="973" t="s">
        <v>991</v>
      </c>
      <c r="F151" s="973" t="s">
        <v>992</v>
      </c>
      <c r="G151" s="973" t="s">
        <v>1997</v>
      </c>
      <c r="H151" s="973" t="s">
        <v>1998</v>
      </c>
      <c r="I151" s="973" t="s">
        <v>1999</v>
      </c>
      <c r="J151" s="972" t="s">
        <v>697</v>
      </c>
      <c r="K151" s="973" t="s">
        <v>995</v>
      </c>
      <c r="L151" s="973" t="s">
        <v>996</v>
      </c>
      <c r="M151" s="973" t="s">
        <v>2000</v>
      </c>
      <c r="N151" s="973" t="s">
        <v>2001</v>
      </c>
      <c r="O151" s="972" t="s">
        <v>1971</v>
      </c>
      <c r="P151" s="973" t="s">
        <v>999</v>
      </c>
      <c r="Q151" s="973" t="s">
        <v>1000</v>
      </c>
      <c r="R151" s="973" t="s">
        <v>1001</v>
      </c>
      <c r="S151" s="973" t="s">
        <v>1002</v>
      </c>
      <c r="T151" s="423" t="s">
        <v>1041</v>
      </c>
      <c r="U151" s="423" t="s">
        <v>1041</v>
      </c>
      <c r="V151" s="423" t="s">
        <v>1041</v>
      </c>
      <c r="W151" s="423" t="s">
        <v>1041</v>
      </c>
      <c r="X151" s="423" t="s">
        <v>1041</v>
      </c>
      <c r="Y151" s="423" t="s">
        <v>1041</v>
      </c>
      <c r="Z151" s="423" t="s">
        <v>1041</v>
      </c>
      <c r="AD151" s="423">
        <f>IF(ISNUMBER(MATCH(B151,'FICHA SOLIC'!$AB$26:$AB$376,0)),1,0)</f>
        <v>1</v>
      </c>
      <c r="AE151" s="423" t="str">
        <f t="shared" si="2"/>
        <v>CatemuOGUC</v>
      </c>
    </row>
    <row r="152" spans="1:31" x14ac:dyDescent="0.25">
      <c r="A152" s="423">
        <v>151</v>
      </c>
      <c r="B152" s="423" t="s">
        <v>228</v>
      </c>
      <c r="C152" s="423" t="s">
        <v>1041</v>
      </c>
      <c r="D152" s="972" t="s">
        <v>990</v>
      </c>
      <c r="E152" s="973" t="s">
        <v>991</v>
      </c>
      <c r="F152" s="973" t="s">
        <v>992</v>
      </c>
      <c r="G152" s="973" t="s">
        <v>1997</v>
      </c>
      <c r="H152" s="973" t="s">
        <v>1998</v>
      </c>
      <c r="I152" s="973" t="s">
        <v>1999</v>
      </c>
      <c r="J152" s="972" t="s">
        <v>697</v>
      </c>
      <c r="K152" s="973" t="s">
        <v>995</v>
      </c>
      <c r="L152" s="973" t="s">
        <v>996</v>
      </c>
      <c r="M152" s="973" t="s">
        <v>2000</v>
      </c>
      <c r="N152" s="973" t="s">
        <v>2001</v>
      </c>
      <c r="O152" s="972" t="s">
        <v>1971</v>
      </c>
      <c r="P152" s="973" t="s">
        <v>999</v>
      </c>
      <c r="Q152" s="973" t="s">
        <v>1000</v>
      </c>
      <c r="R152" s="973" t="s">
        <v>1001</v>
      </c>
      <c r="S152" s="973" t="s">
        <v>1002</v>
      </c>
      <c r="T152" s="423" t="s">
        <v>1041</v>
      </c>
      <c r="U152" s="423" t="s">
        <v>1041</v>
      </c>
      <c r="V152" s="423" t="s">
        <v>1041</v>
      </c>
      <c r="W152" s="423" t="s">
        <v>1041</v>
      </c>
      <c r="X152" s="423" t="s">
        <v>1041</v>
      </c>
      <c r="Y152" s="423" t="s">
        <v>1041</v>
      </c>
      <c r="Z152" s="423" t="s">
        <v>1041</v>
      </c>
      <c r="AD152" s="423">
        <f>IF(ISNUMBER(MATCH(B152,'FICHA SOLIC'!$AB$26:$AB$376,0)),1,0)</f>
        <v>1</v>
      </c>
      <c r="AE152" s="423" t="str">
        <f t="shared" si="2"/>
        <v>CauquenesOGUC</v>
      </c>
    </row>
    <row r="153" spans="1:31" x14ac:dyDescent="0.25">
      <c r="A153" s="423">
        <v>152</v>
      </c>
      <c r="B153" s="423" t="s">
        <v>404</v>
      </c>
      <c r="C153" s="974" t="s">
        <v>2127</v>
      </c>
      <c r="D153" s="424" t="s">
        <v>990</v>
      </c>
      <c r="E153" s="425" t="s">
        <v>991</v>
      </c>
      <c r="F153" s="425" t="s">
        <v>992</v>
      </c>
      <c r="G153" s="425" t="s">
        <v>993</v>
      </c>
      <c r="H153" s="426" t="s">
        <v>699</v>
      </c>
      <c r="I153" s="425" t="s">
        <v>994</v>
      </c>
      <c r="J153" s="424" t="s">
        <v>697</v>
      </c>
      <c r="K153" s="425" t="s">
        <v>995</v>
      </c>
      <c r="L153" s="425" t="s">
        <v>996</v>
      </c>
      <c r="M153" s="425" t="s">
        <v>997</v>
      </c>
      <c r="N153" s="425" t="s">
        <v>558</v>
      </c>
      <c r="O153" s="424" t="s">
        <v>998</v>
      </c>
      <c r="P153" s="425" t="s">
        <v>999</v>
      </c>
      <c r="Q153" s="425" t="s">
        <v>1000</v>
      </c>
      <c r="R153" s="425" t="s">
        <v>1001</v>
      </c>
      <c r="S153" s="425" t="s">
        <v>1002</v>
      </c>
      <c r="T153" s="423">
        <v>2000</v>
      </c>
      <c r="U153" s="423" t="s">
        <v>1041</v>
      </c>
      <c r="V153" s="423">
        <v>60</v>
      </c>
      <c r="W153" s="423">
        <v>2.4</v>
      </c>
      <c r="X153" s="423" t="s">
        <v>1041</v>
      </c>
      <c r="Y153" s="423" t="s">
        <v>1041</v>
      </c>
      <c r="Z153" s="423" t="s">
        <v>1041</v>
      </c>
      <c r="AD153" s="423">
        <f>IF(ISNUMBER(MATCH(B153,'FICHA SOLIC'!$AB$26:$AB$376,0)),1,0)</f>
        <v>1</v>
      </c>
      <c r="AE153" s="423" t="str">
        <f t="shared" si="2"/>
        <v>Cerrillos27E2</v>
      </c>
    </row>
    <row r="154" spans="1:31" x14ac:dyDescent="0.25">
      <c r="A154" s="423">
        <v>153</v>
      </c>
      <c r="B154" s="423" t="s">
        <v>404</v>
      </c>
      <c r="C154" s="423" t="s">
        <v>2128</v>
      </c>
      <c r="D154" s="424" t="s">
        <v>990</v>
      </c>
      <c r="E154" s="425" t="s">
        <v>991</v>
      </c>
      <c r="F154" s="425" t="s">
        <v>992</v>
      </c>
      <c r="G154" s="425" t="s">
        <v>993</v>
      </c>
      <c r="H154" s="426" t="s">
        <v>699</v>
      </c>
      <c r="I154" s="425" t="s">
        <v>994</v>
      </c>
      <c r="J154" s="424" t="s">
        <v>697</v>
      </c>
      <c r="K154" s="425" t="s">
        <v>995</v>
      </c>
      <c r="L154" s="425" t="s">
        <v>996</v>
      </c>
      <c r="M154" s="425" t="s">
        <v>997</v>
      </c>
      <c r="N154" s="425" t="s">
        <v>558</v>
      </c>
      <c r="O154" s="424" t="s">
        <v>998</v>
      </c>
      <c r="P154" s="425" t="s">
        <v>999</v>
      </c>
      <c r="Q154" s="425" t="s">
        <v>1000</v>
      </c>
      <c r="R154" s="425" t="s">
        <v>1001</v>
      </c>
      <c r="S154" s="425" t="s">
        <v>1002</v>
      </c>
      <c r="T154" s="423">
        <v>200</v>
      </c>
      <c r="U154" s="423" t="s">
        <v>1041</v>
      </c>
      <c r="V154" s="423">
        <v>60</v>
      </c>
      <c r="W154" s="423">
        <v>2.4</v>
      </c>
      <c r="X154" s="423" t="s">
        <v>1041</v>
      </c>
      <c r="Y154" s="423" t="s">
        <v>1041</v>
      </c>
      <c r="Z154" s="423" t="s">
        <v>1041</v>
      </c>
      <c r="AD154" s="423">
        <f>IF(ISNUMBER(MATCH(B154,'FICHA SOLIC'!$AB$26:$AB$376,0)),1,0)</f>
        <v>1</v>
      </c>
      <c r="AE154" s="423" t="str">
        <f t="shared" si="2"/>
        <v>Cerrillos25F</v>
      </c>
    </row>
    <row r="155" spans="1:31" x14ac:dyDescent="0.25">
      <c r="A155" s="423">
        <v>154</v>
      </c>
      <c r="B155" s="423" t="s">
        <v>404</v>
      </c>
      <c r="C155" s="423" t="s">
        <v>2129</v>
      </c>
      <c r="D155" s="424" t="s">
        <v>990</v>
      </c>
      <c r="E155" s="425" t="s">
        <v>991</v>
      </c>
      <c r="F155" s="425" t="s">
        <v>992</v>
      </c>
      <c r="G155" s="425" t="s">
        <v>993</v>
      </c>
      <c r="H155" s="426" t="s">
        <v>699</v>
      </c>
      <c r="I155" s="425" t="s">
        <v>994</v>
      </c>
      <c r="J155" s="424" t="s">
        <v>697</v>
      </c>
      <c r="K155" s="425" t="s">
        <v>995</v>
      </c>
      <c r="L155" s="425" t="s">
        <v>996</v>
      </c>
      <c r="M155" s="425" t="s">
        <v>997</v>
      </c>
      <c r="N155" s="425" t="s">
        <v>558</v>
      </c>
      <c r="O155" s="424" t="s">
        <v>998</v>
      </c>
      <c r="P155" s="425" t="s">
        <v>999</v>
      </c>
      <c r="Q155" s="425" t="s">
        <v>1000</v>
      </c>
      <c r="R155" s="425" t="s">
        <v>1001</v>
      </c>
      <c r="S155" s="425" t="s">
        <v>1002</v>
      </c>
      <c r="T155" s="423">
        <v>200</v>
      </c>
      <c r="U155" s="423" t="s">
        <v>1041</v>
      </c>
      <c r="V155" s="423">
        <v>70</v>
      </c>
      <c r="W155" s="423">
        <v>1.4</v>
      </c>
      <c r="X155" s="423" t="s">
        <v>1041</v>
      </c>
      <c r="Y155" s="423" t="s">
        <v>1041</v>
      </c>
      <c r="Z155" s="423" t="s">
        <v>1041</v>
      </c>
      <c r="AD155" s="423">
        <f>IF(ISNUMBER(MATCH(B155,'FICHA SOLIC'!$AB$26:$AB$376,0)),1,0)</f>
        <v>1</v>
      </c>
      <c r="AE155" s="423" t="str">
        <f t="shared" si="2"/>
        <v>Cerrillos27H1</v>
      </c>
    </row>
    <row r="156" spans="1:31" x14ac:dyDescent="0.25">
      <c r="A156" s="423">
        <v>155</v>
      </c>
      <c r="B156" s="423" t="s">
        <v>404</v>
      </c>
      <c r="C156" s="423" t="s">
        <v>2130</v>
      </c>
      <c r="D156" s="424" t="s">
        <v>990</v>
      </c>
      <c r="E156" s="425" t="s">
        <v>991</v>
      </c>
      <c r="F156" s="425" t="s">
        <v>992</v>
      </c>
      <c r="G156" s="425" t="s">
        <v>993</v>
      </c>
      <c r="H156" s="426" t="s">
        <v>699</v>
      </c>
      <c r="I156" s="425" t="s">
        <v>994</v>
      </c>
      <c r="J156" s="424" t="s">
        <v>697</v>
      </c>
      <c r="K156" s="425" t="s">
        <v>995</v>
      </c>
      <c r="L156" s="425" t="s">
        <v>996</v>
      </c>
      <c r="M156" s="425" t="s">
        <v>997</v>
      </c>
      <c r="N156" s="425" t="s">
        <v>558</v>
      </c>
      <c r="O156" s="424" t="s">
        <v>998</v>
      </c>
      <c r="P156" s="425" t="s">
        <v>999</v>
      </c>
      <c r="Q156" s="425" t="s">
        <v>1000</v>
      </c>
      <c r="R156" s="425" t="s">
        <v>1001</v>
      </c>
      <c r="S156" s="425" t="s">
        <v>1002</v>
      </c>
      <c r="T156" s="423">
        <v>200</v>
      </c>
      <c r="U156" s="423" t="s">
        <v>1041</v>
      </c>
      <c r="V156" s="423">
        <v>60</v>
      </c>
      <c r="W156" s="423">
        <v>2.4</v>
      </c>
      <c r="X156" s="423" t="s">
        <v>1041</v>
      </c>
      <c r="Y156" s="423" t="s">
        <v>1041</v>
      </c>
      <c r="Z156" s="423" t="s">
        <v>1041</v>
      </c>
      <c r="AD156" s="423">
        <f>IF(ISNUMBER(MATCH(B156,'FICHA SOLIC'!$AB$26:$AB$376,0)),1,0)</f>
        <v>1</v>
      </c>
      <c r="AE156" s="423" t="str">
        <f t="shared" si="2"/>
        <v>Cerrillos27H2</v>
      </c>
    </row>
    <row r="157" spans="1:31" x14ac:dyDescent="0.25">
      <c r="A157" s="423">
        <v>156</v>
      </c>
      <c r="B157" s="423" t="s">
        <v>404</v>
      </c>
      <c r="C157" s="423" t="s">
        <v>1177</v>
      </c>
      <c r="D157" s="424" t="s">
        <v>990</v>
      </c>
      <c r="E157" s="425" t="s">
        <v>991</v>
      </c>
      <c r="F157" s="425" t="s">
        <v>992</v>
      </c>
      <c r="G157" s="425" t="s">
        <v>993</v>
      </c>
      <c r="H157" s="426" t="s">
        <v>699</v>
      </c>
      <c r="I157" s="425" t="s">
        <v>994</v>
      </c>
      <c r="J157" s="424" t="s">
        <v>697</v>
      </c>
      <c r="K157" s="425" t="s">
        <v>995</v>
      </c>
      <c r="L157" s="425" t="s">
        <v>996</v>
      </c>
      <c r="M157" s="425" t="s">
        <v>997</v>
      </c>
      <c r="N157" s="425" t="s">
        <v>558</v>
      </c>
      <c r="O157" s="424" t="s">
        <v>998</v>
      </c>
      <c r="P157" s="425" t="s">
        <v>999</v>
      </c>
      <c r="Q157" s="425" t="s">
        <v>1000</v>
      </c>
      <c r="R157" s="425" t="s">
        <v>1001</v>
      </c>
      <c r="S157" s="425" t="s">
        <v>1002</v>
      </c>
      <c r="T157" s="423">
        <v>300</v>
      </c>
      <c r="U157" s="423" t="s">
        <v>1041</v>
      </c>
      <c r="V157" s="423">
        <v>70</v>
      </c>
      <c r="W157" s="423">
        <v>1.4</v>
      </c>
      <c r="X157" s="423" t="s">
        <v>2131</v>
      </c>
      <c r="Y157" s="423" t="s">
        <v>1041</v>
      </c>
      <c r="Z157" s="423" t="s">
        <v>2132</v>
      </c>
      <c r="AD157" s="423">
        <f>IF(ISNUMBER(MATCH(B157,'FICHA SOLIC'!$AB$26:$AB$376,0)),1,0)</f>
        <v>1</v>
      </c>
      <c r="AE157" s="423" t="str">
        <f t="shared" si="2"/>
        <v>CerrillosA</v>
      </c>
    </row>
    <row r="158" spans="1:31" x14ac:dyDescent="0.25">
      <c r="A158" s="423">
        <v>157</v>
      </c>
      <c r="B158" s="423" t="s">
        <v>404</v>
      </c>
      <c r="C158" s="423" t="s">
        <v>1178</v>
      </c>
      <c r="D158" s="424" t="s">
        <v>990</v>
      </c>
      <c r="E158" s="425" t="s">
        <v>991</v>
      </c>
      <c r="F158" s="425" t="s">
        <v>992</v>
      </c>
      <c r="G158" s="425" t="s">
        <v>993</v>
      </c>
      <c r="H158" s="426" t="s">
        <v>699</v>
      </c>
      <c r="I158" s="425" t="s">
        <v>994</v>
      </c>
      <c r="J158" s="424" t="s">
        <v>697</v>
      </c>
      <c r="K158" s="425" t="s">
        <v>995</v>
      </c>
      <c r="L158" s="425" t="s">
        <v>996</v>
      </c>
      <c r="M158" s="425" t="s">
        <v>997</v>
      </c>
      <c r="N158" s="425" t="s">
        <v>558</v>
      </c>
      <c r="O158" s="424" t="s">
        <v>998</v>
      </c>
      <c r="P158" s="425" t="s">
        <v>999</v>
      </c>
      <c r="Q158" s="425" t="s">
        <v>1000</v>
      </c>
      <c r="R158" s="425" t="s">
        <v>1001</v>
      </c>
      <c r="S158" s="425" t="s">
        <v>1002</v>
      </c>
      <c r="T158" s="423" t="s">
        <v>1041</v>
      </c>
      <c r="U158" s="423" t="s">
        <v>1041</v>
      </c>
      <c r="V158" s="423" t="s">
        <v>1041</v>
      </c>
      <c r="W158" s="423" t="s">
        <v>1041</v>
      </c>
      <c r="X158" s="423" t="s">
        <v>1041</v>
      </c>
      <c r="Y158" s="423" t="s">
        <v>1041</v>
      </c>
      <c r="Z158" s="423" t="s">
        <v>1041</v>
      </c>
      <c r="AD158" s="423">
        <f>IF(ISNUMBER(MATCH(B158,'FICHA SOLIC'!$AB$26:$AB$376,0)),1,0)</f>
        <v>1</v>
      </c>
      <c r="AE158" s="423" t="str">
        <f t="shared" si="2"/>
        <v>CerrillosB</v>
      </c>
    </row>
    <row r="159" spans="1:31" x14ac:dyDescent="0.25">
      <c r="A159" s="423">
        <v>158</v>
      </c>
      <c r="B159" s="423" t="s">
        <v>404</v>
      </c>
      <c r="C159" s="423" t="s">
        <v>1060</v>
      </c>
      <c r="D159" s="424" t="s">
        <v>990</v>
      </c>
      <c r="E159" s="425" t="s">
        <v>991</v>
      </c>
      <c r="F159" s="425" t="s">
        <v>992</v>
      </c>
      <c r="G159" s="425" t="s">
        <v>993</v>
      </c>
      <c r="H159" s="426" t="s">
        <v>699</v>
      </c>
      <c r="I159" s="425" t="s">
        <v>994</v>
      </c>
      <c r="J159" s="424" t="s">
        <v>697</v>
      </c>
      <c r="K159" s="425" t="s">
        <v>995</v>
      </c>
      <c r="L159" s="425" t="s">
        <v>996</v>
      </c>
      <c r="M159" s="425" t="s">
        <v>997</v>
      </c>
      <c r="N159" s="425" t="s">
        <v>558</v>
      </c>
      <c r="O159" s="424" t="s">
        <v>998</v>
      </c>
      <c r="P159" s="425" t="s">
        <v>999</v>
      </c>
      <c r="Q159" s="425" t="s">
        <v>1000</v>
      </c>
      <c r="R159" s="425" t="s">
        <v>1001</v>
      </c>
      <c r="S159" s="425" t="s">
        <v>1002</v>
      </c>
      <c r="T159" s="423">
        <v>250</v>
      </c>
      <c r="U159" s="423" t="s">
        <v>1041</v>
      </c>
      <c r="V159" s="423">
        <v>60</v>
      </c>
      <c r="W159" s="423" t="s">
        <v>2133</v>
      </c>
      <c r="X159" s="423" t="s">
        <v>2133</v>
      </c>
      <c r="Y159" s="423" t="s">
        <v>1041</v>
      </c>
      <c r="Z159" s="423" t="s">
        <v>1059</v>
      </c>
      <c r="AD159" s="423">
        <f>IF(ISNUMBER(MATCH(B159,'FICHA SOLIC'!$AB$26:$AB$376,0)),1,0)</f>
        <v>1</v>
      </c>
      <c r="AE159" s="423" t="str">
        <f t="shared" si="2"/>
        <v>CerrillosC</v>
      </c>
    </row>
    <row r="160" spans="1:31" x14ac:dyDescent="0.25">
      <c r="A160" s="423">
        <v>159</v>
      </c>
      <c r="B160" s="423" t="s">
        <v>404</v>
      </c>
      <c r="C160" s="423" t="s">
        <v>2134</v>
      </c>
      <c r="D160" s="424" t="s">
        <v>990</v>
      </c>
      <c r="E160" s="425" t="s">
        <v>991</v>
      </c>
      <c r="F160" s="425" t="s">
        <v>992</v>
      </c>
      <c r="G160" s="425" t="s">
        <v>993</v>
      </c>
      <c r="H160" s="426" t="s">
        <v>699</v>
      </c>
      <c r="I160" s="425" t="s">
        <v>994</v>
      </c>
      <c r="J160" s="424" t="s">
        <v>697</v>
      </c>
      <c r="K160" s="425" t="s">
        <v>995</v>
      </c>
      <c r="L160" s="425" t="s">
        <v>996</v>
      </c>
      <c r="M160" s="425" t="s">
        <v>997</v>
      </c>
      <c r="N160" s="425" t="s">
        <v>558</v>
      </c>
      <c r="O160" s="424" t="s">
        <v>998</v>
      </c>
      <c r="P160" s="425" t="s">
        <v>999</v>
      </c>
      <c r="Q160" s="425" t="s">
        <v>1000</v>
      </c>
      <c r="R160" s="425" t="s">
        <v>1001</v>
      </c>
      <c r="S160" s="425" t="s">
        <v>1002</v>
      </c>
      <c r="T160" s="423" t="s">
        <v>2135</v>
      </c>
      <c r="U160" s="423" t="s">
        <v>1041</v>
      </c>
      <c r="V160" s="423" t="s">
        <v>1041</v>
      </c>
      <c r="W160" s="423" t="s">
        <v>1041</v>
      </c>
      <c r="X160" s="423" t="s">
        <v>1041</v>
      </c>
      <c r="Y160" s="423" t="s">
        <v>1041</v>
      </c>
      <c r="Z160" s="423" t="s">
        <v>1041</v>
      </c>
      <c r="AD160" s="423">
        <f>IF(ISNUMBER(MATCH(B160,'FICHA SOLIC'!$AB$26:$AB$376,0)),1,0)</f>
        <v>1</v>
      </c>
      <c r="AE160" s="423" t="str">
        <f t="shared" si="2"/>
        <v>CerrillosPARQUE AMERICO VESPUCIO</v>
      </c>
    </row>
    <row r="161" spans="1:31" x14ac:dyDescent="0.25">
      <c r="A161" s="423">
        <v>160</v>
      </c>
      <c r="B161" s="423" t="s">
        <v>404</v>
      </c>
      <c r="C161" s="423" t="s">
        <v>2136</v>
      </c>
      <c r="D161" s="424" t="s">
        <v>990</v>
      </c>
      <c r="E161" s="425" t="s">
        <v>991</v>
      </c>
      <c r="F161" s="425" t="s">
        <v>992</v>
      </c>
      <c r="G161" s="425" t="s">
        <v>993</v>
      </c>
      <c r="H161" s="426" t="s">
        <v>699</v>
      </c>
      <c r="I161" s="425" t="s">
        <v>994</v>
      </c>
      <c r="J161" s="424" t="s">
        <v>697</v>
      </c>
      <c r="K161" s="425" t="s">
        <v>995</v>
      </c>
      <c r="L161" s="425" t="s">
        <v>996</v>
      </c>
      <c r="M161" s="425" t="s">
        <v>997</v>
      </c>
      <c r="N161" s="425" t="s">
        <v>558</v>
      </c>
      <c r="O161" s="424" t="s">
        <v>998</v>
      </c>
      <c r="P161" s="425" t="s">
        <v>999</v>
      </c>
      <c r="Q161" s="425" t="s">
        <v>1000</v>
      </c>
      <c r="R161" s="425" t="s">
        <v>1001</v>
      </c>
      <c r="S161" s="425" t="s">
        <v>1002</v>
      </c>
      <c r="T161" s="423" t="s">
        <v>2135</v>
      </c>
      <c r="U161" s="423" t="s">
        <v>1041</v>
      </c>
      <c r="V161" s="423">
        <v>5</v>
      </c>
      <c r="W161" s="423">
        <v>0.05</v>
      </c>
      <c r="X161" s="423" t="s">
        <v>1041</v>
      </c>
      <c r="Y161" s="423" t="s">
        <v>1041</v>
      </c>
      <c r="Z161" s="423" t="s">
        <v>1041</v>
      </c>
      <c r="AD161" s="423">
        <f>IF(ISNUMBER(MATCH(B161,'FICHA SOLIC'!$AB$26:$AB$376,0)),1,0)</f>
        <v>1</v>
      </c>
      <c r="AE161" s="423" t="str">
        <f t="shared" si="2"/>
        <v>CerrillosPARQUE CERRILLOS</v>
      </c>
    </row>
    <row r="162" spans="1:31" x14ac:dyDescent="0.25">
      <c r="A162" s="423">
        <v>161</v>
      </c>
      <c r="B162" s="423" t="s">
        <v>404</v>
      </c>
      <c r="C162" s="423" t="s">
        <v>2137</v>
      </c>
      <c r="D162" s="424" t="s">
        <v>990</v>
      </c>
      <c r="E162" s="425" t="s">
        <v>991</v>
      </c>
      <c r="F162" s="425" t="s">
        <v>992</v>
      </c>
      <c r="G162" s="425" t="s">
        <v>993</v>
      </c>
      <c r="H162" s="426" t="s">
        <v>699</v>
      </c>
      <c r="I162" s="425" t="s">
        <v>994</v>
      </c>
      <c r="J162" s="424" t="s">
        <v>697</v>
      </c>
      <c r="K162" s="425" t="s">
        <v>995</v>
      </c>
      <c r="L162" s="425" t="s">
        <v>996</v>
      </c>
      <c r="M162" s="425" t="s">
        <v>997</v>
      </c>
      <c r="N162" s="425" t="s">
        <v>558</v>
      </c>
      <c r="O162" s="424" t="s">
        <v>998</v>
      </c>
      <c r="P162" s="425" t="s">
        <v>999</v>
      </c>
      <c r="Q162" s="425" t="s">
        <v>1000</v>
      </c>
      <c r="R162" s="425" t="s">
        <v>1001</v>
      </c>
      <c r="S162" s="425" t="s">
        <v>1002</v>
      </c>
      <c r="T162" s="423" t="s">
        <v>2135</v>
      </c>
      <c r="U162" s="423" t="s">
        <v>1041</v>
      </c>
      <c r="V162" s="423">
        <v>5</v>
      </c>
      <c r="W162" s="423">
        <v>0.05</v>
      </c>
      <c r="X162" s="423" t="s">
        <v>1041</v>
      </c>
      <c r="Y162" s="423" t="s">
        <v>1041</v>
      </c>
      <c r="Z162" s="423" t="s">
        <v>1041</v>
      </c>
      <c r="AD162" s="423">
        <f>IF(ISNUMBER(MATCH(B162,'FICHA SOLIC'!$AB$26:$AB$376,0)),1,0)</f>
        <v>1</v>
      </c>
      <c r="AE162" s="423" t="str">
        <f t="shared" si="2"/>
        <v>CerrillosPARQUE LA AGUADA</v>
      </c>
    </row>
    <row r="163" spans="1:31" x14ac:dyDescent="0.25">
      <c r="A163" s="423">
        <v>162</v>
      </c>
      <c r="B163" s="423" t="s">
        <v>404</v>
      </c>
      <c r="C163" s="423" t="s">
        <v>2138</v>
      </c>
      <c r="D163" s="424" t="s">
        <v>990</v>
      </c>
      <c r="E163" s="425" t="s">
        <v>991</v>
      </c>
      <c r="F163" s="425" t="s">
        <v>992</v>
      </c>
      <c r="G163" s="425" t="s">
        <v>993</v>
      </c>
      <c r="H163" s="426" t="s">
        <v>699</v>
      </c>
      <c r="I163" s="425" t="s">
        <v>994</v>
      </c>
      <c r="J163" s="424" t="s">
        <v>697</v>
      </c>
      <c r="K163" s="425" t="s">
        <v>995</v>
      </c>
      <c r="L163" s="425" t="s">
        <v>996</v>
      </c>
      <c r="M163" s="425" t="s">
        <v>997</v>
      </c>
      <c r="N163" s="425" t="s">
        <v>558</v>
      </c>
      <c r="O163" s="424" t="s">
        <v>998</v>
      </c>
      <c r="P163" s="425" t="s">
        <v>999</v>
      </c>
      <c r="Q163" s="425" t="s">
        <v>1000</v>
      </c>
      <c r="R163" s="425" t="s">
        <v>1001</v>
      </c>
      <c r="S163" s="425" t="s">
        <v>1002</v>
      </c>
      <c r="T163" s="423" t="s">
        <v>1041</v>
      </c>
      <c r="U163" s="423" t="s">
        <v>1041</v>
      </c>
      <c r="V163" s="423" t="s">
        <v>1041</v>
      </c>
      <c r="W163" s="423" t="s">
        <v>1041</v>
      </c>
      <c r="X163" s="423" t="s">
        <v>1041</v>
      </c>
      <c r="Y163" s="423" t="s">
        <v>1041</v>
      </c>
      <c r="Z163" s="423" t="s">
        <v>2139</v>
      </c>
      <c r="AD163" s="423">
        <f>IF(ISNUMBER(MATCH(B163,'FICHA SOLIC'!$AB$26:$AB$376,0)),1,0)</f>
        <v>1</v>
      </c>
      <c r="AE163" s="423" t="str">
        <f t="shared" si="2"/>
        <v>CerrillosPRODUCTIVO</v>
      </c>
    </row>
    <row r="164" spans="1:31" x14ac:dyDescent="0.25">
      <c r="A164" s="423">
        <v>163</v>
      </c>
      <c r="B164" s="423" t="s">
        <v>404</v>
      </c>
      <c r="C164" s="423" t="s">
        <v>2140</v>
      </c>
      <c r="D164" s="424" t="s">
        <v>990</v>
      </c>
      <c r="E164" s="425" t="s">
        <v>991</v>
      </c>
      <c r="F164" s="425" t="s">
        <v>992</v>
      </c>
      <c r="G164" s="425" t="s">
        <v>993</v>
      </c>
      <c r="H164" s="426" t="s">
        <v>699</v>
      </c>
      <c r="I164" s="425" t="s">
        <v>994</v>
      </c>
      <c r="J164" s="424" t="s">
        <v>697</v>
      </c>
      <c r="K164" s="425" t="s">
        <v>995</v>
      </c>
      <c r="L164" s="425" t="s">
        <v>996</v>
      </c>
      <c r="M164" s="425" t="s">
        <v>997</v>
      </c>
      <c r="N164" s="425" t="s">
        <v>558</v>
      </c>
      <c r="O164" s="424" t="s">
        <v>998</v>
      </c>
      <c r="P164" s="425" t="s">
        <v>999</v>
      </c>
      <c r="Q164" s="425" t="s">
        <v>1000</v>
      </c>
      <c r="R164" s="425" t="s">
        <v>1001</v>
      </c>
      <c r="S164" s="425" t="s">
        <v>1002</v>
      </c>
      <c r="T164" s="423">
        <v>160</v>
      </c>
      <c r="U164" s="423" t="s">
        <v>1041</v>
      </c>
      <c r="V164" s="423">
        <v>100</v>
      </c>
      <c r="W164" s="423" t="s">
        <v>1041</v>
      </c>
      <c r="X164" s="423" t="s">
        <v>2141</v>
      </c>
      <c r="Y164" s="423" t="s">
        <v>1041</v>
      </c>
      <c r="Z164" s="423" t="s">
        <v>2142</v>
      </c>
      <c r="AD164" s="423">
        <f>IF(ISNUMBER(MATCH(B164,'FICHA SOLIC'!$AB$26:$AB$376,0)),1,0)</f>
        <v>1</v>
      </c>
      <c r="AE164" s="423" t="str">
        <f t="shared" si="2"/>
        <v>CerrillosZCO</v>
      </c>
    </row>
    <row r="165" spans="1:31" x14ac:dyDescent="0.25">
      <c r="A165" s="423">
        <v>164</v>
      </c>
      <c r="B165" s="423" t="s">
        <v>404</v>
      </c>
      <c r="C165" s="423" t="s">
        <v>2143</v>
      </c>
      <c r="D165" s="424" t="s">
        <v>990</v>
      </c>
      <c r="E165" s="425" t="s">
        <v>991</v>
      </c>
      <c r="F165" s="425" t="s">
        <v>992</v>
      </c>
      <c r="G165" s="425" t="s">
        <v>993</v>
      </c>
      <c r="H165" s="426" t="s">
        <v>699</v>
      </c>
      <c r="I165" s="425" t="s">
        <v>994</v>
      </c>
      <c r="J165" s="424" t="s">
        <v>697</v>
      </c>
      <c r="K165" s="425" t="s">
        <v>995</v>
      </c>
      <c r="L165" s="425" t="s">
        <v>996</v>
      </c>
      <c r="M165" s="425" t="s">
        <v>997</v>
      </c>
      <c r="N165" s="425" t="s">
        <v>558</v>
      </c>
      <c r="O165" s="424" t="s">
        <v>998</v>
      </c>
      <c r="P165" s="425" t="s">
        <v>999</v>
      </c>
      <c r="Q165" s="425" t="s">
        <v>1000</v>
      </c>
      <c r="R165" s="425" t="s">
        <v>1001</v>
      </c>
      <c r="S165" s="425" t="s">
        <v>1002</v>
      </c>
      <c r="T165" s="423" t="s">
        <v>1041</v>
      </c>
      <c r="U165" s="423" t="s">
        <v>1041</v>
      </c>
      <c r="V165" s="423">
        <v>20</v>
      </c>
      <c r="W165" s="423">
        <v>0.8</v>
      </c>
      <c r="X165" s="423">
        <v>14</v>
      </c>
      <c r="Y165" s="423" t="s">
        <v>1041</v>
      </c>
      <c r="Z165" s="423" t="s">
        <v>2139</v>
      </c>
      <c r="AD165" s="423">
        <f>IF(ISNUMBER(MATCH(B165,'FICHA SOLIC'!$AB$26:$AB$376,0)),1,0)</f>
        <v>1</v>
      </c>
      <c r="AE165" s="423" t="str">
        <f t="shared" si="2"/>
        <v>CerrillosZEE</v>
      </c>
    </row>
    <row r="166" spans="1:31" x14ac:dyDescent="0.25">
      <c r="A166" s="423">
        <v>165</v>
      </c>
      <c r="B166" s="423" t="s">
        <v>404</v>
      </c>
      <c r="C166" s="423" t="s">
        <v>2144</v>
      </c>
      <c r="D166" s="424" t="s">
        <v>990</v>
      </c>
      <c r="E166" s="425" t="s">
        <v>991</v>
      </c>
      <c r="F166" s="425" t="s">
        <v>992</v>
      </c>
      <c r="G166" s="425" t="s">
        <v>993</v>
      </c>
      <c r="H166" s="426" t="s">
        <v>699</v>
      </c>
      <c r="I166" s="425" t="s">
        <v>994</v>
      </c>
      <c r="J166" s="424" t="s">
        <v>697</v>
      </c>
      <c r="K166" s="425" t="s">
        <v>995</v>
      </c>
      <c r="L166" s="425" t="s">
        <v>996</v>
      </c>
      <c r="M166" s="425" t="s">
        <v>997</v>
      </c>
      <c r="N166" s="425" t="s">
        <v>558</v>
      </c>
      <c r="O166" s="424" t="s">
        <v>998</v>
      </c>
      <c r="P166" s="425" t="s">
        <v>999</v>
      </c>
      <c r="Q166" s="425" t="s">
        <v>1000</v>
      </c>
      <c r="R166" s="425" t="s">
        <v>1001</v>
      </c>
      <c r="S166" s="425" t="s">
        <v>1002</v>
      </c>
      <c r="T166" s="423">
        <v>2000</v>
      </c>
      <c r="U166" s="423" t="s">
        <v>1041</v>
      </c>
      <c r="V166" s="423">
        <v>70</v>
      </c>
      <c r="W166" s="423">
        <v>1.4</v>
      </c>
      <c r="X166" s="423" t="s">
        <v>1041</v>
      </c>
      <c r="Y166" s="423" t="s">
        <v>1041</v>
      </c>
      <c r="Z166" s="423" t="s">
        <v>1041</v>
      </c>
      <c r="AD166" s="423">
        <f>IF(ISNUMBER(MATCH(B166,'FICHA SOLIC'!$AB$26:$AB$376,0)),1,0)</f>
        <v>1</v>
      </c>
      <c r="AE166" s="423" t="str">
        <f t="shared" si="2"/>
        <v>CerrillosZESE</v>
      </c>
    </row>
    <row r="167" spans="1:31" x14ac:dyDescent="0.25">
      <c r="A167" s="423">
        <v>166</v>
      </c>
      <c r="B167" s="423" t="s">
        <v>404</v>
      </c>
      <c r="C167" s="423" t="s">
        <v>2145</v>
      </c>
      <c r="D167" s="424" t="s">
        <v>990</v>
      </c>
      <c r="E167" s="425" t="s">
        <v>991</v>
      </c>
      <c r="F167" s="425" t="s">
        <v>992</v>
      </c>
      <c r="G167" s="425" t="s">
        <v>993</v>
      </c>
      <c r="H167" s="426" t="s">
        <v>699</v>
      </c>
      <c r="I167" s="425" t="s">
        <v>994</v>
      </c>
      <c r="J167" s="424" t="s">
        <v>697</v>
      </c>
      <c r="K167" s="425" t="s">
        <v>995</v>
      </c>
      <c r="L167" s="425" t="s">
        <v>996</v>
      </c>
      <c r="M167" s="425" t="s">
        <v>997</v>
      </c>
      <c r="N167" s="425" t="s">
        <v>558</v>
      </c>
      <c r="O167" s="424" t="s">
        <v>998</v>
      </c>
      <c r="P167" s="425" t="s">
        <v>999</v>
      </c>
      <c r="Q167" s="425" t="s">
        <v>1000</v>
      </c>
      <c r="R167" s="425" t="s">
        <v>1001</v>
      </c>
      <c r="S167" s="425" t="s">
        <v>1002</v>
      </c>
      <c r="T167" s="423" t="s">
        <v>1041</v>
      </c>
      <c r="U167" s="423" t="s">
        <v>1041</v>
      </c>
      <c r="V167" s="423" t="s">
        <v>1041</v>
      </c>
      <c r="W167" s="423" t="s">
        <v>1041</v>
      </c>
      <c r="X167" s="423" t="s">
        <v>1041</v>
      </c>
      <c r="Y167" s="423" t="s">
        <v>1041</v>
      </c>
      <c r="Z167" s="423" t="s">
        <v>1041</v>
      </c>
      <c r="AD167" s="423">
        <f>IF(ISNUMBER(MATCH(B167,'FICHA SOLIC'!$AB$26:$AB$376,0)),1,0)</f>
        <v>1</v>
      </c>
      <c r="AE167" s="423" t="str">
        <f t="shared" si="2"/>
        <v>CerrillosZHMM</v>
      </c>
    </row>
    <row r="168" spans="1:31" x14ac:dyDescent="0.25">
      <c r="A168" s="423">
        <v>167</v>
      </c>
      <c r="B168" s="423" t="s">
        <v>404</v>
      </c>
      <c r="C168" s="423" t="s">
        <v>1689</v>
      </c>
      <c r="D168" s="424" t="s">
        <v>990</v>
      </c>
      <c r="E168" s="425" t="s">
        <v>991</v>
      </c>
      <c r="F168" s="425" t="s">
        <v>992</v>
      </c>
      <c r="G168" s="425" t="s">
        <v>993</v>
      </c>
      <c r="H168" s="426" t="s">
        <v>699</v>
      </c>
      <c r="I168" s="425" t="s">
        <v>994</v>
      </c>
      <c r="J168" s="424" t="s">
        <v>697</v>
      </c>
      <c r="K168" s="425" t="s">
        <v>995</v>
      </c>
      <c r="L168" s="425" t="s">
        <v>996</v>
      </c>
      <c r="M168" s="425" t="s">
        <v>997</v>
      </c>
      <c r="N168" s="425" t="s">
        <v>558</v>
      </c>
      <c r="O168" s="424" t="s">
        <v>998</v>
      </c>
      <c r="P168" s="425" t="s">
        <v>999</v>
      </c>
      <c r="Q168" s="425" t="s">
        <v>1000</v>
      </c>
      <c r="R168" s="425" t="s">
        <v>1001</v>
      </c>
      <c r="S168" s="425" t="s">
        <v>1002</v>
      </c>
      <c r="T168" s="423">
        <v>1500</v>
      </c>
      <c r="U168" s="423" t="s">
        <v>1041</v>
      </c>
      <c r="V168" s="423">
        <v>50</v>
      </c>
      <c r="W168" s="423" t="s">
        <v>1041</v>
      </c>
      <c r="X168" s="423" t="s">
        <v>2146</v>
      </c>
      <c r="Y168" s="423" t="s">
        <v>1041</v>
      </c>
      <c r="Z168" s="423" t="s">
        <v>2139</v>
      </c>
      <c r="AD168" s="423">
        <f>IF(ISNUMBER(MATCH(B168,'FICHA SOLIC'!$AB$26:$AB$376,0)),1,0)</f>
        <v>1</v>
      </c>
      <c r="AE168" s="423" t="str">
        <f t="shared" si="2"/>
        <v>CerrillosZI</v>
      </c>
    </row>
    <row r="169" spans="1:31" x14ac:dyDescent="0.25">
      <c r="A169" s="423">
        <v>168</v>
      </c>
      <c r="B169" s="423" t="s">
        <v>404</v>
      </c>
      <c r="C169" s="423" t="s">
        <v>2147</v>
      </c>
      <c r="D169" s="424" t="s">
        <v>990</v>
      </c>
      <c r="E169" s="425" t="s">
        <v>991</v>
      </c>
      <c r="F169" s="425" t="s">
        <v>992</v>
      </c>
      <c r="G169" s="425" t="s">
        <v>993</v>
      </c>
      <c r="H169" s="426" t="s">
        <v>699</v>
      </c>
      <c r="I169" s="425" t="s">
        <v>994</v>
      </c>
      <c r="J169" s="424" t="s">
        <v>697</v>
      </c>
      <c r="K169" s="425" t="s">
        <v>995</v>
      </c>
      <c r="L169" s="425" t="s">
        <v>996</v>
      </c>
      <c r="M169" s="425" t="s">
        <v>997</v>
      </c>
      <c r="N169" s="425" t="s">
        <v>558</v>
      </c>
      <c r="O169" s="424" t="s">
        <v>998</v>
      </c>
      <c r="P169" s="425" t="s">
        <v>999</v>
      </c>
      <c r="Q169" s="425" t="s">
        <v>1000</v>
      </c>
      <c r="R169" s="425" t="s">
        <v>1001</v>
      </c>
      <c r="S169" s="425" t="s">
        <v>1002</v>
      </c>
      <c r="T169" s="423">
        <v>500</v>
      </c>
      <c r="U169" s="423" t="s">
        <v>1041</v>
      </c>
      <c r="V169" s="423">
        <v>70</v>
      </c>
      <c r="W169" s="423">
        <v>1</v>
      </c>
      <c r="X169" s="423" t="s">
        <v>1041</v>
      </c>
      <c r="Y169" s="423" t="s">
        <v>1041</v>
      </c>
      <c r="Z169" s="423" t="s">
        <v>1041</v>
      </c>
      <c r="AD169" s="423">
        <f>IF(ISNUMBER(MATCH(B169,'FICHA SOLIC'!$AB$26:$AB$376,0)),1,0)</f>
        <v>1</v>
      </c>
      <c r="AE169" s="423" t="str">
        <f t="shared" si="2"/>
        <v>CerrillosZIEAM</v>
      </c>
    </row>
    <row r="170" spans="1:31" x14ac:dyDescent="0.25">
      <c r="A170" s="423">
        <v>169</v>
      </c>
      <c r="B170" s="423" t="s">
        <v>404</v>
      </c>
      <c r="C170" s="423" t="s">
        <v>2148</v>
      </c>
      <c r="D170" s="424" t="s">
        <v>990</v>
      </c>
      <c r="E170" s="425" t="s">
        <v>991</v>
      </c>
      <c r="F170" s="425" t="s">
        <v>992</v>
      </c>
      <c r="G170" s="425" t="s">
        <v>993</v>
      </c>
      <c r="H170" s="426" t="s">
        <v>699</v>
      </c>
      <c r="I170" s="425" t="s">
        <v>994</v>
      </c>
      <c r="J170" s="424" t="s">
        <v>697</v>
      </c>
      <c r="K170" s="425" t="s">
        <v>995</v>
      </c>
      <c r="L170" s="425" t="s">
        <v>996</v>
      </c>
      <c r="M170" s="425" t="s">
        <v>997</v>
      </c>
      <c r="N170" s="425" t="s">
        <v>558</v>
      </c>
      <c r="O170" s="424" t="s">
        <v>998</v>
      </c>
      <c r="P170" s="425" t="s">
        <v>999</v>
      </c>
      <c r="Q170" s="425" t="s">
        <v>1000</v>
      </c>
      <c r="R170" s="425" t="s">
        <v>1001</v>
      </c>
      <c r="S170" s="425" t="s">
        <v>1002</v>
      </c>
      <c r="T170" s="423" t="s">
        <v>1041</v>
      </c>
      <c r="U170" s="423" t="s">
        <v>1041</v>
      </c>
      <c r="V170" s="423">
        <v>40</v>
      </c>
      <c r="W170" s="423">
        <v>3.2</v>
      </c>
      <c r="X170" s="423">
        <v>35</v>
      </c>
      <c r="Y170" s="423" t="s">
        <v>1041</v>
      </c>
      <c r="Z170" s="423" t="s">
        <v>2139</v>
      </c>
      <c r="AD170" s="423">
        <f>IF(ISNUMBER(MATCH(B170,'FICHA SOLIC'!$AB$26:$AB$376,0)),1,0)</f>
        <v>1</v>
      </c>
      <c r="AE170" s="423" t="str">
        <f t="shared" si="2"/>
        <v>CerrillosZME</v>
      </c>
    </row>
    <row r="171" spans="1:31" x14ac:dyDescent="0.25">
      <c r="A171" s="423">
        <v>170</v>
      </c>
      <c r="B171" s="423" t="s">
        <v>404</v>
      </c>
      <c r="C171" s="423" t="s">
        <v>2149</v>
      </c>
      <c r="D171" s="424" t="s">
        <v>990</v>
      </c>
      <c r="E171" s="425" t="s">
        <v>991</v>
      </c>
      <c r="F171" s="425" t="s">
        <v>992</v>
      </c>
      <c r="G171" s="425" t="s">
        <v>993</v>
      </c>
      <c r="H171" s="426" t="s">
        <v>699</v>
      </c>
      <c r="I171" s="425" t="s">
        <v>994</v>
      </c>
      <c r="J171" s="424" t="s">
        <v>697</v>
      </c>
      <c r="K171" s="425" t="s">
        <v>995</v>
      </c>
      <c r="L171" s="425" t="s">
        <v>996</v>
      </c>
      <c r="M171" s="425" t="s">
        <v>997</v>
      </c>
      <c r="N171" s="425" t="s">
        <v>558</v>
      </c>
      <c r="O171" s="424" t="s">
        <v>998</v>
      </c>
      <c r="P171" s="425" t="s">
        <v>999</v>
      </c>
      <c r="Q171" s="425" t="s">
        <v>1000</v>
      </c>
      <c r="R171" s="425" t="s">
        <v>1001</v>
      </c>
      <c r="S171" s="425" t="s">
        <v>1002</v>
      </c>
      <c r="T171" s="423" t="s">
        <v>1041</v>
      </c>
      <c r="U171" s="423" t="s">
        <v>1041</v>
      </c>
      <c r="V171" s="423">
        <v>40</v>
      </c>
      <c r="W171" s="423">
        <v>3.2</v>
      </c>
      <c r="X171" s="423">
        <v>35</v>
      </c>
      <c r="Y171" s="423" t="s">
        <v>1041</v>
      </c>
      <c r="Z171" s="423" t="s">
        <v>2139</v>
      </c>
      <c r="AD171" s="423">
        <f>IF(ISNUMBER(MATCH(B171,'FICHA SOLIC'!$AB$26:$AB$376,0)),1,0)</f>
        <v>1</v>
      </c>
      <c r="AE171" s="423" t="str">
        <f t="shared" si="2"/>
        <v>CerrillosZMH1</v>
      </c>
    </row>
    <row r="172" spans="1:31" x14ac:dyDescent="0.25">
      <c r="A172" s="423">
        <v>171</v>
      </c>
      <c r="B172" s="423" t="s">
        <v>404</v>
      </c>
      <c r="C172" s="423" t="s">
        <v>2150</v>
      </c>
      <c r="D172" s="424" t="s">
        <v>990</v>
      </c>
      <c r="E172" s="425" t="s">
        <v>991</v>
      </c>
      <c r="F172" s="425" t="s">
        <v>992</v>
      </c>
      <c r="G172" s="425" t="s">
        <v>993</v>
      </c>
      <c r="H172" s="426" t="s">
        <v>699</v>
      </c>
      <c r="I172" s="425" t="s">
        <v>994</v>
      </c>
      <c r="J172" s="424" t="s">
        <v>697</v>
      </c>
      <c r="K172" s="425" t="s">
        <v>995</v>
      </c>
      <c r="L172" s="425" t="s">
        <v>996</v>
      </c>
      <c r="M172" s="425" t="s">
        <v>997</v>
      </c>
      <c r="N172" s="425" t="s">
        <v>558</v>
      </c>
      <c r="O172" s="424" t="s">
        <v>998</v>
      </c>
      <c r="P172" s="425" t="s">
        <v>999</v>
      </c>
      <c r="Q172" s="425" t="s">
        <v>1000</v>
      </c>
      <c r="R172" s="425" t="s">
        <v>1001</v>
      </c>
      <c r="S172" s="425" t="s">
        <v>1002</v>
      </c>
      <c r="T172" s="423">
        <v>150</v>
      </c>
      <c r="U172" s="423" t="s">
        <v>1041</v>
      </c>
      <c r="V172" s="423">
        <v>60</v>
      </c>
      <c r="W172" s="423">
        <v>2.4</v>
      </c>
      <c r="X172" s="423">
        <v>25</v>
      </c>
      <c r="Y172" s="423" t="s">
        <v>1041</v>
      </c>
      <c r="Z172" s="423" t="s">
        <v>2151</v>
      </c>
      <c r="AD172" s="423">
        <f>IF(ISNUMBER(MATCH(B172,'FICHA SOLIC'!$AB$26:$AB$376,0)),1,0)</f>
        <v>1</v>
      </c>
      <c r="AE172" s="423" t="str">
        <f t="shared" si="2"/>
        <v>CerrillosZMH2</v>
      </c>
    </row>
    <row r="173" spans="1:31" x14ac:dyDescent="0.25">
      <c r="A173" s="423">
        <v>172</v>
      </c>
      <c r="B173" s="423" t="s">
        <v>404</v>
      </c>
      <c r="C173" s="423" t="s">
        <v>2152</v>
      </c>
      <c r="D173" s="424" t="s">
        <v>990</v>
      </c>
      <c r="E173" s="425" t="s">
        <v>991</v>
      </c>
      <c r="F173" s="425" t="s">
        <v>992</v>
      </c>
      <c r="G173" s="425" t="s">
        <v>993</v>
      </c>
      <c r="H173" s="426" t="s">
        <v>699</v>
      </c>
      <c r="I173" s="425" t="s">
        <v>994</v>
      </c>
      <c r="J173" s="424" t="s">
        <v>697</v>
      </c>
      <c r="K173" s="425" t="s">
        <v>995</v>
      </c>
      <c r="L173" s="425" t="s">
        <v>996</v>
      </c>
      <c r="M173" s="425" t="s">
        <v>997</v>
      </c>
      <c r="N173" s="425" t="s">
        <v>558</v>
      </c>
      <c r="O173" s="424" t="s">
        <v>998</v>
      </c>
      <c r="P173" s="425" t="s">
        <v>999</v>
      </c>
      <c r="Q173" s="425" t="s">
        <v>1000</v>
      </c>
      <c r="R173" s="425" t="s">
        <v>1001</v>
      </c>
      <c r="S173" s="425" t="s">
        <v>1002</v>
      </c>
      <c r="T173" s="423" t="s">
        <v>1041</v>
      </c>
      <c r="U173" s="423" t="s">
        <v>1041</v>
      </c>
      <c r="V173" s="423">
        <v>50</v>
      </c>
      <c r="W173" s="423">
        <v>1.6</v>
      </c>
      <c r="X173" s="423">
        <v>21</v>
      </c>
      <c r="Y173" s="423" t="s">
        <v>1041</v>
      </c>
      <c r="Z173" s="423" t="s">
        <v>1059</v>
      </c>
      <c r="AD173" s="423">
        <f>IF(ISNUMBER(MATCH(B173,'FICHA SOLIC'!$AB$26:$AB$376,0)),1,0)</f>
        <v>1</v>
      </c>
      <c r="AE173" s="423" t="str">
        <f t="shared" si="2"/>
        <v>CerrillosZMH3</v>
      </c>
    </row>
    <row r="174" spans="1:31" x14ac:dyDescent="0.25">
      <c r="A174" s="423">
        <v>173</v>
      </c>
      <c r="B174" s="423" t="s">
        <v>404</v>
      </c>
      <c r="C174" s="423" t="s">
        <v>2153</v>
      </c>
      <c r="D174" s="424" t="s">
        <v>990</v>
      </c>
      <c r="E174" s="425" t="s">
        <v>991</v>
      </c>
      <c r="F174" s="425" t="s">
        <v>992</v>
      </c>
      <c r="G174" s="425" t="s">
        <v>993</v>
      </c>
      <c r="H174" s="426" t="s">
        <v>699</v>
      </c>
      <c r="I174" s="425" t="s">
        <v>994</v>
      </c>
      <c r="J174" s="424" t="s">
        <v>697</v>
      </c>
      <c r="K174" s="425" t="s">
        <v>995</v>
      </c>
      <c r="L174" s="425" t="s">
        <v>996</v>
      </c>
      <c r="M174" s="425" t="s">
        <v>997</v>
      </c>
      <c r="N174" s="425" t="s">
        <v>558</v>
      </c>
      <c r="O174" s="424" t="s">
        <v>998</v>
      </c>
      <c r="P174" s="425" t="s">
        <v>999</v>
      </c>
      <c r="Q174" s="425" t="s">
        <v>1000</v>
      </c>
      <c r="R174" s="425" t="s">
        <v>1001</v>
      </c>
      <c r="S174" s="425" t="s">
        <v>1002</v>
      </c>
      <c r="T174" s="423" t="s">
        <v>2154</v>
      </c>
      <c r="U174" s="423" t="s">
        <v>1041</v>
      </c>
      <c r="V174" s="423">
        <v>10</v>
      </c>
      <c r="W174" s="423">
        <v>0.1</v>
      </c>
      <c r="X174" s="423" t="s">
        <v>1041</v>
      </c>
      <c r="Y174" s="423" t="s">
        <v>1041</v>
      </c>
      <c r="Z174" s="423" t="s">
        <v>1041</v>
      </c>
      <c r="AD174" s="423">
        <f>IF(ISNUMBER(MATCH(B174,'FICHA SOLIC'!$AB$26:$AB$376,0)),1,0)</f>
        <v>1</v>
      </c>
      <c r="AE174" s="423" t="str">
        <f t="shared" si="2"/>
        <v>CerrillosZONA DERRUMBE</v>
      </c>
    </row>
    <row r="175" spans="1:31" x14ac:dyDescent="0.25">
      <c r="A175" s="423">
        <v>174</v>
      </c>
      <c r="B175" s="423" t="s">
        <v>404</v>
      </c>
      <c r="C175" s="423" t="s">
        <v>2155</v>
      </c>
      <c r="D175" s="424" t="s">
        <v>990</v>
      </c>
      <c r="E175" s="425" t="s">
        <v>991</v>
      </c>
      <c r="F175" s="425" t="s">
        <v>992</v>
      </c>
      <c r="G175" s="425" t="s">
        <v>993</v>
      </c>
      <c r="H175" s="426" t="s">
        <v>699</v>
      </c>
      <c r="I175" s="425" t="s">
        <v>994</v>
      </c>
      <c r="J175" s="424" t="s">
        <v>697</v>
      </c>
      <c r="K175" s="425" t="s">
        <v>995</v>
      </c>
      <c r="L175" s="425" t="s">
        <v>996</v>
      </c>
      <c r="M175" s="425" t="s">
        <v>997</v>
      </c>
      <c r="N175" s="425" t="s">
        <v>558</v>
      </c>
      <c r="O175" s="424" t="s">
        <v>998</v>
      </c>
      <c r="P175" s="425" t="s">
        <v>999</v>
      </c>
      <c r="Q175" s="425" t="s">
        <v>1000</v>
      </c>
      <c r="R175" s="425" t="s">
        <v>1001</v>
      </c>
      <c r="S175" s="425" t="s">
        <v>1002</v>
      </c>
      <c r="T175" s="423">
        <v>300</v>
      </c>
      <c r="U175" s="423" t="s">
        <v>1041</v>
      </c>
      <c r="V175" s="423">
        <v>50</v>
      </c>
      <c r="W175" s="423" t="s">
        <v>1041</v>
      </c>
      <c r="X175" s="423" t="s">
        <v>1041</v>
      </c>
      <c r="Y175" s="423" t="s">
        <v>1041</v>
      </c>
      <c r="Z175" s="423" t="s">
        <v>2156</v>
      </c>
      <c r="AD175" s="423">
        <f>IF(ISNUMBER(MATCH(B175,'FICHA SOLIC'!$AB$26:$AB$376,0)),1,0)</f>
        <v>1</v>
      </c>
      <c r="AE175" s="423" t="str">
        <f t="shared" si="2"/>
        <v>CerrillosZRE</v>
      </c>
    </row>
    <row r="176" spans="1:31" x14ac:dyDescent="0.25">
      <c r="A176" s="423">
        <v>175</v>
      </c>
      <c r="B176" s="423" t="s">
        <v>404</v>
      </c>
      <c r="C176" s="423" t="s">
        <v>2157</v>
      </c>
      <c r="D176" s="424" t="s">
        <v>990</v>
      </c>
      <c r="E176" s="425" t="s">
        <v>991</v>
      </c>
      <c r="F176" s="425" t="s">
        <v>992</v>
      </c>
      <c r="G176" s="425" t="s">
        <v>993</v>
      </c>
      <c r="H176" s="426" t="s">
        <v>699</v>
      </c>
      <c r="I176" s="425" t="s">
        <v>994</v>
      </c>
      <c r="J176" s="424" t="s">
        <v>697</v>
      </c>
      <c r="K176" s="425" t="s">
        <v>995</v>
      </c>
      <c r="L176" s="425" t="s">
        <v>996</v>
      </c>
      <c r="M176" s="425" t="s">
        <v>997</v>
      </c>
      <c r="N176" s="425" t="s">
        <v>558</v>
      </c>
      <c r="O176" s="424" t="s">
        <v>998</v>
      </c>
      <c r="P176" s="425" t="s">
        <v>999</v>
      </c>
      <c r="Q176" s="425" t="s">
        <v>1000</v>
      </c>
      <c r="R176" s="425" t="s">
        <v>1001</v>
      </c>
      <c r="S176" s="425" t="s">
        <v>1002</v>
      </c>
      <c r="T176" s="423">
        <v>160</v>
      </c>
      <c r="U176" s="423" t="s">
        <v>1041</v>
      </c>
      <c r="V176" s="423">
        <v>70</v>
      </c>
      <c r="W176" s="423" t="s">
        <v>1041</v>
      </c>
      <c r="X176" s="423" t="s">
        <v>2158</v>
      </c>
      <c r="Y176" s="423" t="s">
        <v>1041</v>
      </c>
      <c r="Z176" s="423" t="s">
        <v>2156</v>
      </c>
      <c r="AD176" s="423">
        <f>IF(ISNUMBER(MATCH(B176,'FICHA SOLIC'!$AB$26:$AB$376,0)),1,0)</f>
        <v>1</v>
      </c>
      <c r="AE176" s="423" t="str">
        <f t="shared" si="2"/>
        <v>CerrillosZRM</v>
      </c>
    </row>
    <row r="177" spans="1:31" x14ac:dyDescent="0.25">
      <c r="A177" s="423">
        <v>176</v>
      </c>
      <c r="B177" s="423" t="s">
        <v>404</v>
      </c>
      <c r="C177" s="423" t="s">
        <v>2159</v>
      </c>
      <c r="D177" s="424" t="s">
        <v>990</v>
      </c>
      <c r="E177" s="425" t="s">
        <v>991</v>
      </c>
      <c r="F177" s="425" t="s">
        <v>992</v>
      </c>
      <c r="G177" s="425" t="s">
        <v>993</v>
      </c>
      <c r="H177" s="426" t="s">
        <v>699</v>
      </c>
      <c r="I177" s="425" t="s">
        <v>994</v>
      </c>
      <c r="J177" s="424" t="s">
        <v>697</v>
      </c>
      <c r="K177" s="425" t="s">
        <v>995</v>
      </c>
      <c r="L177" s="425" t="s">
        <v>996</v>
      </c>
      <c r="M177" s="425" t="s">
        <v>997</v>
      </c>
      <c r="N177" s="425" t="s">
        <v>558</v>
      </c>
      <c r="O177" s="424" t="s">
        <v>998</v>
      </c>
      <c r="P177" s="425" t="s">
        <v>999</v>
      </c>
      <c r="Q177" s="425" t="s">
        <v>1000</v>
      </c>
      <c r="R177" s="425" t="s">
        <v>1001</v>
      </c>
      <c r="S177" s="425" t="s">
        <v>1002</v>
      </c>
      <c r="T177" s="423" t="s">
        <v>1041</v>
      </c>
      <c r="U177" s="423" t="s">
        <v>1041</v>
      </c>
      <c r="V177" s="423" t="s">
        <v>1041</v>
      </c>
      <c r="W177" s="423" t="s">
        <v>1041</v>
      </c>
      <c r="X177" s="423" t="s">
        <v>1041</v>
      </c>
      <c r="Y177" s="423" t="s">
        <v>1041</v>
      </c>
      <c r="Z177" s="423" t="s">
        <v>2160</v>
      </c>
      <c r="AD177" s="423">
        <f>IF(ISNUMBER(MATCH(B177,'FICHA SOLIC'!$AB$26:$AB$376,0)),1,0)</f>
        <v>1</v>
      </c>
      <c r="AE177" s="423" t="str">
        <f t="shared" si="2"/>
        <v>CerrillosZUE</v>
      </c>
    </row>
    <row r="178" spans="1:31" x14ac:dyDescent="0.25">
      <c r="A178" s="423">
        <v>177</v>
      </c>
      <c r="B178" s="423" t="s">
        <v>405</v>
      </c>
      <c r="C178" s="423" t="s">
        <v>1539</v>
      </c>
      <c r="D178" s="424" t="s">
        <v>990</v>
      </c>
      <c r="E178" s="425" t="s">
        <v>991</v>
      </c>
      <c r="F178" s="425" t="s">
        <v>992</v>
      </c>
      <c r="G178" s="425" t="s">
        <v>993</v>
      </c>
      <c r="H178" s="426" t="s">
        <v>699</v>
      </c>
      <c r="I178" s="425" t="s">
        <v>994</v>
      </c>
      <c r="J178" s="424" t="s">
        <v>697</v>
      </c>
      <c r="K178" s="425" t="s">
        <v>995</v>
      </c>
      <c r="L178" s="425" t="s">
        <v>996</v>
      </c>
      <c r="M178" s="425" t="s">
        <v>997</v>
      </c>
      <c r="N178" s="425" t="s">
        <v>558</v>
      </c>
      <c r="O178" s="424" t="s">
        <v>998</v>
      </c>
      <c r="P178" s="425" t="s">
        <v>999</v>
      </c>
      <c r="Q178" s="425" t="s">
        <v>1000</v>
      </c>
      <c r="R178" s="425" t="s">
        <v>1001</v>
      </c>
      <c r="S178" s="425" t="s">
        <v>1002</v>
      </c>
      <c r="T178" s="423" t="s">
        <v>1544</v>
      </c>
      <c r="U178" s="423" t="s">
        <v>1097</v>
      </c>
      <c r="V178" s="423" t="s">
        <v>1097</v>
      </c>
      <c r="W178" s="423" t="s">
        <v>1097</v>
      </c>
      <c r="X178" s="423" t="s">
        <v>1097</v>
      </c>
      <c r="Y178" s="423" t="s">
        <v>1097</v>
      </c>
      <c r="Z178" s="423" t="s">
        <v>1097</v>
      </c>
      <c r="AD178" s="423">
        <f>IF(ISNUMBER(MATCH(B178,'FICHA SOLIC'!$AB$26:$AB$376,0)),1,0)</f>
        <v>1</v>
      </c>
      <c r="AE178" s="423" t="str">
        <f t="shared" si="2"/>
        <v>Cerro NaviaAR-1</v>
      </c>
    </row>
    <row r="179" spans="1:31" x14ac:dyDescent="0.25">
      <c r="A179" s="423">
        <v>178</v>
      </c>
      <c r="B179" s="423" t="s">
        <v>405</v>
      </c>
      <c r="C179" s="423" t="s">
        <v>1540</v>
      </c>
      <c r="D179" s="424" t="s">
        <v>990</v>
      </c>
      <c r="E179" s="425" t="s">
        <v>991</v>
      </c>
      <c r="F179" s="425" t="s">
        <v>992</v>
      </c>
      <c r="G179" s="425" t="s">
        <v>993</v>
      </c>
      <c r="H179" s="426" t="s">
        <v>699</v>
      </c>
      <c r="I179" s="425" t="s">
        <v>994</v>
      </c>
      <c r="J179" s="424" t="s">
        <v>697</v>
      </c>
      <c r="K179" s="425" t="s">
        <v>995</v>
      </c>
      <c r="L179" s="425" t="s">
        <v>996</v>
      </c>
      <c r="M179" s="425" t="s">
        <v>997</v>
      </c>
      <c r="N179" s="425" t="s">
        <v>558</v>
      </c>
      <c r="O179" s="424" t="s">
        <v>998</v>
      </c>
      <c r="P179" s="425" t="s">
        <v>999</v>
      </c>
      <c r="Q179" s="425" t="s">
        <v>1000</v>
      </c>
      <c r="R179" s="425" t="s">
        <v>1001</v>
      </c>
      <c r="S179" s="425" t="s">
        <v>1002</v>
      </c>
      <c r="T179" s="423" t="s">
        <v>1097</v>
      </c>
      <c r="U179" s="423" t="s">
        <v>1097</v>
      </c>
      <c r="V179" s="423" t="s">
        <v>1097</v>
      </c>
      <c r="W179" s="423" t="s">
        <v>1097</v>
      </c>
      <c r="X179" s="423" t="s">
        <v>1097</v>
      </c>
      <c r="Y179" s="423" t="s">
        <v>1097</v>
      </c>
      <c r="Z179" s="423" t="s">
        <v>1097</v>
      </c>
      <c r="AD179" s="423">
        <f>IF(ISNUMBER(MATCH(B179,'FICHA SOLIC'!$AB$26:$AB$376,0)),1,0)</f>
        <v>1</v>
      </c>
      <c r="AE179" s="423" t="str">
        <f t="shared" si="2"/>
        <v>Cerro NaviaAR-2</v>
      </c>
    </row>
    <row r="180" spans="1:31" x14ac:dyDescent="0.25">
      <c r="A180" s="423">
        <v>179</v>
      </c>
      <c r="B180" s="423" t="s">
        <v>405</v>
      </c>
      <c r="C180" s="423" t="s">
        <v>1541</v>
      </c>
      <c r="D180" s="424" t="s">
        <v>990</v>
      </c>
      <c r="E180" s="425" t="s">
        <v>991</v>
      </c>
      <c r="F180" s="425" t="s">
        <v>992</v>
      </c>
      <c r="G180" s="425" t="s">
        <v>993</v>
      </c>
      <c r="H180" s="426" t="s">
        <v>699</v>
      </c>
      <c r="I180" s="425" t="s">
        <v>994</v>
      </c>
      <c r="J180" s="424" t="s">
        <v>697</v>
      </c>
      <c r="K180" s="425" t="s">
        <v>995</v>
      </c>
      <c r="L180" s="425" t="s">
        <v>996</v>
      </c>
      <c r="M180" s="425" t="s">
        <v>997</v>
      </c>
      <c r="N180" s="425" t="s">
        <v>558</v>
      </c>
      <c r="O180" s="424" t="s">
        <v>998</v>
      </c>
      <c r="P180" s="425" t="s">
        <v>999</v>
      </c>
      <c r="Q180" s="425" t="s">
        <v>1000</v>
      </c>
      <c r="R180" s="425" t="s">
        <v>1001</v>
      </c>
      <c r="S180" s="425" t="s">
        <v>1002</v>
      </c>
      <c r="T180" s="423" t="s">
        <v>1545</v>
      </c>
      <c r="U180" s="423" t="s">
        <v>1097</v>
      </c>
      <c r="V180" s="423" t="s">
        <v>1097</v>
      </c>
      <c r="W180" s="423" t="s">
        <v>1097</v>
      </c>
      <c r="X180" s="423" t="s">
        <v>1097</v>
      </c>
      <c r="Y180" s="423" t="s">
        <v>1097</v>
      </c>
      <c r="Z180" s="423" t="s">
        <v>1097</v>
      </c>
      <c r="AD180" s="423">
        <f>IF(ISNUMBER(MATCH(B180,'FICHA SOLIC'!$AB$26:$AB$376,0)),1,0)</f>
        <v>1</v>
      </c>
      <c r="AE180" s="423" t="str">
        <f t="shared" si="2"/>
        <v>Cerro NaviaAR-3</v>
      </c>
    </row>
    <row r="181" spans="1:31" x14ac:dyDescent="0.25">
      <c r="A181" s="423">
        <v>180</v>
      </c>
      <c r="B181" s="423" t="s">
        <v>405</v>
      </c>
      <c r="C181" s="423" t="s">
        <v>2161</v>
      </c>
      <c r="D181" s="424" t="s">
        <v>990</v>
      </c>
      <c r="E181" s="425" t="s">
        <v>991</v>
      </c>
      <c r="F181" s="425" t="s">
        <v>992</v>
      </c>
      <c r="G181" s="425" t="s">
        <v>993</v>
      </c>
      <c r="H181" s="426" t="s">
        <v>699</v>
      </c>
      <c r="I181" s="425" t="s">
        <v>994</v>
      </c>
      <c r="J181" s="424" t="s">
        <v>697</v>
      </c>
      <c r="K181" s="425" t="s">
        <v>995</v>
      </c>
      <c r="L181" s="425" t="s">
        <v>996</v>
      </c>
      <c r="M181" s="425" t="s">
        <v>997</v>
      </c>
      <c r="N181" s="425" t="s">
        <v>558</v>
      </c>
      <c r="O181" s="424" t="s">
        <v>998</v>
      </c>
      <c r="P181" s="425" t="s">
        <v>999</v>
      </c>
      <c r="Q181" s="425" t="s">
        <v>1000</v>
      </c>
      <c r="R181" s="425" t="s">
        <v>1001</v>
      </c>
      <c r="S181" s="425" t="s">
        <v>1002</v>
      </c>
      <c r="T181" s="423">
        <v>800</v>
      </c>
      <c r="U181" s="423" t="s">
        <v>1041</v>
      </c>
      <c r="V181" s="423">
        <v>30</v>
      </c>
      <c r="W181" s="423">
        <v>0.6</v>
      </c>
      <c r="X181" s="423">
        <v>14</v>
      </c>
      <c r="Y181" s="423" t="s">
        <v>1041</v>
      </c>
      <c r="Z181" s="423" t="s">
        <v>1058</v>
      </c>
      <c r="AD181" s="423">
        <f>IF(ISNUMBER(MATCH(B181,'FICHA SOLIC'!$AB$26:$AB$376,0)),1,0)</f>
        <v>1</v>
      </c>
      <c r="AE181" s="423" t="str">
        <f t="shared" si="2"/>
        <v>Cerro NaviaED</v>
      </c>
    </row>
    <row r="182" spans="1:31" x14ac:dyDescent="0.25">
      <c r="A182" s="423">
        <v>181</v>
      </c>
      <c r="B182" s="423" t="s">
        <v>405</v>
      </c>
      <c r="C182" s="423" t="s">
        <v>1661</v>
      </c>
      <c r="D182" s="424" t="s">
        <v>990</v>
      </c>
      <c r="E182" s="425" t="s">
        <v>991</v>
      </c>
      <c r="F182" s="425" t="s">
        <v>992</v>
      </c>
      <c r="G182" s="425" t="s">
        <v>993</v>
      </c>
      <c r="H182" s="426" t="s">
        <v>699</v>
      </c>
      <c r="I182" s="425" t="s">
        <v>994</v>
      </c>
      <c r="J182" s="424" t="s">
        <v>697</v>
      </c>
      <c r="K182" s="425" t="s">
        <v>995</v>
      </c>
      <c r="L182" s="425" t="s">
        <v>996</v>
      </c>
      <c r="M182" s="425" t="s">
        <v>997</v>
      </c>
      <c r="N182" s="425" t="s">
        <v>558</v>
      </c>
      <c r="O182" s="424" t="s">
        <v>998</v>
      </c>
      <c r="P182" s="425" t="s">
        <v>999</v>
      </c>
      <c r="Q182" s="425" t="s">
        <v>1000</v>
      </c>
      <c r="R182" s="425" t="s">
        <v>1001</v>
      </c>
      <c r="S182" s="425" t="s">
        <v>1002</v>
      </c>
      <c r="T182" s="423">
        <v>800</v>
      </c>
      <c r="U182" s="423" t="s">
        <v>1041</v>
      </c>
      <c r="V182" s="423">
        <v>50</v>
      </c>
      <c r="W182" s="423">
        <v>4</v>
      </c>
      <c r="X182" s="423">
        <v>18</v>
      </c>
      <c r="Y182" s="423" t="s">
        <v>1041</v>
      </c>
      <c r="Z182" s="423" t="s">
        <v>1057</v>
      </c>
      <c r="AD182" s="423">
        <f>IF(ISNUMBER(MATCH(B182,'FICHA SOLIC'!$AB$26:$AB$376,0)),1,0)</f>
        <v>1</v>
      </c>
      <c r="AE182" s="423" t="str">
        <f t="shared" si="2"/>
        <v>Cerro NaviaEE</v>
      </c>
    </row>
    <row r="183" spans="1:31" x14ac:dyDescent="0.25">
      <c r="A183" s="423">
        <v>182</v>
      </c>
      <c r="B183" s="423" t="s">
        <v>405</v>
      </c>
      <c r="C183" s="423" t="s">
        <v>2162</v>
      </c>
      <c r="D183" s="424" t="s">
        <v>990</v>
      </c>
      <c r="E183" s="425" t="s">
        <v>991</v>
      </c>
      <c r="F183" s="425" t="s">
        <v>992</v>
      </c>
      <c r="G183" s="425" t="s">
        <v>993</v>
      </c>
      <c r="H183" s="426" t="s">
        <v>699</v>
      </c>
      <c r="I183" s="425" t="s">
        <v>994</v>
      </c>
      <c r="J183" s="424" t="s">
        <v>697</v>
      </c>
      <c r="K183" s="425" t="s">
        <v>995</v>
      </c>
      <c r="L183" s="425" t="s">
        <v>996</v>
      </c>
      <c r="M183" s="425" t="s">
        <v>997</v>
      </c>
      <c r="N183" s="425" t="s">
        <v>558</v>
      </c>
      <c r="O183" s="424" t="s">
        <v>998</v>
      </c>
      <c r="P183" s="425" t="s">
        <v>999</v>
      </c>
      <c r="Q183" s="425" t="s">
        <v>1000</v>
      </c>
      <c r="R183" s="425" t="s">
        <v>1001</v>
      </c>
      <c r="S183" s="425" t="s">
        <v>1002</v>
      </c>
      <c r="T183" s="423">
        <v>800</v>
      </c>
      <c r="U183" s="423" t="s">
        <v>1041</v>
      </c>
      <c r="V183" s="423">
        <v>50</v>
      </c>
      <c r="W183" s="423">
        <v>4</v>
      </c>
      <c r="X183" s="423">
        <v>18</v>
      </c>
      <c r="Y183" s="423" t="s">
        <v>1041</v>
      </c>
      <c r="Z183" s="423" t="s">
        <v>1057</v>
      </c>
      <c r="AD183" s="423">
        <f>IF(ISNUMBER(MATCH(B183,'FICHA SOLIC'!$AB$26:$AB$376,0)),1,0)</f>
        <v>1</v>
      </c>
      <c r="AE183" s="423" t="str">
        <f t="shared" si="2"/>
        <v>Cerro NaviaEI</v>
      </c>
    </row>
    <row r="184" spans="1:31" x14ac:dyDescent="0.25">
      <c r="A184" s="423">
        <v>183</v>
      </c>
      <c r="B184" s="423" t="s">
        <v>405</v>
      </c>
      <c r="C184" s="423" t="s">
        <v>2162</v>
      </c>
      <c r="D184" s="424" t="s">
        <v>990</v>
      </c>
      <c r="E184" s="425" t="s">
        <v>991</v>
      </c>
      <c r="F184" s="425" t="s">
        <v>992</v>
      </c>
      <c r="G184" s="425" t="s">
        <v>993</v>
      </c>
      <c r="H184" s="426" t="s">
        <v>699</v>
      </c>
      <c r="I184" s="425" t="s">
        <v>994</v>
      </c>
      <c r="J184" s="424" t="s">
        <v>697</v>
      </c>
      <c r="K184" s="425" t="s">
        <v>995</v>
      </c>
      <c r="L184" s="425" t="s">
        <v>996</v>
      </c>
      <c r="M184" s="425" t="s">
        <v>997</v>
      </c>
      <c r="N184" s="425" t="s">
        <v>558</v>
      </c>
      <c r="O184" s="424" t="s">
        <v>998</v>
      </c>
      <c r="P184" s="425" t="s">
        <v>999</v>
      </c>
      <c r="Q184" s="425" t="s">
        <v>1000</v>
      </c>
      <c r="R184" s="425" t="s">
        <v>1001</v>
      </c>
      <c r="S184" s="425" t="s">
        <v>1002</v>
      </c>
      <c r="T184" s="423">
        <v>800</v>
      </c>
      <c r="U184" s="423" t="s">
        <v>1041</v>
      </c>
      <c r="V184" s="423">
        <v>80</v>
      </c>
      <c r="W184" s="423">
        <v>4</v>
      </c>
      <c r="X184" s="423">
        <v>22</v>
      </c>
      <c r="Y184" s="423" t="s">
        <v>1041</v>
      </c>
      <c r="Z184" s="423" t="s">
        <v>1057</v>
      </c>
      <c r="AD184" s="423">
        <f>IF(ISNUMBER(MATCH(B184,'FICHA SOLIC'!$AB$26:$AB$376,0)),1,0)</f>
        <v>1</v>
      </c>
      <c r="AE184" s="423" t="str">
        <f t="shared" si="2"/>
        <v>Cerro NaviaEI</v>
      </c>
    </row>
    <row r="185" spans="1:31" x14ac:dyDescent="0.25">
      <c r="A185" s="423">
        <v>184</v>
      </c>
      <c r="B185" s="423" t="s">
        <v>405</v>
      </c>
      <c r="C185" s="423" t="s">
        <v>1282</v>
      </c>
      <c r="D185" s="424" t="s">
        <v>990</v>
      </c>
      <c r="E185" s="425" t="s">
        <v>991</v>
      </c>
      <c r="F185" s="425" t="s">
        <v>992</v>
      </c>
      <c r="G185" s="425" t="s">
        <v>993</v>
      </c>
      <c r="H185" s="426" t="s">
        <v>699</v>
      </c>
      <c r="I185" s="425" t="s">
        <v>994</v>
      </c>
      <c r="J185" s="424" t="s">
        <v>697</v>
      </c>
      <c r="K185" s="425" t="s">
        <v>995</v>
      </c>
      <c r="L185" s="425" t="s">
        <v>996</v>
      </c>
      <c r="M185" s="425" t="s">
        <v>997</v>
      </c>
      <c r="N185" s="425" t="s">
        <v>558</v>
      </c>
      <c r="O185" s="424" t="s">
        <v>998</v>
      </c>
      <c r="P185" s="425" t="s">
        <v>999</v>
      </c>
      <c r="Q185" s="425" t="s">
        <v>1000</v>
      </c>
      <c r="R185" s="425" t="s">
        <v>1001</v>
      </c>
      <c r="S185" s="425" t="s">
        <v>1002</v>
      </c>
      <c r="T185" s="423">
        <v>200</v>
      </c>
      <c r="U185" s="423" t="s">
        <v>1041</v>
      </c>
      <c r="V185" s="423">
        <v>70</v>
      </c>
      <c r="W185" s="423">
        <v>1.6</v>
      </c>
      <c r="X185" s="423">
        <v>8</v>
      </c>
      <c r="Y185" s="423" t="s">
        <v>1041</v>
      </c>
      <c r="Z185" s="423" t="s">
        <v>1059</v>
      </c>
      <c r="AD185" s="423">
        <f>IF(ISNUMBER(MATCH(B185,'FICHA SOLIC'!$AB$26:$AB$376,0)),1,0)</f>
        <v>1</v>
      </c>
      <c r="AE185" s="423" t="str">
        <f t="shared" si="2"/>
        <v>Cerro NaviaH1</v>
      </c>
    </row>
    <row r="186" spans="1:31" x14ac:dyDescent="0.25">
      <c r="A186" s="423">
        <v>185</v>
      </c>
      <c r="B186" s="423" t="s">
        <v>405</v>
      </c>
      <c r="C186" s="423" t="s">
        <v>1283</v>
      </c>
      <c r="D186" s="424" t="s">
        <v>990</v>
      </c>
      <c r="E186" s="425" t="s">
        <v>991</v>
      </c>
      <c r="F186" s="425" t="s">
        <v>992</v>
      </c>
      <c r="G186" s="425" t="s">
        <v>993</v>
      </c>
      <c r="H186" s="426" t="s">
        <v>699</v>
      </c>
      <c r="I186" s="425" t="s">
        <v>994</v>
      </c>
      <c r="J186" s="424" t="s">
        <v>697</v>
      </c>
      <c r="K186" s="425" t="s">
        <v>995</v>
      </c>
      <c r="L186" s="425" t="s">
        <v>996</v>
      </c>
      <c r="M186" s="425" t="s">
        <v>997</v>
      </c>
      <c r="N186" s="425" t="s">
        <v>558</v>
      </c>
      <c r="O186" s="424" t="s">
        <v>998</v>
      </c>
      <c r="P186" s="425" t="s">
        <v>999</v>
      </c>
      <c r="Q186" s="425" t="s">
        <v>1000</v>
      </c>
      <c r="R186" s="425" t="s">
        <v>1001</v>
      </c>
      <c r="S186" s="425" t="s">
        <v>1002</v>
      </c>
      <c r="T186" s="423">
        <v>200</v>
      </c>
      <c r="U186" s="423" t="s">
        <v>1041</v>
      </c>
      <c r="V186" s="423">
        <v>70</v>
      </c>
      <c r="W186" s="423">
        <v>2</v>
      </c>
      <c r="X186" s="423">
        <v>8</v>
      </c>
      <c r="Y186" s="423" t="s">
        <v>1041</v>
      </c>
      <c r="Z186" s="423" t="s">
        <v>1059</v>
      </c>
      <c r="AD186" s="423">
        <f>IF(ISNUMBER(MATCH(B186,'FICHA SOLIC'!$AB$26:$AB$376,0)),1,0)</f>
        <v>1</v>
      </c>
      <c r="AE186" s="423" t="str">
        <f t="shared" si="2"/>
        <v>Cerro NaviaH2</v>
      </c>
    </row>
    <row r="187" spans="1:31" x14ac:dyDescent="0.25">
      <c r="A187" s="423">
        <v>186</v>
      </c>
      <c r="B187" s="423" t="s">
        <v>405</v>
      </c>
      <c r="C187" s="423" t="s">
        <v>2163</v>
      </c>
      <c r="D187" s="424" t="s">
        <v>990</v>
      </c>
      <c r="E187" s="425" t="s">
        <v>991</v>
      </c>
      <c r="F187" s="425" t="s">
        <v>992</v>
      </c>
      <c r="G187" s="425" t="s">
        <v>993</v>
      </c>
      <c r="H187" s="426" t="s">
        <v>699</v>
      </c>
      <c r="I187" s="425" t="s">
        <v>994</v>
      </c>
      <c r="J187" s="424" t="s">
        <v>697</v>
      </c>
      <c r="K187" s="425" t="s">
        <v>995</v>
      </c>
      <c r="L187" s="425" t="s">
        <v>996</v>
      </c>
      <c r="M187" s="425" t="s">
        <v>997</v>
      </c>
      <c r="N187" s="425" t="s">
        <v>558</v>
      </c>
      <c r="O187" s="424" t="s">
        <v>998</v>
      </c>
      <c r="P187" s="425" t="s">
        <v>999</v>
      </c>
      <c r="Q187" s="425" t="s">
        <v>1000</v>
      </c>
      <c r="R187" s="425" t="s">
        <v>1001</v>
      </c>
      <c r="S187" s="425" t="s">
        <v>1002</v>
      </c>
      <c r="T187" s="423">
        <v>400</v>
      </c>
      <c r="U187" s="423" t="s">
        <v>1041</v>
      </c>
      <c r="V187" s="423">
        <v>70</v>
      </c>
      <c r="W187" s="423">
        <v>4.2</v>
      </c>
      <c r="X187" s="423">
        <v>18</v>
      </c>
      <c r="Y187" s="423" t="s">
        <v>1041</v>
      </c>
      <c r="Z187" s="423" t="s">
        <v>1057</v>
      </c>
      <c r="AD187" s="423">
        <f>IF(ISNUMBER(MATCH(B187,'FICHA SOLIC'!$AB$26:$AB$376,0)),1,0)</f>
        <v>1</v>
      </c>
      <c r="AE187" s="423" t="str">
        <f t="shared" si="2"/>
        <v>Cerro NaviaHE</v>
      </c>
    </row>
    <row r="188" spans="1:31" x14ac:dyDescent="0.25">
      <c r="A188" s="423">
        <v>187</v>
      </c>
      <c r="B188" s="423" t="s">
        <v>405</v>
      </c>
      <c r="C188" s="423" t="s">
        <v>2164</v>
      </c>
      <c r="D188" s="424" t="s">
        <v>990</v>
      </c>
      <c r="E188" s="425" t="s">
        <v>991</v>
      </c>
      <c r="F188" s="425" t="s">
        <v>992</v>
      </c>
      <c r="G188" s="425" t="s">
        <v>993</v>
      </c>
      <c r="H188" s="426" t="s">
        <v>699</v>
      </c>
      <c r="I188" s="425" t="s">
        <v>994</v>
      </c>
      <c r="J188" s="424" t="s">
        <v>697</v>
      </c>
      <c r="K188" s="425" t="s">
        <v>995</v>
      </c>
      <c r="L188" s="425" t="s">
        <v>996</v>
      </c>
      <c r="M188" s="425" t="s">
        <v>997</v>
      </c>
      <c r="N188" s="425" t="s">
        <v>558</v>
      </c>
      <c r="O188" s="424" t="s">
        <v>998</v>
      </c>
      <c r="P188" s="425" t="s">
        <v>999</v>
      </c>
      <c r="Q188" s="425" t="s">
        <v>1000</v>
      </c>
      <c r="R188" s="425" t="s">
        <v>1001</v>
      </c>
      <c r="S188" s="425" t="s">
        <v>1002</v>
      </c>
      <c r="T188" s="423">
        <v>200</v>
      </c>
      <c r="U188" s="423" t="s">
        <v>1041</v>
      </c>
      <c r="V188" s="423">
        <v>70</v>
      </c>
      <c r="W188" s="423">
        <v>2</v>
      </c>
      <c r="X188" s="423">
        <v>14</v>
      </c>
      <c r="Y188" s="423" t="s">
        <v>1041</v>
      </c>
      <c r="Z188" s="423" t="s">
        <v>1059</v>
      </c>
      <c r="AD188" s="423">
        <f>IF(ISNUMBER(MATCH(B188,'FICHA SOLIC'!$AB$26:$AB$376,0)),1,0)</f>
        <v>1</v>
      </c>
      <c r="AE188" s="423" t="str">
        <f t="shared" si="2"/>
        <v>Cerro NaviaHT</v>
      </c>
    </row>
    <row r="189" spans="1:31" x14ac:dyDescent="0.25">
      <c r="A189" s="423">
        <v>188</v>
      </c>
      <c r="B189" s="423" t="s">
        <v>405</v>
      </c>
      <c r="C189" s="423" t="s">
        <v>2165</v>
      </c>
      <c r="D189" s="424" t="s">
        <v>990</v>
      </c>
      <c r="E189" s="425" t="s">
        <v>991</v>
      </c>
      <c r="F189" s="425" t="s">
        <v>992</v>
      </c>
      <c r="G189" s="425" t="s">
        <v>993</v>
      </c>
      <c r="H189" s="426" t="s">
        <v>699</v>
      </c>
      <c r="I189" s="425" t="s">
        <v>994</v>
      </c>
      <c r="J189" s="424" t="s">
        <v>697</v>
      </c>
      <c r="K189" s="425" t="s">
        <v>995</v>
      </c>
      <c r="L189" s="425" t="s">
        <v>996</v>
      </c>
      <c r="M189" s="425" t="s">
        <v>997</v>
      </c>
      <c r="N189" s="425" t="s">
        <v>558</v>
      </c>
      <c r="O189" s="424" t="s">
        <v>998</v>
      </c>
      <c r="P189" s="425" t="s">
        <v>999</v>
      </c>
      <c r="Q189" s="425" t="s">
        <v>1000</v>
      </c>
      <c r="R189" s="425" t="s">
        <v>1001</v>
      </c>
      <c r="S189" s="425" t="s">
        <v>1002</v>
      </c>
      <c r="T189" s="423">
        <v>2500</v>
      </c>
      <c r="U189" s="423" t="s">
        <v>1041</v>
      </c>
      <c r="V189" s="423">
        <v>5</v>
      </c>
      <c r="W189" s="423">
        <v>0.1</v>
      </c>
      <c r="X189" s="423">
        <v>7</v>
      </c>
      <c r="Y189" s="423" t="s">
        <v>1041</v>
      </c>
      <c r="Z189" s="423" t="s">
        <v>1058</v>
      </c>
      <c r="AD189" s="423">
        <f>IF(ISNUMBER(MATCH(B189,'FICHA SOLIC'!$AB$26:$AB$376,0)),1,0)</f>
        <v>1</v>
      </c>
      <c r="AE189" s="423" t="str">
        <f t="shared" si="2"/>
        <v>Cerro NaviaRD</v>
      </c>
    </row>
    <row r="190" spans="1:31" x14ac:dyDescent="0.25">
      <c r="A190" s="423">
        <v>189</v>
      </c>
      <c r="B190" s="423" t="s">
        <v>405</v>
      </c>
      <c r="C190" s="423" t="s">
        <v>2166</v>
      </c>
      <c r="D190" s="424" t="s">
        <v>990</v>
      </c>
      <c r="E190" s="425" t="s">
        <v>991</v>
      </c>
      <c r="F190" s="425" t="s">
        <v>992</v>
      </c>
      <c r="G190" s="425" t="s">
        <v>993</v>
      </c>
      <c r="H190" s="426" t="s">
        <v>699</v>
      </c>
      <c r="I190" s="425" t="s">
        <v>994</v>
      </c>
      <c r="J190" s="424" t="s">
        <v>697</v>
      </c>
      <c r="K190" s="425" t="s">
        <v>995</v>
      </c>
      <c r="L190" s="425" t="s">
        <v>996</v>
      </c>
      <c r="M190" s="425" t="s">
        <v>997</v>
      </c>
      <c r="N190" s="425" t="s">
        <v>558</v>
      </c>
      <c r="O190" s="424" t="s">
        <v>998</v>
      </c>
      <c r="P190" s="425" t="s">
        <v>999</v>
      </c>
      <c r="Q190" s="425" t="s">
        <v>1000</v>
      </c>
      <c r="R190" s="425" t="s">
        <v>1001</v>
      </c>
      <c r="S190" s="425" t="s">
        <v>1002</v>
      </c>
      <c r="T190" s="423">
        <v>2500</v>
      </c>
      <c r="U190" s="423" t="s">
        <v>1041</v>
      </c>
      <c r="V190" s="423">
        <v>5</v>
      </c>
      <c r="W190" s="423">
        <v>0.05</v>
      </c>
      <c r="X190" s="423">
        <v>3.5</v>
      </c>
      <c r="Y190" s="423" t="s">
        <v>1041</v>
      </c>
      <c r="Z190" s="423" t="s">
        <v>1058</v>
      </c>
      <c r="AD190" s="423">
        <f>IF(ISNUMBER(MATCH(B190,'FICHA SOLIC'!$AB$26:$AB$376,0)),1,0)</f>
        <v>1</v>
      </c>
      <c r="AE190" s="423" t="str">
        <f t="shared" si="2"/>
        <v>Cerro NaviaRN1</v>
      </c>
    </row>
    <row r="191" spans="1:31" x14ac:dyDescent="0.25">
      <c r="A191" s="423">
        <v>190</v>
      </c>
      <c r="B191" s="423" t="s">
        <v>405</v>
      </c>
      <c r="C191" s="423" t="s">
        <v>2167</v>
      </c>
      <c r="D191" s="424" t="s">
        <v>990</v>
      </c>
      <c r="E191" s="425" t="s">
        <v>991</v>
      </c>
      <c r="F191" s="425" t="s">
        <v>992</v>
      </c>
      <c r="G191" s="425" t="s">
        <v>993</v>
      </c>
      <c r="H191" s="426" t="s">
        <v>699</v>
      </c>
      <c r="I191" s="425" t="s">
        <v>994</v>
      </c>
      <c r="J191" s="424" t="s">
        <v>697</v>
      </c>
      <c r="K191" s="425" t="s">
        <v>995</v>
      </c>
      <c r="L191" s="425" t="s">
        <v>996</v>
      </c>
      <c r="M191" s="425" t="s">
        <v>997</v>
      </c>
      <c r="N191" s="425" t="s">
        <v>558</v>
      </c>
      <c r="O191" s="424" t="s">
        <v>998</v>
      </c>
      <c r="P191" s="425" t="s">
        <v>999</v>
      </c>
      <c r="Q191" s="425" t="s">
        <v>1000</v>
      </c>
      <c r="R191" s="425" t="s">
        <v>1001</v>
      </c>
      <c r="S191" s="425" t="s">
        <v>1002</v>
      </c>
      <c r="T191" s="423" t="s">
        <v>1041</v>
      </c>
      <c r="U191" s="423" t="s">
        <v>1041</v>
      </c>
      <c r="V191" s="423" t="s">
        <v>1041</v>
      </c>
      <c r="W191" s="423" t="s">
        <v>1041</v>
      </c>
      <c r="X191" s="423" t="s">
        <v>1041</v>
      </c>
      <c r="Y191" s="423" t="s">
        <v>1041</v>
      </c>
      <c r="Z191" s="423" t="s">
        <v>1041</v>
      </c>
      <c r="AD191" s="423">
        <f>IF(ISNUMBER(MATCH(B191,'FICHA SOLIC'!$AB$26:$AB$376,0)),1,0)</f>
        <v>1</v>
      </c>
      <c r="AE191" s="423" t="str">
        <f t="shared" si="2"/>
        <v>Cerro NaviaRN2</v>
      </c>
    </row>
    <row r="192" spans="1:31" x14ac:dyDescent="0.25">
      <c r="A192" s="423">
        <v>191</v>
      </c>
      <c r="B192" s="423" t="s">
        <v>405</v>
      </c>
      <c r="C192" s="423" t="s">
        <v>2168</v>
      </c>
      <c r="D192" s="424" t="s">
        <v>990</v>
      </c>
      <c r="E192" s="425" t="s">
        <v>991</v>
      </c>
      <c r="F192" s="425" t="s">
        <v>992</v>
      </c>
      <c r="G192" s="425" t="s">
        <v>993</v>
      </c>
      <c r="H192" s="426" t="s">
        <v>699</v>
      </c>
      <c r="I192" s="425" t="s">
        <v>994</v>
      </c>
      <c r="J192" s="424" t="s">
        <v>697</v>
      </c>
      <c r="K192" s="425" t="s">
        <v>995</v>
      </c>
      <c r="L192" s="425" t="s">
        <v>996</v>
      </c>
      <c r="M192" s="425" t="s">
        <v>997</v>
      </c>
      <c r="N192" s="425" t="s">
        <v>558</v>
      </c>
      <c r="O192" s="424" t="s">
        <v>998</v>
      </c>
      <c r="P192" s="425" t="s">
        <v>999</v>
      </c>
      <c r="Q192" s="425" t="s">
        <v>1000</v>
      </c>
      <c r="R192" s="425" t="s">
        <v>1001</v>
      </c>
      <c r="S192" s="425" t="s">
        <v>1002</v>
      </c>
      <c r="T192" s="423" t="s">
        <v>1041</v>
      </c>
      <c r="U192" s="423" t="s">
        <v>1041</v>
      </c>
      <c r="V192" s="423" t="s">
        <v>1041</v>
      </c>
      <c r="W192" s="423" t="s">
        <v>1041</v>
      </c>
      <c r="X192" s="423" t="s">
        <v>1041</v>
      </c>
      <c r="Y192" s="423" t="s">
        <v>1041</v>
      </c>
      <c r="Z192" s="423" t="s">
        <v>1041</v>
      </c>
      <c r="AD192" s="423">
        <f>IF(ISNUMBER(MATCH(B192,'FICHA SOLIC'!$AB$26:$AB$376,0)),1,0)</f>
        <v>1</v>
      </c>
      <c r="AE192" s="423" t="str">
        <f t="shared" si="2"/>
        <v>Cerro NaviaRN3</v>
      </c>
    </row>
    <row r="193" spans="1:31" x14ac:dyDescent="0.25">
      <c r="A193" s="423">
        <v>192</v>
      </c>
      <c r="B193" s="423" t="s">
        <v>405</v>
      </c>
      <c r="C193" s="423" t="s">
        <v>1131</v>
      </c>
      <c r="D193" s="424" t="s">
        <v>990</v>
      </c>
      <c r="E193" s="425" t="s">
        <v>991</v>
      </c>
      <c r="F193" s="425" t="s">
        <v>992</v>
      </c>
      <c r="G193" s="425" t="s">
        <v>993</v>
      </c>
      <c r="H193" s="426" t="s">
        <v>699</v>
      </c>
      <c r="I193" s="425" t="s">
        <v>994</v>
      </c>
      <c r="J193" s="424" t="s">
        <v>697</v>
      </c>
      <c r="K193" s="425" t="s">
        <v>995</v>
      </c>
      <c r="L193" s="425" t="s">
        <v>996</v>
      </c>
      <c r="M193" s="425" t="s">
        <v>997</v>
      </c>
      <c r="N193" s="425" t="s">
        <v>558</v>
      </c>
      <c r="O193" s="424" t="s">
        <v>998</v>
      </c>
      <c r="P193" s="425" t="s">
        <v>999</v>
      </c>
      <c r="Q193" s="425" t="s">
        <v>1000</v>
      </c>
      <c r="R193" s="425" t="s">
        <v>1001</v>
      </c>
      <c r="S193" s="425" t="s">
        <v>1002</v>
      </c>
      <c r="T193" s="423">
        <v>200</v>
      </c>
      <c r="U193" s="423">
        <v>5</v>
      </c>
      <c r="V193" s="423">
        <v>80</v>
      </c>
      <c r="W193" s="423">
        <v>2.4</v>
      </c>
      <c r="X193" s="423" t="s">
        <v>1041</v>
      </c>
      <c r="Y193" s="423" t="s">
        <v>1041</v>
      </c>
      <c r="Z193" s="423" t="s">
        <v>1059</v>
      </c>
      <c r="AD193" s="423">
        <f>IF(ISNUMBER(MATCH(B193,'FICHA SOLIC'!$AB$26:$AB$376,0)),1,0)</f>
        <v>1</v>
      </c>
      <c r="AE193" s="423" t="str">
        <f t="shared" si="2"/>
        <v>Cerro NaviaZ-1</v>
      </c>
    </row>
    <row r="194" spans="1:31" x14ac:dyDescent="0.25">
      <c r="A194" s="423">
        <v>193</v>
      </c>
      <c r="B194" s="423" t="s">
        <v>405</v>
      </c>
      <c r="C194" s="423" t="s">
        <v>1351</v>
      </c>
      <c r="D194" s="424" t="s">
        <v>990</v>
      </c>
      <c r="E194" s="425" t="s">
        <v>991</v>
      </c>
      <c r="F194" s="425" t="s">
        <v>992</v>
      </c>
      <c r="G194" s="425" t="s">
        <v>993</v>
      </c>
      <c r="H194" s="426" t="s">
        <v>699</v>
      </c>
      <c r="I194" s="425" t="s">
        <v>994</v>
      </c>
      <c r="J194" s="424" t="s">
        <v>697</v>
      </c>
      <c r="K194" s="425" t="s">
        <v>995</v>
      </c>
      <c r="L194" s="425" t="s">
        <v>996</v>
      </c>
      <c r="M194" s="425" t="s">
        <v>997</v>
      </c>
      <c r="N194" s="425" t="s">
        <v>558</v>
      </c>
      <c r="O194" s="424" t="s">
        <v>998</v>
      </c>
      <c r="P194" s="425" t="s">
        <v>999</v>
      </c>
      <c r="Q194" s="425" t="s">
        <v>1000</v>
      </c>
      <c r="R194" s="425" t="s">
        <v>1001</v>
      </c>
      <c r="S194" s="425" t="s">
        <v>1002</v>
      </c>
      <c r="T194" s="423" t="s">
        <v>1543</v>
      </c>
      <c r="U194" s="423" t="s">
        <v>1097</v>
      </c>
      <c r="V194" s="423" t="s">
        <v>1097</v>
      </c>
      <c r="W194" s="423" t="s">
        <v>1097</v>
      </c>
      <c r="X194" s="423" t="s">
        <v>1097</v>
      </c>
      <c r="Y194" s="423" t="s">
        <v>1097</v>
      </c>
      <c r="Z194" s="423" t="s">
        <v>1097</v>
      </c>
      <c r="AD194" s="423">
        <f>IF(ISNUMBER(MATCH(B194,'FICHA SOLIC'!$AB$26:$AB$376,0)),1,0)</f>
        <v>1</v>
      </c>
      <c r="AE194" s="423" t="str">
        <f t="shared" si="2"/>
        <v>Cerro NaviaZ-10</v>
      </c>
    </row>
    <row r="195" spans="1:31" x14ac:dyDescent="0.25">
      <c r="A195" s="423">
        <v>194</v>
      </c>
      <c r="B195" s="423" t="s">
        <v>405</v>
      </c>
      <c r="C195" s="423" t="s">
        <v>1352</v>
      </c>
      <c r="D195" s="424" t="s">
        <v>990</v>
      </c>
      <c r="E195" s="425" t="s">
        <v>991</v>
      </c>
      <c r="F195" s="425" t="s">
        <v>992</v>
      </c>
      <c r="G195" s="425" t="s">
        <v>993</v>
      </c>
      <c r="H195" s="426" t="s">
        <v>699</v>
      </c>
      <c r="I195" s="425" t="s">
        <v>994</v>
      </c>
      <c r="J195" s="424" t="s">
        <v>697</v>
      </c>
      <c r="K195" s="425" t="s">
        <v>995</v>
      </c>
      <c r="L195" s="425" t="s">
        <v>996</v>
      </c>
      <c r="M195" s="425" t="s">
        <v>997</v>
      </c>
      <c r="N195" s="425" t="s">
        <v>558</v>
      </c>
      <c r="O195" s="424" t="s">
        <v>998</v>
      </c>
      <c r="P195" s="425" t="s">
        <v>999</v>
      </c>
      <c r="Q195" s="425" t="s">
        <v>1000</v>
      </c>
      <c r="R195" s="425" t="s">
        <v>1001</v>
      </c>
      <c r="S195" s="425" t="s">
        <v>1002</v>
      </c>
      <c r="T195" s="423">
        <v>200</v>
      </c>
      <c r="U195" s="423">
        <v>7</v>
      </c>
      <c r="V195" s="423">
        <v>80</v>
      </c>
      <c r="W195" s="423">
        <v>3.2</v>
      </c>
      <c r="X195" s="423" t="s">
        <v>1041</v>
      </c>
      <c r="Y195" s="423" t="s">
        <v>1041</v>
      </c>
      <c r="Z195" s="423" t="s">
        <v>1059</v>
      </c>
      <c r="AD195" s="423">
        <f>IF(ISNUMBER(MATCH(B195,'FICHA SOLIC'!$AB$26:$AB$376,0)),1,0)</f>
        <v>1</v>
      </c>
      <c r="AE195" s="423" t="str">
        <f t="shared" ref="AE195:AE258" si="3">B195&amp;C195</f>
        <v>Cerro NaviaZ-11</v>
      </c>
    </row>
    <row r="196" spans="1:31" x14ac:dyDescent="0.25">
      <c r="A196" s="423">
        <v>195</v>
      </c>
      <c r="B196" s="423" t="s">
        <v>405</v>
      </c>
      <c r="C196" s="423" t="s">
        <v>1134</v>
      </c>
      <c r="D196" s="424" t="s">
        <v>990</v>
      </c>
      <c r="E196" s="425" t="s">
        <v>991</v>
      </c>
      <c r="F196" s="425" t="s">
        <v>992</v>
      </c>
      <c r="G196" s="425" t="s">
        <v>993</v>
      </c>
      <c r="H196" s="426" t="s">
        <v>699</v>
      </c>
      <c r="I196" s="425" t="s">
        <v>994</v>
      </c>
      <c r="J196" s="424" t="s">
        <v>697</v>
      </c>
      <c r="K196" s="425" t="s">
        <v>995</v>
      </c>
      <c r="L196" s="425" t="s">
        <v>996</v>
      </c>
      <c r="M196" s="425" t="s">
        <v>997</v>
      </c>
      <c r="N196" s="425" t="s">
        <v>558</v>
      </c>
      <c r="O196" s="424" t="s">
        <v>998</v>
      </c>
      <c r="P196" s="425" t="s">
        <v>999</v>
      </c>
      <c r="Q196" s="425" t="s">
        <v>1000</v>
      </c>
      <c r="R196" s="425" t="s">
        <v>1001</v>
      </c>
      <c r="S196" s="425" t="s">
        <v>1002</v>
      </c>
      <c r="T196" s="423">
        <v>200</v>
      </c>
      <c r="U196" s="423">
        <v>7</v>
      </c>
      <c r="V196" s="423">
        <v>80</v>
      </c>
      <c r="W196" s="423">
        <v>3.2</v>
      </c>
      <c r="X196" s="423" t="s">
        <v>1041</v>
      </c>
      <c r="Y196" s="423" t="s">
        <v>1041</v>
      </c>
      <c r="Z196" s="423" t="s">
        <v>1059</v>
      </c>
      <c r="AD196" s="423">
        <f>IF(ISNUMBER(MATCH(B196,'FICHA SOLIC'!$AB$26:$AB$376,0)),1,0)</f>
        <v>1</v>
      </c>
      <c r="AE196" s="423" t="str">
        <f t="shared" si="3"/>
        <v>Cerro NaviaZ-2</v>
      </c>
    </row>
    <row r="197" spans="1:31" x14ac:dyDescent="0.25">
      <c r="A197" s="423">
        <v>196</v>
      </c>
      <c r="B197" s="423" t="s">
        <v>405</v>
      </c>
      <c r="C197" s="423" t="s">
        <v>1137</v>
      </c>
      <c r="D197" s="424" t="s">
        <v>990</v>
      </c>
      <c r="E197" s="425" t="s">
        <v>991</v>
      </c>
      <c r="F197" s="425" t="s">
        <v>992</v>
      </c>
      <c r="G197" s="425" t="s">
        <v>993</v>
      </c>
      <c r="H197" s="426" t="s">
        <v>699</v>
      </c>
      <c r="I197" s="425" t="s">
        <v>994</v>
      </c>
      <c r="J197" s="424" t="s">
        <v>697</v>
      </c>
      <c r="K197" s="425" t="s">
        <v>995</v>
      </c>
      <c r="L197" s="425" t="s">
        <v>996</v>
      </c>
      <c r="M197" s="425" t="s">
        <v>997</v>
      </c>
      <c r="N197" s="425" t="s">
        <v>558</v>
      </c>
      <c r="O197" s="424" t="s">
        <v>998</v>
      </c>
      <c r="P197" s="425" t="s">
        <v>999</v>
      </c>
      <c r="Q197" s="425" t="s">
        <v>1000</v>
      </c>
      <c r="R197" s="425" t="s">
        <v>1001</v>
      </c>
      <c r="S197" s="425" t="s">
        <v>1002</v>
      </c>
      <c r="T197" s="423">
        <v>200</v>
      </c>
      <c r="U197" s="423">
        <v>10</v>
      </c>
      <c r="V197" s="423">
        <v>80</v>
      </c>
      <c r="W197" s="423">
        <v>3.2</v>
      </c>
      <c r="X197" s="423" t="s">
        <v>1041</v>
      </c>
      <c r="Y197" s="423" t="s">
        <v>1041</v>
      </c>
      <c r="Z197" s="423" t="s">
        <v>1059</v>
      </c>
      <c r="AD197" s="423">
        <f>IF(ISNUMBER(MATCH(B197,'FICHA SOLIC'!$AB$26:$AB$376,0)),1,0)</f>
        <v>1</v>
      </c>
      <c r="AE197" s="423" t="str">
        <f t="shared" si="3"/>
        <v>Cerro NaviaZ-3</v>
      </c>
    </row>
    <row r="198" spans="1:31" x14ac:dyDescent="0.25">
      <c r="A198" s="423">
        <v>197</v>
      </c>
      <c r="B198" s="423" t="s">
        <v>405</v>
      </c>
      <c r="C198" s="423" t="s">
        <v>1140</v>
      </c>
      <c r="D198" s="424" t="s">
        <v>990</v>
      </c>
      <c r="E198" s="425" t="s">
        <v>991</v>
      </c>
      <c r="F198" s="425" t="s">
        <v>992</v>
      </c>
      <c r="G198" s="425" t="s">
        <v>993</v>
      </c>
      <c r="H198" s="426" t="s">
        <v>699</v>
      </c>
      <c r="I198" s="425" t="s">
        <v>994</v>
      </c>
      <c r="J198" s="424" t="s">
        <v>697</v>
      </c>
      <c r="K198" s="425" t="s">
        <v>995</v>
      </c>
      <c r="L198" s="425" t="s">
        <v>996</v>
      </c>
      <c r="M198" s="425" t="s">
        <v>997</v>
      </c>
      <c r="N198" s="425" t="s">
        <v>558</v>
      </c>
      <c r="O198" s="424" t="s">
        <v>998</v>
      </c>
      <c r="P198" s="425" t="s">
        <v>999</v>
      </c>
      <c r="Q198" s="425" t="s">
        <v>1000</v>
      </c>
      <c r="R198" s="425" t="s">
        <v>1001</v>
      </c>
      <c r="S198" s="425" t="s">
        <v>1002</v>
      </c>
      <c r="T198" s="423">
        <v>200</v>
      </c>
      <c r="U198" s="423">
        <v>8</v>
      </c>
      <c r="V198" s="423">
        <v>80</v>
      </c>
      <c r="W198" s="423">
        <v>2.4</v>
      </c>
      <c r="X198" s="423" t="s">
        <v>1041</v>
      </c>
      <c r="Y198" s="423" t="s">
        <v>1041</v>
      </c>
      <c r="Z198" s="423" t="s">
        <v>1059</v>
      </c>
      <c r="AD198" s="423">
        <f>IF(ISNUMBER(MATCH(B198,'FICHA SOLIC'!$AB$26:$AB$376,0)),1,0)</f>
        <v>1</v>
      </c>
      <c r="AE198" s="423" t="str">
        <f t="shared" si="3"/>
        <v>Cerro NaviaZ-4</v>
      </c>
    </row>
    <row r="199" spans="1:31" x14ac:dyDescent="0.25">
      <c r="A199" s="423">
        <v>198</v>
      </c>
      <c r="B199" s="423" t="s">
        <v>405</v>
      </c>
      <c r="C199" s="423" t="s">
        <v>1144</v>
      </c>
      <c r="D199" s="424" t="s">
        <v>990</v>
      </c>
      <c r="E199" s="425" t="s">
        <v>991</v>
      </c>
      <c r="F199" s="425" t="s">
        <v>992</v>
      </c>
      <c r="G199" s="425" t="s">
        <v>993</v>
      </c>
      <c r="H199" s="426" t="s">
        <v>699</v>
      </c>
      <c r="I199" s="425" t="s">
        <v>994</v>
      </c>
      <c r="J199" s="424" t="s">
        <v>697</v>
      </c>
      <c r="K199" s="425" t="s">
        <v>995</v>
      </c>
      <c r="L199" s="425" t="s">
        <v>996</v>
      </c>
      <c r="M199" s="425" t="s">
        <v>997</v>
      </c>
      <c r="N199" s="425" t="s">
        <v>558</v>
      </c>
      <c r="O199" s="424" t="s">
        <v>998</v>
      </c>
      <c r="P199" s="425" t="s">
        <v>999</v>
      </c>
      <c r="Q199" s="425" t="s">
        <v>1000</v>
      </c>
      <c r="R199" s="425" t="s">
        <v>1001</v>
      </c>
      <c r="S199" s="425" t="s">
        <v>1002</v>
      </c>
      <c r="T199" s="423">
        <v>500</v>
      </c>
      <c r="U199" s="423">
        <v>20</v>
      </c>
      <c r="V199" s="423">
        <v>70</v>
      </c>
      <c r="W199" s="423">
        <v>1.2</v>
      </c>
      <c r="X199" s="423" t="s">
        <v>1041</v>
      </c>
      <c r="Y199" s="423">
        <v>3</v>
      </c>
      <c r="Z199" s="423" t="s">
        <v>1057</v>
      </c>
      <c r="AD199" s="423">
        <f>IF(ISNUMBER(MATCH(B199,'FICHA SOLIC'!$AB$26:$AB$376,0)),1,0)</f>
        <v>1</v>
      </c>
      <c r="AE199" s="423" t="str">
        <f t="shared" si="3"/>
        <v>Cerro NaviaZ-5</v>
      </c>
    </row>
    <row r="200" spans="1:31" x14ac:dyDescent="0.25">
      <c r="A200" s="423">
        <v>199</v>
      </c>
      <c r="B200" s="423" t="s">
        <v>405</v>
      </c>
      <c r="C200" s="423" t="s">
        <v>1145</v>
      </c>
      <c r="D200" s="424" t="s">
        <v>990</v>
      </c>
      <c r="E200" s="425" t="s">
        <v>991</v>
      </c>
      <c r="F200" s="425" t="s">
        <v>992</v>
      </c>
      <c r="G200" s="425" t="s">
        <v>993</v>
      </c>
      <c r="H200" s="426" t="s">
        <v>699</v>
      </c>
      <c r="I200" s="425" t="s">
        <v>994</v>
      </c>
      <c r="J200" s="424" t="s">
        <v>697</v>
      </c>
      <c r="K200" s="425" t="s">
        <v>995</v>
      </c>
      <c r="L200" s="425" t="s">
        <v>996</v>
      </c>
      <c r="M200" s="425" t="s">
        <v>997</v>
      </c>
      <c r="N200" s="425" t="s">
        <v>558</v>
      </c>
      <c r="O200" s="424" t="s">
        <v>998</v>
      </c>
      <c r="P200" s="425" t="s">
        <v>999</v>
      </c>
      <c r="Q200" s="425" t="s">
        <v>1000</v>
      </c>
      <c r="R200" s="425" t="s">
        <v>1001</v>
      </c>
      <c r="S200" s="425" t="s">
        <v>1002</v>
      </c>
      <c r="T200" s="423">
        <v>300</v>
      </c>
      <c r="U200" s="423">
        <v>20</v>
      </c>
      <c r="V200" s="423">
        <v>80</v>
      </c>
      <c r="W200" s="423">
        <v>2.2000000000000002</v>
      </c>
      <c r="X200" s="423" t="s">
        <v>1041</v>
      </c>
      <c r="Y200" s="423">
        <v>3</v>
      </c>
      <c r="Z200" s="423" t="s">
        <v>1057</v>
      </c>
      <c r="AD200" s="423">
        <f>IF(ISNUMBER(MATCH(B200,'FICHA SOLIC'!$AB$26:$AB$376,0)),1,0)</f>
        <v>1</v>
      </c>
      <c r="AE200" s="423" t="str">
        <f t="shared" si="3"/>
        <v>Cerro NaviaZ-6</v>
      </c>
    </row>
    <row r="201" spans="1:31" x14ac:dyDescent="0.25">
      <c r="A201" s="423">
        <v>200</v>
      </c>
      <c r="B201" s="423" t="s">
        <v>405</v>
      </c>
      <c r="C201" s="423" t="s">
        <v>1349</v>
      </c>
      <c r="D201" s="424" t="s">
        <v>990</v>
      </c>
      <c r="E201" s="425" t="s">
        <v>991</v>
      </c>
      <c r="F201" s="425" t="s">
        <v>992</v>
      </c>
      <c r="G201" s="425" t="s">
        <v>993</v>
      </c>
      <c r="H201" s="426" t="s">
        <v>699</v>
      </c>
      <c r="I201" s="425" t="s">
        <v>994</v>
      </c>
      <c r="J201" s="424" t="s">
        <v>697</v>
      </c>
      <c r="K201" s="425" t="s">
        <v>995</v>
      </c>
      <c r="L201" s="425" t="s">
        <v>996</v>
      </c>
      <c r="M201" s="425" t="s">
        <v>997</v>
      </c>
      <c r="N201" s="425" t="s">
        <v>558</v>
      </c>
      <c r="O201" s="424" t="s">
        <v>998</v>
      </c>
      <c r="P201" s="425" t="s">
        <v>999</v>
      </c>
      <c r="Q201" s="425" t="s">
        <v>1000</v>
      </c>
      <c r="R201" s="425" t="s">
        <v>1001</v>
      </c>
      <c r="S201" s="425" t="s">
        <v>1002</v>
      </c>
      <c r="T201" s="423">
        <v>400</v>
      </c>
      <c r="U201" s="423">
        <v>15</v>
      </c>
      <c r="V201" s="423">
        <v>80</v>
      </c>
      <c r="W201" s="423">
        <v>3.2</v>
      </c>
      <c r="X201" s="423" t="s">
        <v>1041</v>
      </c>
      <c r="Y201" s="423" t="s">
        <v>1041</v>
      </c>
      <c r="Z201" s="423" t="s">
        <v>1057</v>
      </c>
      <c r="AD201" s="423">
        <f>IF(ISNUMBER(MATCH(B201,'FICHA SOLIC'!$AB$26:$AB$376,0)),1,0)</f>
        <v>1</v>
      </c>
      <c r="AE201" s="423" t="str">
        <f t="shared" si="3"/>
        <v>Cerro NaviaZ-7</v>
      </c>
    </row>
    <row r="202" spans="1:31" x14ac:dyDescent="0.25">
      <c r="A202" s="423">
        <v>201</v>
      </c>
      <c r="B202" s="423" t="s">
        <v>405</v>
      </c>
      <c r="C202" s="423" t="s">
        <v>1146</v>
      </c>
      <c r="D202" s="424" t="s">
        <v>990</v>
      </c>
      <c r="E202" s="425" t="s">
        <v>991</v>
      </c>
      <c r="F202" s="425" t="s">
        <v>992</v>
      </c>
      <c r="G202" s="425" t="s">
        <v>993</v>
      </c>
      <c r="H202" s="426" t="s">
        <v>699</v>
      </c>
      <c r="I202" s="425" t="s">
        <v>994</v>
      </c>
      <c r="J202" s="424" t="s">
        <v>697</v>
      </c>
      <c r="K202" s="425" t="s">
        <v>995</v>
      </c>
      <c r="L202" s="425" t="s">
        <v>996</v>
      </c>
      <c r="M202" s="425" t="s">
        <v>997</v>
      </c>
      <c r="N202" s="425" t="s">
        <v>558</v>
      </c>
      <c r="O202" s="424" t="s">
        <v>998</v>
      </c>
      <c r="P202" s="425" t="s">
        <v>999</v>
      </c>
      <c r="Q202" s="425" t="s">
        <v>1000</v>
      </c>
      <c r="R202" s="425" t="s">
        <v>1001</v>
      </c>
      <c r="S202" s="425" t="s">
        <v>1002</v>
      </c>
      <c r="T202" s="423">
        <v>500</v>
      </c>
      <c r="U202" s="423">
        <v>15</v>
      </c>
      <c r="V202" s="423">
        <v>80</v>
      </c>
      <c r="W202" s="423">
        <v>1.6</v>
      </c>
      <c r="X202" s="423" t="s">
        <v>1041</v>
      </c>
      <c r="Y202" s="423" t="s">
        <v>1041</v>
      </c>
      <c r="Z202" s="423" t="s">
        <v>1057</v>
      </c>
      <c r="AD202" s="423">
        <f>IF(ISNUMBER(MATCH(B202,'FICHA SOLIC'!$AB$26:$AB$376,0)),1,0)</f>
        <v>1</v>
      </c>
      <c r="AE202" s="423" t="str">
        <f t="shared" si="3"/>
        <v>Cerro NaviaZ-8</v>
      </c>
    </row>
    <row r="203" spans="1:31" x14ac:dyDescent="0.25">
      <c r="A203" s="423">
        <v>202</v>
      </c>
      <c r="B203" s="423" t="s">
        <v>405</v>
      </c>
      <c r="C203" s="423" t="s">
        <v>1350</v>
      </c>
      <c r="D203" s="424" t="s">
        <v>990</v>
      </c>
      <c r="E203" s="425" t="s">
        <v>991</v>
      </c>
      <c r="F203" s="425" t="s">
        <v>992</v>
      </c>
      <c r="G203" s="425" t="s">
        <v>993</v>
      </c>
      <c r="H203" s="426" t="s">
        <v>699</v>
      </c>
      <c r="I203" s="425" t="s">
        <v>994</v>
      </c>
      <c r="J203" s="424" t="s">
        <v>697</v>
      </c>
      <c r="K203" s="425" t="s">
        <v>995</v>
      </c>
      <c r="L203" s="425" t="s">
        <v>996</v>
      </c>
      <c r="M203" s="425" t="s">
        <v>997</v>
      </c>
      <c r="N203" s="425" t="s">
        <v>558</v>
      </c>
      <c r="O203" s="424" t="s">
        <v>998</v>
      </c>
      <c r="P203" s="425" t="s">
        <v>999</v>
      </c>
      <c r="Q203" s="425" t="s">
        <v>1000</v>
      </c>
      <c r="R203" s="425" t="s">
        <v>1001</v>
      </c>
      <c r="S203" s="425" t="s">
        <v>1002</v>
      </c>
      <c r="T203" s="423" t="s">
        <v>1542</v>
      </c>
      <c r="U203" s="423" t="s">
        <v>1097</v>
      </c>
      <c r="V203" s="423" t="s">
        <v>1097</v>
      </c>
      <c r="W203" s="423" t="s">
        <v>1097</v>
      </c>
      <c r="X203" s="423" t="s">
        <v>1097</v>
      </c>
      <c r="Y203" s="423" t="s">
        <v>1097</v>
      </c>
      <c r="Z203" s="423" t="s">
        <v>1097</v>
      </c>
      <c r="AD203" s="423">
        <f>IF(ISNUMBER(MATCH(B203,'FICHA SOLIC'!$AB$26:$AB$376,0)),1,0)</f>
        <v>1</v>
      </c>
      <c r="AE203" s="423" t="str">
        <f t="shared" si="3"/>
        <v>Cerro NaviaZ-9</v>
      </c>
    </row>
    <row r="204" spans="1:31" x14ac:dyDescent="0.25">
      <c r="A204" s="423">
        <v>203</v>
      </c>
      <c r="B204" s="423" t="s">
        <v>405</v>
      </c>
      <c r="C204" s="423" t="s">
        <v>2169</v>
      </c>
      <c r="D204" s="424" t="s">
        <v>990</v>
      </c>
      <c r="E204" s="425" t="s">
        <v>991</v>
      </c>
      <c r="F204" s="425" t="s">
        <v>992</v>
      </c>
      <c r="G204" s="425" t="s">
        <v>993</v>
      </c>
      <c r="H204" s="426" t="s">
        <v>699</v>
      </c>
      <c r="I204" s="425" t="s">
        <v>994</v>
      </c>
      <c r="J204" s="424" t="s">
        <v>697</v>
      </c>
      <c r="K204" s="425" t="s">
        <v>995</v>
      </c>
      <c r="L204" s="425" t="s">
        <v>996</v>
      </c>
      <c r="M204" s="425" t="s">
        <v>997</v>
      </c>
      <c r="N204" s="425" t="s">
        <v>558</v>
      </c>
      <c r="O204" s="424" t="s">
        <v>998</v>
      </c>
      <c r="P204" s="425" t="s">
        <v>999</v>
      </c>
      <c r="Q204" s="425" t="s">
        <v>1000</v>
      </c>
      <c r="R204" s="425" t="s">
        <v>1001</v>
      </c>
      <c r="S204" s="425" t="s">
        <v>1002</v>
      </c>
      <c r="T204" s="423">
        <v>1000</v>
      </c>
      <c r="U204" s="423" t="s">
        <v>1041</v>
      </c>
      <c r="V204" s="423">
        <v>80</v>
      </c>
      <c r="W204" s="423">
        <v>8</v>
      </c>
      <c r="X204" s="423">
        <v>30</v>
      </c>
      <c r="Y204" s="423" t="s">
        <v>1041</v>
      </c>
      <c r="Z204" s="423" t="s">
        <v>1058</v>
      </c>
      <c r="AD204" s="423">
        <f>IF(ISNUMBER(MATCH(B204,'FICHA SOLIC'!$AB$26:$AB$376,0)),1,0)</f>
        <v>1</v>
      </c>
      <c r="AE204" s="423" t="str">
        <f t="shared" si="3"/>
        <v>Cerro NaviaZM</v>
      </c>
    </row>
    <row r="205" spans="1:31" x14ac:dyDescent="0.25">
      <c r="A205" s="423">
        <v>204</v>
      </c>
      <c r="B205" s="423" t="s">
        <v>2170</v>
      </c>
      <c r="C205" s="423" t="s">
        <v>1041</v>
      </c>
      <c r="D205" s="972" t="s">
        <v>990</v>
      </c>
      <c r="E205" s="973" t="s">
        <v>991</v>
      </c>
      <c r="F205" s="973" t="s">
        <v>992</v>
      </c>
      <c r="G205" s="973" t="s">
        <v>1997</v>
      </c>
      <c r="H205" s="973" t="s">
        <v>1998</v>
      </c>
      <c r="I205" s="973" t="s">
        <v>1999</v>
      </c>
      <c r="J205" s="972" t="s">
        <v>697</v>
      </c>
      <c r="K205" s="973" t="s">
        <v>995</v>
      </c>
      <c r="L205" s="973" t="s">
        <v>996</v>
      </c>
      <c r="M205" s="973" t="s">
        <v>2000</v>
      </c>
      <c r="N205" s="973" t="s">
        <v>2001</v>
      </c>
      <c r="O205" s="972" t="s">
        <v>1971</v>
      </c>
      <c r="P205" s="973" t="s">
        <v>999</v>
      </c>
      <c r="Q205" s="973" t="s">
        <v>1000</v>
      </c>
      <c r="R205" s="973" t="s">
        <v>1001</v>
      </c>
      <c r="S205" s="973" t="s">
        <v>1002</v>
      </c>
      <c r="T205" s="423" t="s">
        <v>1041</v>
      </c>
      <c r="U205" s="423" t="s">
        <v>1041</v>
      </c>
      <c r="V205" s="423" t="s">
        <v>1041</v>
      </c>
      <c r="W205" s="423" t="s">
        <v>1041</v>
      </c>
      <c r="X205" s="423" t="s">
        <v>1041</v>
      </c>
      <c r="Y205" s="423" t="s">
        <v>1041</v>
      </c>
      <c r="Z205" s="423" t="s">
        <v>1041</v>
      </c>
      <c r="AD205" s="423">
        <f>IF(ISNUMBER(MATCH(B205,'FICHA SOLIC'!$AB$26:$AB$376,0)),1,0)</f>
        <v>0</v>
      </c>
      <c r="AE205" s="423" t="str">
        <f t="shared" si="3"/>
        <v>ChampaOGUC</v>
      </c>
    </row>
    <row r="206" spans="1:31" x14ac:dyDescent="0.25">
      <c r="A206" s="423">
        <v>205</v>
      </c>
      <c r="B206" s="423" t="s">
        <v>1071</v>
      </c>
      <c r="C206" s="423" t="s">
        <v>2032</v>
      </c>
      <c r="D206" s="424" t="s">
        <v>990</v>
      </c>
      <c r="E206" s="425" t="s">
        <v>991</v>
      </c>
      <c r="F206" s="425" t="s">
        <v>992</v>
      </c>
      <c r="G206" s="425" t="s">
        <v>993</v>
      </c>
      <c r="H206" s="426" t="s">
        <v>699</v>
      </c>
      <c r="I206" s="425" t="s">
        <v>994</v>
      </c>
      <c r="J206" s="424" t="s">
        <v>697</v>
      </c>
      <c r="K206" s="425" t="s">
        <v>995</v>
      </c>
      <c r="L206" s="425" t="s">
        <v>996</v>
      </c>
      <c r="M206" s="425" t="s">
        <v>997</v>
      </c>
      <c r="N206" s="425" t="s">
        <v>558</v>
      </c>
      <c r="O206" s="424" t="s">
        <v>998</v>
      </c>
      <c r="P206" s="425" t="s">
        <v>999</v>
      </c>
      <c r="Q206" s="425" t="s">
        <v>1000</v>
      </c>
      <c r="R206" s="425" t="s">
        <v>1001</v>
      </c>
      <c r="S206" s="425" t="s">
        <v>1002</v>
      </c>
      <c r="T206" s="423" t="s">
        <v>2032</v>
      </c>
      <c r="U206" s="423" t="s">
        <v>2032</v>
      </c>
      <c r="V206" s="423" t="s">
        <v>2032</v>
      </c>
      <c r="W206" s="423" t="s">
        <v>2032</v>
      </c>
      <c r="X206" s="423" t="s">
        <v>2032</v>
      </c>
      <c r="Y206" s="423" t="s">
        <v>2032</v>
      </c>
      <c r="Z206" s="423" t="s">
        <v>2032</v>
      </c>
      <c r="AD206" s="423">
        <f>IF(ISNUMBER(MATCH(B206,'FICHA SOLIC'!$AB$26:$AB$376,0)),1,0)</f>
        <v>0</v>
      </c>
      <c r="AE206" s="423" t="str">
        <f t="shared" si="3"/>
        <v>ChicureoPRMS</v>
      </c>
    </row>
    <row r="207" spans="1:31" x14ac:dyDescent="0.25">
      <c r="A207" s="423">
        <v>206</v>
      </c>
      <c r="B207" s="423" t="s">
        <v>251</v>
      </c>
      <c r="C207" s="423" t="s">
        <v>2171</v>
      </c>
      <c r="D207" s="972" t="s">
        <v>990</v>
      </c>
      <c r="E207" s="973" t="s">
        <v>991</v>
      </c>
      <c r="F207" s="973" t="s">
        <v>992</v>
      </c>
      <c r="G207" s="973" t="s">
        <v>1997</v>
      </c>
      <c r="H207" s="973" t="s">
        <v>1998</v>
      </c>
      <c r="I207" s="973" t="s">
        <v>1999</v>
      </c>
      <c r="J207" s="972" t="s">
        <v>697</v>
      </c>
      <c r="K207" s="973" t="s">
        <v>995</v>
      </c>
      <c r="L207" s="973" t="s">
        <v>996</v>
      </c>
      <c r="M207" s="973" t="s">
        <v>2000</v>
      </c>
      <c r="N207" s="973" t="s">
        <v>2001</v>
      </c>
      <c r="O207" s="972" t="s">
        <v>1971</v>
      </c>
      <c r="P207" s="973" t="s">
        <v>999</v>
      </c>
      <c r="Q207" s="973" t="s">
        <v>1000</v>
      </c>
      <c r="R207" s="973" t="s">
        <v>1001</v>
      </c>
      <c r="S207" s="973" t="s">
        <v>1002</v>
      </c>
      <c r="T207" s="423">
        <v>400</v>
      </c>
      <c r="U207" s="423" t="s">
        <v>1041</v>
      </c>
      <c r="V207" s="423">
        <v>60</v>
      </c>
      <c r="W207" s="423" t="s">
        <v>1026</v>
      </c>
      <c r="X207" s="423" t="s">
        <v>1041</v>
      </c>
      <c r="Y207" s="423" t="s">
        <v>1041</v>
      </c>
      <c r="Z207" s="423" t="s">
        <v>1058</v>
      </c>
      <c r="AD207" s="423">
        <f>IF(ISNUMBER(MATCH(B207,'FICHA SOLIC'!$AB$26:$AB$376,0)),1,0)</f>
        <v>1</v>
      </c>
      <c r="AE207" s="423" t="str">
        <f t="shared" si="3"/>
        <v>ChiguayanteZEU1</v>
      </c>
    </row>
    <row r="208" spans="1:31" x14ac:dyDescent="0.25">
      <c r="A208" s="423">
        <v>207</v>
      </c>
      <c r="B208" s="423" t="s">
        <v>251</v>
      </c>
      <c r="C208" s="423" t="s">
        <v>2172</v>
      </c>
      <c r="D208" s="972" t="s">
        <v>990</v>
      </c>
      <c r="E208" s="973" t="s">
        <v>991</v>
      </c>
      <c r="F208" s="973" t="s">
        <v>992</v>
      </c>
      <c r="G208" s="973" t="s">
        <v>1997</v>
      </c>
      <c r="H208" s="973" t="s">
        <v>1998</v>
      </c>
      <c r="I208" s="973" t="s">
        <v>1999</v>
      </c>
      <c r="J208" s="972" t="s">
        <v>697</v>
      </c>
      <c r="K208" s="973" t="s">
        <v>995</v>
      </c>
      <c r="L208" s="973" t="s">
        <v>996</v>
      </c>
      <c r="M208" s="973" t="s">
        <v>2000</v>
      </c>
      <c r="N208" s="973" t="s">
        <v>2001</v>
      </c>
      <c r="O208" s="972" t="s">
        <v>1971</v>
      </c>
      <c r="P208" s="973" t="s">
        <v>999</v>
      </c>
      <c r="Q208" s="973" t="s">
        <v>1000</v>
      </c>
      <c r="R208" s="973" t="s">
        <v>1001</v>
      </c>
      <c r="S208" s="973" t="s">
        <v>1002</v>
      </c>
      <c r="T208" s="423">
        <v>200</v>
      </c>
      <c r="U208" s="423" t="s">
        <v>1041</v>
      </c>
      <c r="V208" s="423">
        <v>60</v>
      </c>
      <c r="W208" s="423" t="s">
        <v>1026</v>
      </c>
      <c r="X208" s="423" t="s">
        <v>1041</v>
      </c>
      <c r="Y208" s="423" t="s">
        <v>1041</v>
      </c>
      <c r="Z208" s="423" t="s">
        <v>1058</v>
      </c>
      <c r="AD208" s="423">
        <f>IF(ISNUMBER(MATCH(B208,'FICHA SOLIC'!$AB$26:$AB$376,0)),1,0)</f>
        <v>1</v>
      </c>
      <c r="AE208" s="423" t="str">
        <f t="shared" si="3"/>
        <v>ChiguayanteZEU2</v>
      </c>
    </row>
    <row r="209" spans="1:31" x14ac:dyDescent="0.25">
      <c r="A209" s="423">
        <v>208</v>
      </c>
      <c r="B209" s="423" t="s">
        <v>251</v>
      </c>
      <c r="C209" s="423" t="s">
        <v>2173</v>
      </c>
      <c r="D209" s="972" t="s">
        <v>990</v>
      </c>
      <c r="E209" s="973" t="s">
        <v>991</v>
      </c>
      <c r="F209" s="973" t="s">
        <v>992</v>
      </c>
      <c r="G209" s="973" t="s">
        <v>1997</v>
      </c>
      <c r="H209" s="973" t="s">
        <v>1998</v>
      </c>
      <c r="I209" s="973" t="s">
        <v>1999</v>
      </c>
      <c r="J209" s="972" t="s">
        <v>697</v>
      </c>
      <c r="K209" s="973" t="s">
        <v>995</v>
      </c>
      <c r="L209" s="973" t="s">
        <v>996</v>
      </c>
      <c r="M209" s="973" t="s">
        <v>2000</v>
      </c>
      <c r="N209" s="973" t="s">
        <v>2001</v>
      </c>
      <c r="O209" s="972" t="s">
        <v>1971</v>
      </c>
      <c r="P209" s="973" t="s">
        <v>999</v>
      </c>
      <c r="Q209" s="973" t="s">
        <v>1000</v>
      </c>
      <c r="R209" s="973" t="s">
        <v>1001</v>
      </c>
      <c r="S209" s="973" t="s">
        <v>1002</v>
      </c>
      <c r="T209" s="423">
        <v>400</v>
      </c>
      <c r="U209" s="423" t="s">
        <v>1041</v>
      </c>
      <c r="V209" s="423">
        <v>60</v>
      </c>
      <c r="W209" s="423" t="s">
        <v>1026</v>
      </c>
      <c r="X209" s="423">
        <v>7.5</v>
      </c>
      <c r="Y209" s="423" t="s">
        <v>1041</v>
      </c>
      <c r="Z209" s="423" t="s">
        <v>1057</v>
      </c>
      <c r="AD209" s="423">
        <f>IF(ISNUMBER(MATCH(B209,'FICHA SOLIC'!$AB$26:$AB$376,0)),1,0)</f>
        <v>1</v>
      </c>
      <c r="AE209" s="423" t="str">
        <f t="shared" si="3"/>
        <v>ChiguayanteZEU3</v>
      </c>
    </row>
    <row r="210" spans="1:31" x14ac:dyDescent="0.25">
      <c r="A210" s="423">
        <v>209</v>
      </c>
      <c r="B210" s="423" t="s">
        <v>251</v>
      </c>
      <c r="C210" s="423" t="s">
        <v>2174</v>
      </c>
      <c r="D210" s="972" t="s">
        <v>990</v>
      </c>
      <c r="E210" s="973" t="s">
        <v>991</v>
      </c>
      <c r="F210" s="973" t="s">
        <v>992</v>
      </c>
      <c r="G210" s="973" t="s">
        <v>1997</v>
      </c>
      <c r="H210" s="973" t="s">
        <v>1998</v>
      </c>
      <c r="I210" s="973" t="s">
        <v>1999</v>
      </c>
      <c r="J210" s="972" t="s">
        <v>697</v>
      </c>
      <c r="K210" s="973" t="s">
        <v>995</v>
      </c>
      <c r="L210" s="973" t="s">
        <v>996</v>
      </c>
      <c r="M210" s="973" t="s">
        <v>2000</v>
      </c>
      <c r="N210" s="973" t="s">
        <v>2001</v>
      </c>
      <c r="O210" s="972" t="s">
        <v>1971</v>
      </c>
      <c r="P210" s="973" t="s">
        <v>999</v>
      </c>
      <c r="Q210" s="973" t="s">
        <v>1000</v>
      </c>
      <c r="R210" s="973" t="s">
        <v>1001</v>
      </c>
      <c r="S210" s="973" t="s">
        <v>1002</v>
      </c>
      <c r="T210" s="423">
        <v>200</v>
      </c>
      <c r="U210" s="423" t="s">
        <v>1041</v>
      </c>
      <c r="V210" s="423">
        <v>60</v>
      </c>
      <c r="W210" s="423">
        <v>3.2</v>
      </c>
      <c r="X210" s="423">
        <v>24</v>
      </c>
      <c r="Y210" s="423" t="s">
        <v>1041</v>
      </c>
      <c r="Z210" s="423" t="s">
        <v>1057</v>
      </c>
      <c r="AD210" s="423">
        <f>IF(ISNUMBER(MATCH(B210,'FICHA SOLIC'!$AB$26:$AB$376,0)),1,0)</f>
        <v>1</v>
      </c>
      <c r="AE210" s="423" t="str">
        <f t="shared" si="3"/>
        <v>ChiguayanteZEU4</v>
      </c>
    </row>
    <row r="211" spans="1:31" x14ac:dyDescent="0.25">
      <c r="A211" s="423">
        <v>210</v>
      </c>
      <c r="B211" s="423" t="s">
        <v>251</v>
      </c>
      <c r="C211" s="423" t="s">
        <v>2175</v>
      </c>
      <c r="D211" s="972" t="s">
        <v>990</v>
      </c>
      <c r="E211" s="973" t="s">
        <v>991</v>
      </c>
      <c r="F211" s="973" t="s">
        <v>992</v>
      </c>
      <c r="G211" s="973" t="s">
        <v>1997</v>
      </c>
      <c r="H211" s="973" t="s">
        <v>1998</v>
      </c>
      <c r="I211" s="973" t="s">
        <v>1999</v>
      </c>
      <c r="J211" s="972" t="s">
        <v>697</v>
      </c>
      <c r="K211" s="973" t="s">
        <v>995</v>
      </c>
      <c r="L211" s="973" t="s">
        <v>996</v>
      </c>
      <c r="M211" s="973" t="s">
        <v>2000</v>
      </c>
      <c r="N211" s="973" t="s">
        <v>2001</v>
      </c>
      <c r="O211" s="972" t="s">
        <v>1971</v>
      </c>
      <c r="P211" s="973" t="s">
        <v>999</v>
      </c>
      <c r="Q211" s="973" t="s">
        <v>1000</v>
      </c>
      <c r="R211" s="973" t="s">
        <v>1001</v>
      </c>
      <c r="S211" s="973" t="s">
        <v>1002</v>
      </c>
      <c r="T211" s="423">
        <v>500</v>
      </c>
      <c r="U211" s="423" t="s">
        <v>1041</v>
      </c>
      <c r="V211" s="423">
        <v>40</v>
      </c>
      <c r="W211" s="423">
        <v>1.5</v>
      </c>
      <c r="X211" s="423">
        <v>12</v>
      </c>
      <c r="Y211" s="423" t="s">
        <v>1041</v>
      </c>
      <c r="Z211" s="423" t="s">
        <v>1058</v>
      </c>
      <c r="AD211" s="423">
        <f>IF(ISNUMBER(MATCH(B211,'FICHA SOLIC'!$AB$26:$AB$376,0)),1,0)</f>
        <v>1</v>
      </c>
      <c r="AE211" s="423" t="str">
        <f t="shared" si="3"/>
        <v>ChiguayanteZEU5</v>
      </c>
    </row>
    <row r="212" spans="1:31" x14ac:dyDescent="0.25">
      <c r="A212" s="423">
        <v>211</v>
      </c>
      <c r="B212" s="423" t="s">
        <v>251</v>
      </c>
      <c r="C212" s="423" t="s">
        <v>2176</v>
      </c>
      <c r="D212" s="972" t="s">
        <v>990</v>
      </c>
      <c r="E212" s="973" t="s">
        <v>991</v>
      </c>
      <c r="F212" s="973" t="s">
        <v>992</v>
      </c>
      <c r="G212" s="973" t="s">
        <v>1997</v>
      </c>
      <c r="H212" s="973" t="s">
        <v>1998</v>
      </c>
      <c r="I212" s="973" t="s">
        <v>1999</v>
      </c>
      <c r="J212" s="972" t="s">
        <v>697</v>
      </c>
      <c r="K212" s="973" t="s">
        <v>995</v>
      </c>
      <c r="L212" s="973" t="s">
        <v>996</v>
      </c>
      <c r="M212" s="973" t="s">
        <v>2000</v>
      </c>
      <c r="N212" s="973" t="s">
        <v>2001</v>
      </c>
      <c r="O212" s="972" t="s">
        <v>1971</v>
      </c>
      <c r="P212" s="973" t="s">
        <v>999</v>
      </c>
      <c r="Q212" s="973" t="s">
        <v>1000</v>
      </c>
      <c r="R212" s="973" t="s">
        <v>1001</v>
      </c>
      <c r="S212" s="973" t="s">
        <v>1002</v>
      </c>
      <c r="T212" s="423">
        <v>300</v>
      </c>
      <c r="U212" s="423" t="s">
        <v>1041</v>
      </c>
      <c r="V212" s="423">
        <v>50</v>
      </c>
      <c r="W212" s="423">
        <v>2</v>
      </c>
      <c r="X212" s="423" t="s">
        <v>1041</v>
      </c>
      <c r="Y212" s="423" t="s">
        <v>1041</v>
      </c>
      <c r="Z212" s="423" t="s">
        <v>1058</v>
      </c>
      <c r="AD212" s="423">
        <f>IF(ISNUMBER(MATCH(B212,'FICHA SOLIC'!$AB$26:$AB$376,0)),1,0)</f>
        <v>1</v>
      </c>
      <c r="AE212" s="423" t="str">
        <f t="shared" si="3"/>
        <v>ChiguayanteZEU8-2</v>
      </c>
    </row>
    <row r="213" spans="1:31" x14ac:dyDescent="0.25">
      <c r="A213" s="423">
        <v>212</v>
      </c>
      <c r="B213" s="423" t="s">
        <v>251</v>
      </c>
      <c r="C213" s="423" t="s">
        <v>2177</v>
      </c>
      <c r="D213" s="972" t="s">
        <v>990</v>
      </c>
      <c r="E213" s="973" t="s">
        <v>991</v>
      </c>
      <c r="F213" s="973" t="s">
        <v>992</v>
      </c>
      <c r="G213" s="973" t="s">
        <v>1997</v>
      </c>
      <c r="H213" s="973" t="s">
        <v>1998</v>
      </c>
      <c r="I213" s="973" t="s">
        <v>1999</v>
      </c>
      <c r="J213" s="972" t="s">
        <v>697</v>
      </c>
      <c r="K213" s="973" t="s">
        <v>995</v>
      </c>
      <c r="L213" s="973" t="s">
        <v>996</v>
      </c>
      <c r="M213" s="973" t="s">
        <v>2000</v>
      </c>
      <c r="N213" s="973" t="s">
        <v>2001</v>
      </c>
      <c r="O213" s="972" t="s">
        <v>1971</v>
      </c>
      <c r="P213" s="973" t="s">
        <v>999</v>
      </c>
      <c r="Q213" s="973" t="s">
        <v>1000</v>
      </c>
      <c r="R213" s="973" t="s">
        <v>1001</v>
      </c>
      <c r="S213" s="973" t="s">
        <v>1002</v>
      </c>
      <c r="T213" s="423">
        <v>200</v>
      </c>
      <c r="U213" s="423" t="s">
        <v>1041</v>
      </c>
      <c r="V213" s="423">
        <v>60</v>
      </c>
      <c r="W213" s="423">
        <v>3</v>
      </c>
      <c r="X213" s="423">
        <v>21</v>
      </c>
      <c r="Y213" s="423" t="s">
        <v>1041</v>
      </c>
      <c r="Z213" s="423" t="s">
        <v>1058</v>
      </c>
      <c r="AD213" s="423">
        <f>IF(ISNUMBER(MATCH(B213,'FICHA SOLIC'!$AB$26:$AB$376,0)),1,0)</f>
        <v>1</v>
      </c>
      <c r="AE213" s="423" t="str">
        <f t="shared" si="3"/>
        <v>ChiguayanteZEU8-3</v>
      </c>
    </row>
    <row r="214" spans="1:31" x14ac:dyDescent="0.25">
      <c r="A214" s="423">
        <v>213</v>
      </c>
      <c r="B214" s="423" t="s">
        <v>251</v>
      </c>
      <c r="C214" s="423" t="s">
        <v>2178</v>
      </c>
      <c r="D214" s="972" t="s">
        <v>990</v>
      </c>
      <c r="E214" s="973" t="s">
        <v>991</v>
      </c>
      <c r="F214" s="973" t="s">
        <v>992</v>
      </c>
      <c r="G214" s="973" t="s">
        <v>1997</v>
      </c>
      <c r="H214" s="973" t="s">
        <v>1998</v>
      </c>
      <c r="I214" s="973" t="s">
        <v>1999</v>
      </c>
      <c r="J214" s="972" t="s">
        <v>697</v>
      </c>
      <c r="K214" s="973" t="s">
        <v>995</v>
      </c>
      <c r="L214" s="973" t="s">
        <v>996</v>
      </c>
      <c r="M214" s="973" t="s">
        <v>2000</v>
      </c>
      <c r="N214" s="973" t="s">
        <v>2001</v>
      </c>
      <c r="O214" s="972" t="s">
        <v>1971</v>
      </c>
      <c r="P214" s="973" t="s">
        <v>999</v>
      </c>
      <c r="Q214" s="973" t="s">
        <v>1000</v>
      </c>
      <c r="R214" s="973" t="s">
        <v>1001</v>
      </c>
      <c r="S214" s="973" t="s">
        <v>1002</v>
      </c>
      <c r="T214" s="423">
        <v>200</v>
      </c>
      <c r="U214" s="423" t="s">
        <v>1041</v>
      </c>
      <c r="V214" s="423">
        <v>60</v>
      </c>
      <c r="W214" s="423">
        <v>3</v>
      </c>
      <c r="X214" s="423">
        <v>24</v>
      </c>
      <c r="Y214" s="423" t="s">
        <v>1041</v>
      </c>
      <c r="Z214" s="423" t="s">
        <v>1058</v>
      </c>
      <c r="AD214" s="423">
        <f>IF(ISNUMBER(MATCH(B214,'FICHA SOLIC'!$AB$26:$AB$376,0)),1,0)</f>
        <v>1</v>
      </c>
      <c r="AE214" s="423" t="str">
        <f t="shared" si="3"/>
        <v>ChiguayanteZIa</v>
      </c>
    </row>
    <row r="215" spans="1:31" x14ac:dyDescent="0.25">
      <c r="A215" s="423">
        <v>214</v>
      </c>
      <c r="B215" s="423" t="s">
        <v>251</v>
      </c>
      <c r="C215" s="423" t="s">
        <v>2179</v>
      </c>
      <c r="D215" s="972" t="s">
        <v>990</v>
      </c>
      <c r="E215" s="973" t="s">
        <v>991</v>
      </c>
      <c r="F215" s="973" t="s">
        <v>992</v>
      </c>
      <c r="G215" s="973" t="s">
        <v>1997</v>
      </c>
      <c r="H215" s="973" t="s">
        <v>1998</v>
      </c>
      <c r="I215" s="973" t="s">
        <v>1999</v>
      </c>
      <c r="J215" s="972" t="s">
        <v>697</v>
      </c>
      <c r="K215" s="973" t="s">
        <v>995</v>
      </c>
      <c r="L215" s="973" t="s">
        <v>996</v>
      </c>
      <c r="M215" s="973" t="s">
        <v>2000</v>
      </c>
      <c r="N215" s="973" t="s">
        <v>2001</v>
      </c>
      <c r="O215" s="972" t="s">
        <v>1971</v>
      </c>
      <c r="P215" s="973" t="s">
        <v>999</v>
      </c>
      <c r="Q215" s="973" t="s">
        <v>1000</v>
      </c>
      <c r="R215" s="973" t="s">
        <v>1001</v>
      </c>
      <c r="S215" s="973" t="s">
        <v>1002</v>
      </c>
      <c r="T215" s="423">
        <v>200</v>
      </c>
      <c r="U215" s="423" t="s">
        <v>1041</v>
      </c>
      <c r="V215" s="423">
        <v>60</v>
      </c>
      <c r="W215" s="423">
        <v>2</v>
      </c>
      <c r="X215" s="423">
        <v>15</v>
      </c>
      <c r="Y215" s="423" t="s">
        <v>1041</v>
      </c>
      <c r="Z215" s="423" t="s">
        <v>1057</v>
      </c>
      <c r="AD215" s="423">
        <f>IF(ISNUMBER(MATCH(B215,'FICHA SOLIC'!$AB$26:$AB$376,0)),1,0)</f>
        <v>1</v>
      </c>
      <c r="AE215" s="423" t="str">
        <f t="shared" si="3"/>
        <v>ChiguayanteZib</v>
      </c>
    </row>
    <row r="216" spans="1:31" x14ac:dyDescent="0.25">
      <c r="A216" s="423">
        <v>215</v>
      </c>
      <c r="B216" s="423" t="s">
        <v>251</v>
      </c>
      <c r="C216" s="423" t="s">
        <v>2111</v>
      </c>
      <c r="D216" s="972" t="s">
        <v>990</v>
      </c>
      <c r="E216" s="973" t="s">
        <v>991</v>
      </c>
      <c r="F216" s="973" t="s">
        <v>992</v>
      </c>
      <c r="G216" s="973" t="s">
        <v>1997</v>
      </c>
      <c r="H216" s="973" t="s">
        <v>1998</v>
      </c>
      <c r="I216" s="973" t="s">
        <v>1999</v>
      </c>
      <c r="J216" s="972" t="s">
        <v>697</v>
      </c>
      <c r="K216" s="973" t="s">
        <v>995</v>
      </c>
      <c r="L216" s="973" t="s">
        <v>996</v>
      </c>
      <c r="M216" s="973" t="s">
        <v>2000</v>
      </c>
      <c r="N216" s="973" t="s">
        <v>2001</v>
      </c>
      <c r="O216" s="972" t="s">
        <v>1971</v>
      </c>
      <c r="P216" s="973" t="s">
        <v>999</v>
      </c>
      <c r="Q216" s="973" t="s">
        <v>1000</v>
      </c>
      <c r="R216" s="973" t="s">
        <v>1001</v>
      </c>
      <c r="S216" s="973" t="s">
        <v>1002</v>
      </c>
      <c r="T216" s="423">
        <v>2500</v>
      </c>
      <c r="U216" s="423" t="s">
        <v>1041</v>
      </c>
      <c r="V216" s="423">
        <v>5</v>
      </c>
      <c r="W216" s="423">
        <v>0.2</v>
      </c>
      <c r="X216" s="423">
        <v>7</v>
      </c>
      <c r="Y216" s="423" t="s">
        <v>1041</v>
      </c>
      <c r="Z216" s="423" t="s">
        <v>1058</v>
      </c>
      <c r="AD216" s="423">
        <f>IF(ISNUMBER(MATCH(B216,'FICHA SOLIC'!$AB$26:$AB$376,0)),1,0)</f>
        <v>1</v>
      </c>
      <c r="AE216" s="423" t="str">
        <f t="shared" si="3"/>
        <v>ChiguayanteZR1</v>
      </c>
    </row>
    <row r="217" spans="1:31" x14ac:dyDescent="0.25">
      <c r="A217" s="423">
        <v>216</v>
      </c>
      <c r="B217" s="423" t="s">
        <v>251</v>
      </c>
      <c r="C217" s="423" t="s">
        <v>2180</v>
      </c>
      <c r="D217" s="972" t="s">
        <v>990</v>
      </c>
      <c r="E217" s="973" t="s">
        <v>991</v>
      </c>
      <c r="F217" s="973" t="s">
        <v>992</v>
      </c>
      <c r="G217" s="973" t="s">
        <v>1997</v>
      </c>
      <c r="H217" s="973" t="s">
        <v>1998</v>
      </c>
      <c r="I217" s="973" t="s">
        <v>1999</v>
      </c>
      <c r="J217" s="972" t="s">
        <v>697</v>
      </c>
      <c r="K217" s="973" t="s">
        <v>995</v>
      </c>
      <c r="L217" s="973" t="s">
        <v>996</v>
      </c>
      <c r="M217" s="973" t="s">
        <v>2000</v>
      </c>
      <c r="N217" s="973" t="s">
        <v>2001</v>
      </c>
      <c r="O217" s="972" t="s">
        <v>1971</v>
      </c>
      <c r="P217" s="973" t="s">
        <v>999</v>
      </c>
      <c r="Q217" s="973" t="s">
        <v>1000</v>
      </c>
      <c r="R217" s="973" t="s">
        <v>1001</v>
      </c>
      <c r="S217" s="973" t="s">
        <v>1002</v>
      </c>
      <c r="T217" s="423">
        <v>3000</v>
      </c>
      <c r="U217" s="423" t="s">
        <v>1041</v>
      </c>
      <c r="V217" s="423">
        <v>13</v>
      </c>
      <c r="W217" s="423">
        <v>0.7</v>
      </c>
      <c r="X217" s="423">
        <v>9</v>
      </c>
      <c r="Y217" s="423" t="s">
        <v>1041</v>
      </c>
      <c r="Z217" s="423" t="s">
        <v>1058</v>
      </c>
      <c r="AD217" s="423">
        <f>IF(ISNUMBER(MATCH(B217,'FICHA SOLIC'!$AB$26:$AB$376,0)),1,0)</f>
        <v>1</v>
      </c>
      <c r="AE217" s="423" t="str">
        <f t="shared" si="3"/>
        <v>ChiguayanteZR1-A</v>
      </c>
    </row>
    <row r="218" spans="1:31" x14ac:dyDescent="0.25">
      <c r="A218" s="423">
        <v>217</v>
      </c>
      <c r="B218" s="423" t="s">
        <v>251</v>
      </c>
      <c r="C218" s="423" t="s">
        <v>2181</v>
      </c>
      <c r="D218" s="972" t="s">
        <v>990</v>
      </c>
      <c r="E218" s="973" t="s">
        <v>991</v>
      </c>
      <c r="F218" s="973" t="s">
        <v>992</v>
      </c>
      <c r="G218" s="973" t="s">
        <v>1997</v>
      </c>
      <c r="H218" s="973" t="s">
        <v>1998</v>
      </c>
      <c r="I218" s="973" t="s">
        <v>1999</v>
      </c>
      <c r="J218" s="972" t="s">
        <v>697</v>
      </c>
      <c r="K218" s="973" t="s">
        <v>995</v>
      </c>
      <c r="L218" s="973" t="s">
        <v>996</v>
      </c>
      <c r="M218" s="973" t="s">
        <v>2000</v>
      </c>
      <c r="N218" s="973" t="s">
        <v>2001</v>
      </c>
      <c r="O218" s="972" t="s">
        <v>1971</v>
      </c>
      <c r="P218" s="973" t="s">
        <v>999</v>
      </c>
      <c r="Q218" s="973" t="s">
        <v>1000</v>
      </c>
      <c r="R218" s="973" t="s">
        <v>1001</v>
      </c>
      <c r="S218" s="973" t="s">
        <v>1002</v>
      </c>
      <c r="T218" s="423">
        <v>300</v>
      </c>
      <c r="U218" s="423" t="s">
        <v>1041</v>
      </c>
      <c r="V218" s="423">
        <v>40</v>
      </c>
      <c r="W218" s="423">
        <v>2.4</v>
      </c>
      <c r="X218" s="423">
        <v>9</v>
      </c>
      <c r="Y218" s="423" t="s">
        <v>1041</v>
      </c>
      <c r="Z218" s="423" t="s">
        <v>1058</v>
      </c>
      <c r="AD218" s="423">
        <f>IF(ISNUMBER(MATCH(B218,'FICHA SOLIC'!$AB$26:$AB$376,0)),1,0)</f>
        <v>1</v>
      </c>
      <c r="AE218" s="423" t="str">
        <f t="shared" si="3"/>
        <v>ChiguayanteZR2-a</v>
      </c>
    </row>
    <row r="219" spans="1:31" x14ac:dyDescent="0.25">
      <c r="A219" s="423">
        <v>218</v>
      </c>
      <c r="B219" s="423" t="s">
        <v>251</v>
      </c>
      <c r="C219" s="423" t="s">
        <v>2182</v>
      </c>
      <c r="D219" s="972" t="s">
        <v>990</v>
      </c>
      <c r="E219" s="973" t="s">
        <v>991</v>
      </c>
      <c r="F219" s="973" t="s">
        <v>992</v>
      </c>
      <c r="G219" s="973" t="s">
        <v>1997</v>
      </c>
      <c r="H219" s="973" t="s">
        <v>1998</v>
      </c>
      <c r="I219" s="973" t="s">
        <v>1999</v>
      </c>
      <c r="J219" s="972" t="s">
        <v>697</v>
      </c>
      <c r="K219" s="973" t="s">
        <v>995</v>
      </c>
      <c r="L219" s="973" t="s">
        <v>996</v>
      </c>
      <c r="M219" s="973" t="s">
        <v>2000</v>
      </c>
      <c r="N219" s="973" t="s">
        <v>2001</v>
      </c>
      <c r="O219" s="972" t="s">
        <v>1971</v>
      </c>
      <c r="P219" s="973" t="s">
        <v>999</v>
      </c>
      <c r="Q219" s="973" t="s">
        <v>1000</v>
      </c>
      <c r="R219" s="973" t="s">
        <v>1001</v>
      </c>
      <c r="S219" s="973" t="s">
        <v>1002</v>
      </c>
      <c r="T219" s="423">
        <v>200</v>
      </c>
      <c r="U219" s="423" t="s">
        <v>1041</v>
      </c>
      <c r="V219" s="423">
        <v>60</v>
      </c>
      <c r="W219" s="423">
        <v>3.8</v>
      </c>
      <c r="X219" s="423">
        <v>24</v>
      </c>
      <c r="Y219" s="423" t="s">
        <v>1041</v>
      </c>
      <c r="Z219" s="423" t="s">
        <v>1058</v>
      </c>
      <c r="AD219" s="423">
        <f>IF(ISNUMBER(MATCH(B219,'FICHA SOLIC'!$AB$26:$AB$376,0)),1,0)</f>
        <v>1</v>
      </c>
      <c r="AE219" s="423" t="str">
        <f t="shared" si="3"/>
        <v>ChiguayanteZR2-b</v>
      </c>
    </row>
    <row r="220" spans="1:31" x14ac:dyDescent="0.25">
      <c r="A220" s="423">
        <v>219</v>
      </c>
      <c r="B220" s="423" t="s">
        <v>251</v>
      </c>
      <c r="C220" s="423" t="s">
        <v>2183</v>
      </c>
      <c r="D220" s="972" t="s">
        <v>990</v>
      </c>
      <c r="E220" s="973" t="s">
        <v>991</v>
      </c>
      <c r="F220" s="973" t="s">
        <v>992</v>
      </c>
      <c r="G220" s="973" t="s">
        <v>1997</v>
      </c>
      <c r="H220" s="973" t="s">
        <v>1998</v>
      </c>
      <c r="I220" s="973" t="s">
        <v>1999</v>
      </c>
      <c r="J220" s="972" t="s">
        <v>697</v>
      </c>
      <c r="K220" s="973" t="s">
        <v>995</v>
      </c>
      <c r="L220" s="973" t="s">
        <v>996</v>
      </c>
      <c r="M220" s="973" t="s">
        <v>2000</v>
      </c>
      <c r="N220" s="973" t="s">
        <v>2001</v>
      </c>
      <c r="O220" s="972" t="s">
        <v>1971</v>
      </c>
      <c r="P220" s="973" t="s">
        <v>999</v>
      </c>
      <c r="Q220" s="973" t="s">
        <v>1000</v>
      </c>
      <c r="R220" s="973" t="s">
        <v>1001</v>
      </c>
      <c r="S220" s="973" t="s">
        <v>1002</v>
      </c>
      <c r="T220" s="423">
        <v>300</v>
      </c>
      <c r="U220" s="423" t="s">
        <v>1041</v>
      </c>
      <c r="V220" s="423">
        <v>50</v>
      </c>
      <c r="W220" s="423">
        <v>2</v>
      </c>
      <c r="X220" s="423" t="s">
        <v>1041</v>
      </c>
      <c r="Y220" s="423" t="s">
        <v>1041</v>
      </c>
      <c r="Z220" s="423" t="s">
        <v>1058</v>
      </c>
      <c r="AD220" s="423">
        <f>IF(ISNUMBER(MATCH(B220,'FICHA SOLIC'!$AB$26:$AB$376,0)),1,0)</f>
        <v>1</v>
      </c>
      <c r="AE220" s="423" t="str">
        <f t="shared" si="3"/>
        <v>ChiguayanteZR2-c</v>
      </c>
    </row>
    <row r="221" spans="1:31" x14ac:dyDescent="0.25">
      <c r="A221" s="423">
        <v>220</v>
      </c>
      <c r="B221" s="423" t="s">
        <v>251</v>
      </c>
      <c r="C221" s="423" t="s">
        <v>2155</v>
      </c>
      <c r="D221" s="972" t="s">
        <v>990</v>
      </c>
      <c r="E221" s="973" t="s">
        <v>991</v>
      </c>
      <c r="F221" s="973" t="s">
        <v>992</v>
      </c>
      <c r="G221" s="973" t="s">
        <v>1997</v>
      </c>
      <c r="H221" s="973" t="s">
        <v>1998</v>
      </c>
      <c r="I221" s="973" t="s">
        <v>1999</v>
      </c>
      <c r="J221" s="972" t="s">
        <v>697</v>
      </c>
      <c r="K221" s="973" t="s">
        <v>995</v>
      </c>
      <c r="L221" s="973" t="s">
        <v>996</v>
      </c>
      <c r="M221" s="973" t="s">
        <v>2000</v>
      </c>
      <c r="N221" s="973" t="s">
        <v>2001</v>
      </c>
      <c r="O221" s="972" t="s">
        <v>1971</v>
      </c>
      <c r="P221" s="973" t="s">
        <v>999</v>
      </c>
      <c r="Q221" s="973" t="s">
        <v>1000</v>
      </c>
      <c r="R221" s="973" t="s">
        <v>1001</v>
      </c>
      <c r="S221" s="973" t="s">
        <v>1002</v>
      </c>
      <c r="T221" s="423">
        <v>200</v>
      </c>
      <c r="U221" s="423" t="s">
        <v>1041</v>
      </c>
      <c r="V221" s="423">
        <v>60</v>
      </c>
      <c r="W221" s="423">
        <v>2</v>
      </c>
      <c r="X221" s="423">
        <v>12</v>
      </c>
      <c r="Y221" s="423" t="s">
        <v>1041</v>
      </c>
      <c r="Z221" s="423" t="s">
        <v>1058</v>
      </c>
      <c r="AD221" s="423">
        <f>IF(ISNUMBER(MATCH(B221,'FICHA SOLIC'!$AB$26:$AB$376,0)),1,0)</f>
        <v>1</v>
      </c>
      <c r="AE221" s="423" t="str">
        <f t="shared" si="3"/>
        <v>ChiguayanteZRE</v>
      </c>
    </row>
    <row r="222" spans="1:31" x14ac:dyDescent="0.25">
      <c r="A222" s="423">
        <v>221</v>
      </c>
      <c r="B222" s="423" t="s">
        <v>251</v>
      </c>
      <c r="C222" s="423" t="s">
        <v>2184</v>
      </c>
      <c r="D222" s="972" t="s">
        <v>990</v>
      </c>
      <c r="E222" s="973" t="s">
        <v>991</v>
      </c>
      <c r="F222" s="973" t="s">
        <v>992</v>
      </c>
      <c r="G222" s="973" t="s">
        <v>1997</v>
      </c>
      <c r="H222" s="973" t="s">
        <v>1998</v>
      </c>
      <c r="I222" s="973" t="s">
        <v>1999</v>
      </c>
      <c r="J222" s="972" t="s">
        <v>697</v>
      </c>
      <c r="K222" s="973" t="s">
        <v>995</v>
      </c>
      <c r="L222" s="973" t="s">
        <v>996</v>
      </c>
      <c r="M222" s="973" t="s">
        <v>2000</v>
      </c>
      <c r="N222" s="973" t="s">
        <v>2001</v>
      </c>
      <c r="O222" s="972" t="s">
        <v>1971</v>
      </c>
      <c r="P222" s="973" t="s">
        <v>999</v>
      </c>
      <c r="Q222" s="973" t="s">
        <v>1000</v>
      </c>
      <c r="R222" s="973" t="s">
        <v>1001</v>
      </c>
      <c r="S222" s="973" t="s">
        <v>1002</v>
      </c>
      <c r="T222" s="423">
        <v>200</v>
      </c>
      <c r="U222" s="423" t="s">
        <v>1041</v>
      </c>
      <c r="V222" s="423">
        <v>60</v>
      </c>
      <c r="W222" s="423">
        <v>2</v>
      </c>
      <c r="X222" s="423">
        <v>15</v>
      </c>
      <c r="Y222" s="423" t="s">
        <v>1041</v>
      </c>
      <c r="Z222" s="423" t="s">
        <v>1057</v>
      </c>
      <c r="AD222" s="423">
        <f>IF(ISNUMBER(MATCH(B222,'FICHA SOLIC'!$AB$26:$AB$376,0)),1,0)</f>
        <v>1</v>
      </c>
      <c r="AE222" s="423" t="str">
        <f t="shared" si="3"/>
        <v>ChiguayanteZU1-A</v>
      </c>
    </row>
    <row r="223" spans="1:31" x14ac:dyDescent="0.25">
      <c r="A223" s="423">
        <v>222</v>
      </c>
      <c r="B223" s="423" t="s">
        <v>251</v>
      </c>
      <c r="C223" s="423" t="s">
        <v>2185</v>
      </c>
      <c r="D223" s="972" t="s">
        <v>990</v>
      </c>
      <c r="E223" s="973" t="s">
        <v>991</v>
      </c>
      <c r="F223" s="973" t="s">
        <v>992</v>
      </c>
      <c r="G223" s="973" t="s">
        <v>1997</v>
      </c>
      <c r="H223" s="973" t="s">
        <v>1998</v>
      </c>
      <c r="I223" s="973" t="s">
        <v>1999</v>
      </c>
      <c r="J223" s="972" t="s">
        <v>697</v>
      </c>
      <c r="K223" s="973" t="s">
        <v>995</v>
      </c>
      <c r="L223" s="973" t="s">
        <v>996</v>
      </c>
      <c r="M223" s="973" t="s">
        <v>2000</v>
      </c>
      <c r="N223" s="973" t="s">
        <v>2001</v>
      </c>
      <c r="O223" s="972" t="s">
        <v>1971</v>
      </c>
      <c r="P223" s="973" t="s">
        <v>999</v>
      </c>
      <c r="Q223" s="973" t="s">
        <v>1000</v>
      </c>
      <c r="R223" s="973" t="s">
        <v>1001</v>
      </c>
      <c r="S223" s="973" t="s">
        <v>1002</v>
      </c>
      <c r="T223" s="423">
        <v>200</v>
      </c>
      <c r="U223" s="423" t="s">
        <v>1041</v>
      </c>
      <c r="V223" s="423">
        <v>60</v>
      </c>
      <c r="W223" s="423">
        <v>2</v>
      </c>
      <c r="X223" s="423">
        <v>9</v>
      </c>
      <c r="Y223" s="423" t="s">
        <v>1041</v>
      </c>
      <c r="Z223" s="423" t="s">
        <v>1057</v>
      </c>
      <c r="AD223" s="423">
        <f>IF(ISNUMBER(MATCH(B223,'FICHA SOLIC'!$AB$26:$AB$376,0)),1,0)</f>
        <v>1</v>
      </c>
      <c r="AE223" s="423" t="str">
        <f t="shared" si="3"/>
        <v>ChiguayanteZU1-B</v>
      </c>
    </row>
    <row r="224" spans="1:31" x14ac:dyDescent="0.25">
      <c r="A224" s="423">
        <v>223</v>
      </c>
      <c r="B224" s="423" t="s">
        <v>251</v>
      </c>
      <c r="C224" s="423" t="s">
        <v>2186</v>
      </c>
      <c r="D224" s="972" t="s">
        <v>990</v>
      </c>
      <c r="E224" s="973" t="s">
        <v>991</v>
      </c>
      <c r="F224" s="973" t="s">
        <v>992</v>
      </c>
      <c r="G224" s="973" t="s">
        <v>1997</v>
      </c>
      <c r="H224" s="973" t="s">
        <v>1998</v>
      </c>
      <c r="I224" s="973" t="s">
        <v>1999</v>
      </c>
      <c r="J224" s="972" t="s">
        <v>697</v>
      </c>
      <c r="K224" s="973" t="s">
        <v>995</v>
      </c>
      <c r="L224" s="973" t="s">
        <v>996</v>
      </c>
      <c r="M224" s="973" t="s">
        <v>2000</v>
      </c>
      <c r="N224" s="973" t="s">
        <v>2001</v>
      </c>
      <c r="O224" s="972" t="s">
        <v>1971</v>
      </c>
      <c r="P224" s="973" t="s">
        <v>999</v>
      </c>
      <c r="Q224" s="973" t="s">
        <v>1000</v>
      </c>
      <c r="R224" s="973" t="s">
        <v>1001</v>
      </c>
      <c r="S224" s="973" t="s">
        <v>1002</v>
      </c>
      <c r="T224" s="423">
        <v>300</v>
      </c>
      <c r="U224" s="423" t="s">
        <v>1041</v>
      </c>
      <c r="V224" s="423">
        <v>40</v>
      </c>
      <c r="W224" s="423">
        <v>1</v>
      </c>
      <c r="X224" s="423">
        <v>9</v>
      </c>
      <c r="Y224" s="423" t="s">
        <v>1041</v>
      </c>
      <c r="Z224" s="423" t="s">
        <v>1058</v>
      </c>
      <c r="AD224" s="423">
        <f>IF(ISNUMBER(MATCH(B224,'FICHA SOLIC'!$AB$26:$AB$376,0)),1,0)</f>
        <v>1</v>
      </c>
      <c r="AE224" s="423" t="str">
        <f t="shared" si="3"/>
        <v>ChiguayanteZU2-A</v>
      </c>
    </row>
    <row r="225" spans="1:31" x14ac:dyDescent="0.25">
      <c r="A225" s="423">
        <v>224</v>
      </c>
      <c r="B225" s="423" t="s">
        <v>251</v>
      </c>
      <c r="C225" s="423" t="s">
        <v>2187</v>
      </c>
      <c r="D225" s="972" t="s">
        <v>990</v>
      </c>
      <c r="E225" s="973" t="s">
        <v>991</v>
      </c>
      <c r="F225" s="973" t="s">
        <v>992</v>
      </c>
      <c r="G225" s="973" t="s">
        <v>1997</v>
      </c>
      <c r="H225" s="973" t="s">
        <v>1998</v>
      </c>
      <c r="I225" s="973" t="s">
        <v>1999</v>
      </c>
      <c r="J225" s="972" t="s">
        <v>697</v>
      </c>
      <c r="K225" s="973" t="s">
        <v>995</v>
      </c>
      <c r="L225" s="973" t="s">
        <v>996</v>
      </c>
      <c r="M225" s="973" t="s">
        <v>2000</v>
      </c>
      <c r="N225" s="973" t="s">
        <v>2001</v>
      </c>
      <c r="O225" s="972" t="s">
        <v>1971</v>
      </c>
      <c r="P225" s="973" t="s">
        <v>999</v>
      </c>
      <c r="Q225" s="973" t="s">
        <v>1000</v>
      </c>
      <c r="R225" s="973" t="s">
        <v>1001</v>
      </c>
      <c r="S225" s="973" t="s">
        <v>1002</v>
      </c>
      <c r="T225" s="423">
        <v>300</v>
      </c>
      <c r="U225" s="423" t="s">
        <v>1041</v>
      </c>
      <c r="V225" s="423">
        <v>40</v>
      </c>
      <c r="W225" s="423">
        <v>2.4</v>
      </c>
      <c r="X225" s="423">
        <v>9</v>
      </c>
      <c r="Y225" s="423" t="s">
        <v>1041</v>
      </c>
      <c r="Z225" s="423" t="s">
        <v>1058</v>
      </c>
      <c r="AD225" s="423">
        <f>IF(ISNUMBER(MATCH(B225,'FICHA SOLIC'!$AB$26:$AB$376,0)),1,0)</f>
        <v>1</v>
      </c>
      <c r="AE225" s="423" t="str">
        <f t="shared" si="3"/>
        <v>ChiguayanteZU2-A1</v>
      </c>
    </row>
    <row r="226" spans="1:31" x14ac:dyDescent="0.25">
      <c r="A226" s="423">
        <v>225</v>
      </c>
      <c r="B226" s="423" t="s">
        <v>251</v>
      </c>
      <c r="C226" s="423" t="s">
        <v>2188</v>
      </c>
      <c r="D226" s="972" t="s">
        <v>990</v>
      </c>
      <c r="E226" s="973" t="s">
        <v>991</v>
      </c>
      <c r="F226" s="973" t="s">
        <v>992</v>
      </c>
      <c r="G226" s="973" t="s">
        <v>1997</v>
      </c>
      <c r="H226" s="973" t="s">
        <v>1998</v>
      </c>
      <c r="I226" s="973" t="s">
        <v>1999</v>
      </c>
      <c r="J226" s="972" t="s">
        <v>697</v>
      </c>
      <c r="K226" s="973" t="s">
        <v>995</v>
      </c>
      <c r="L226" s="973" t="s">
        <v>996</v>
      </c>
      <c r="M226" s="973" t="s">
        <v>2000</v>
      </c>
      <c r="N226" s="973" t="s">
        <v>2001</v>
      </c>
      <c r="O226" s="972" t="s">
        <v>1971</v>
      </c>
      <c r="P226" s="973" t="s">
        <v>999</v>
      </c>
      <c r="Q226" s="973" t="s">
        <v>1000</v>
      </c>
      <c r="R226" s="973" t="s">
        <v>1001</v>
      </c>
      <c r="S226" s="973" t="s">
        <v>1002</v>
      </c>
      <c r="T226" s="423">
        <v>300</v>
      </c>
      <c r="U226" s="423" t="s">
        <v>1041</v>
      </c>
      <c r="V226" s="423">
        <v>40</v>
      </c>
      <c r="W226" s="423">
        <v>1</v>
      </c>
      <c r="X226" s="423">
        <v>9</v>
      </c>
      <c r="Y226" s="423" t="s">
        <v>1041</v>
      </c>
      <c r="Z226" s="423" t="s">
        <v>1058</v>
      </c>
      <c r="AD226" s="423">
        <f>IF(ISNUMBER(MATCH(B226,'FICHA SOLIC'!$AB$26:$AB$376,0)),1,0)</f>
        <v>1</v>
      </c>
      <c r="AE226" s="423" t="str">
        <f t="shared" si="3"/>
        <v>ChiguayanteZU2-A2</v>
      </c>
    </row>
    <row r="227" spans="1:31" x14ac:dyDescent="0.25">
      <c r="A227" s="423">
        <v>226</v>
      </c>
      <c r="B227" s="423" t="s">
        <v>251</v>
      </c>
      <c r="C227" s="423" t="s">
        <v>2189</v>
      </c>
      <c r="D227" s="972" t="s">
        <v>990</v>
      </c>
      <c r="E227" s="973" t="s">
        <v>991</v>
      </c>
      <c r="F227" s="973" t="s">
        <v>992</v>
      </c>
      <c r="G227" s="973" t="s">
        <v>1997</v>
      </c>
      <c r="H227" s="973" t="s">
        <v>1998</v>
      </c>
      <c r="I227" s="973" t="s">
        <v>1999</v>
      </c>
      <c r="J227" s="972" t="s">
        <v>697</v>
      </c>
      <c r="K227" s="973" t="s">
        <v>995</v>
      </c>
      <c r="L227" s="973" t="s">
        <v>996</v>
      </c>
      <c r="M227" s="973" t="s">
        <v>2000</v>
      </c>
      <c r="N227" s="973" t="s">
        <v>2001</v>
      </c>
      <c r="O227" s="972" t="s">
        <v>1971</v>
      </c>
      <c r="P227" s="973" t="s">
        <v>999</v>
      </c>
      <c r="Q227" s="973" t="s">
        <v>1000</v>
      </c>
      <c r="R227" s="973" t="s">
        <v>1001</v>
      </c>
      <c r="S227" s="973" t="s">
        <v>1002</v>
      </c>
      <c r="T227" s="423">
        <v>200</v>
      </c>
      <c r="U227" s="423" t="s">
        <v>1041</v>
      </c>
      <c r="V227" s="423">
        <v>60</v>
      </c>
      <c r="W227" s="423">
        <v>1</v>
      </c>
      <c r="X227" s="423">
        <v>9</v>
      </c>
      <c r="Y227" s="423" t="s">
        <v>1041</v>
      </c>
      <c r="Z227" s="423" t="s">
        <v>1057</v>
      </c>
      <c r="AD227" s="423">
        <f>IF(ISNUMBER(MATCH(B227,'FICHA SOLIC'!$AB$26:$AB$376,0)),1,0)</f>
        <v>1</v>
      </c>
      <c r="AE227" s="423" t="str">
        <f t="shared" si="3"/>
        <v>ChiguayanteZU2-B</v>
      </c>
    </row>
    <row r="228" spans="1:31" x14ac:dyDescent="0.25">
      <c r="A228" s="423">
        <v>227</v>
      </c>
      <c r="B228" s="423" t="s">
        <v>251</v>
      </c>
      <c r="C228" s="423" t="s">
        <v>2190</v>
      </c>
      <c r="D228" s="972" t="s">
        <v>990</v>
      </c>
      <c r="E228" s="973" t="s">
        <v>991</v>
      </c>
      <c r="F228" s="973" t="s">
        <v>992</v>
      </c>
      <c r="G228" s="973" t="s">
        <v>1997</v>
      </c>
      <c r="H228" s="973" t="s">
        <v>1998</v>
      </c>
      <c r="I228" s="973" t="s">
        <v>1999</v>
      </c>
      <c r="J228" s="972" t="s">
        <v>697</v>
      </c>
      <c r="K228" s="973" t="s">
        <v>995</v>
      </c>
      <c r="L228" s="973" t="s">
        <v>996</v>
      </c>
      <c r="M228" s="973" t="s">
        <v>2000</v>
      </c>
      <c r="N228" s="973" t="s">
        <v>2001</v>
      </c>
      <c r="O228" s="972" t="s">
        <v>1971</v>
      </c>
      <c r="P228" s="973" t="s">
        <v>999</v>
      </c>
      <c r="Q228" s="973" t="s">
        <v>1000</v>
      </c>
      <c r="R228" s="973" t="s">
        <v>1001</v>
      </c>
      <c r="S228" s="973" t="s">
        <v>1002</v>
      </c>
      <c r="T228" s="423">
        <v>200</v>
      </c>
      <c r="U228" s="423" t="s">
        <v>1041</v>
      </c>
      <c r="V228" s="423">
        <v>60</v>
      </c>
      <c r="W228" s="423">
        <v>3.8</v>
      </c>
      <c r="X228" s="423">
        <v>9</v>
      </c>
      <c r="Y228" s="423" t="s">
        <v>1041</v>
      </c>
      <c r="Z228" s="423" t="s">
        <v>1057</v>
      </c>
      <c r="AD228" s="423">
        <f>IF(ISNUMBER(MATCH(B228,'FICHA SOLIC'!$AB$26:$AB$376,0)),1,0)</f>
        <v>1</v>
      </c>
      <c r="AE228" s="423" t="str">
        <f t="shared" si="3"/>
        <v>ChiguayanteZU3-A</v>
      </c>
    </row>
    <row r="229" spans="1:31" x14ac:dyDescent="0.25">
      <c r="A229" s="423">
        <v>228</v>
      </c>
      <c r="B229" s="423" t="s">
        <v>251</v>
      </c>
      <c r="C229" s="423" t="s">
        <v>2191</v>
      </c>
      <c r="D229" s="972" t="s">
        <v>990</v>
      </c>
      <c r="E229" s="973" t="s">
        <v>991</v>
      </c>
      <c r="F229" s="973" t="s">
        <v>992</v>
      </c>
      <c r="G229" s="973" t="s">
        <v>1997</v>
      </c>
      <c r="H229" s="973" t="s">
        <v>1998</v>
      </c>
      <c r="I229" s="973" t="s">
        <v>1999</v>
      </c>
      <c r="J229" s="972" t="s">
        <v>697</v>
      </c>
      <c r="K229" s="973" t="s">
        <v>995</v>
      </c>
      <c r="L229" s="973" t="s">
        <v>996</v>
      </c>
      <c r="M229" s="973" t="s">
        <v>2000</v>
      </c>
      <c r="N229" s="973" t="s">
        <v>2001</v>
      </c>
      <c r="O229" s="972" t="s">
        <v>1971</v>
      </c>
      <c r="P229" s="973" t="s">
        <v>999</v>
      </c>
      <c r="Q229" s="973" t="s">
        <v>1000</v>
      </c>
      <c r="R229" s="973" t="s">
        <v>1001</v>
      </c>
      <c r="S229" s="973" t="s">
        <v>1002</v>
      </c>
      <c r="T229" s="423">
        <v>200</v>
      </c>
      <c r="U229" s="423" t="s">
        <v>1041</v>
      </c>
      <c r="V229" s="423">
        <v>60</v>
      </c>
      <c r="W229" s="423">
        <v>3.2</v>
      </c>
      <c r="X229" s="423">
        <v>24</v>
      </c>
      <c r="Y229" s="423" t="s">
        <v>1041</v>
      </c>
      <c r="Z229" s="423" t="s">
        <v>1057</v>
      </c>
      <c r="AD229" s="423">
        <f>IF(ISNUMBER(MATCH(B229,'FICHA SOLIC'!$AB$26:$AB$376,0)),1,0)</f>
        <v>1</v>
      </c>
      <c r="AE229" s="423" t="str">
        <f t="shared" si="3"/>
        <v>ChiguayanteZU3-B</v>
      </c>
    </row>
    <row r="230" spans="1:31" x14ac:dyDescent="0.25">
      <c r="A230" s="423">
        <v>229</v>
      </c>
      <c r="B230" s="423" t="s">
        <v>251</v>
      </c>
      <c r="C230" s="423" t="s">
        <v>1244</v>
      </c>
      <c r="D230" s="972" t="s">
        <v>990</v>
      </c>
      <c r="E230" s="973" t="s">
        <v>991</v>
      </c>
      <c r="F230" s="973" t="s">
        <v>992</v>
      </c>
      <c r="G230" s="973" t="s">
        <v>1997</v>
      </c>
      <c r="H230" s="973" t="s">
        <v>1998</v>
      </c>
      <c r="I230" s="973" t="s">
        <v>1999</v>
      </c>
      <c r="J230" s="972" t="s">
        <v>697</v>
      </c>
      <c r="K230" s="973" t="s">
        <v>995</v>
      </c>
      <c r="L230" s="973" t="s">
        <v>996</v>
      </c>
      <c r="M230" s="973" t="s">
        <v>2000</v>
      </c>
      <c r="N230" s="973" t="s">
        <v>2001</v>
      </c>
      <c r="O230" s="972" t="s">
        <v>1971</v>
      </c>
      <c r="P230" s="973" t="s">
        <v>999</v>
      </c>
      <c r="Q230" s="973" t="s">
        <v>1000</v>
      </c>
      <c r="R230" s="973" t="s">
        <v>1001</v>
      </c>
      <c r="S230" s="973" t="s">
        <v>1002</v>
      </c>
      <c r="T230" s="423">
        <v>160</v>
      </c>
      <c r="U230" s="423" t="s">
        <v>1041</v>
      </c>
      <c r="V230" s="423">
        <v>80</v>
      </c>
      <c r="W230" s="423">
        <v>3.8</v>
      </c>
      <c r="X230" s="423">
        <v>24</v>
      </c>
      <c r="Y230" s="423" t="s">
        <v>1041</v>
      </c>
      <c r="Z230" s="423" t="s">
        <v>1059</v>
      </c>
      <c r="AD230" s="423">
        <f>IF(ISNUMBER(MATCH(B230,'FICHA SOLIC'!$AB$26:$AB$376,0)),1,0)</f>
        <v>1</v>
      </c>
      <c r="AE230" s="423" t="str">
        <f t="shared" si="3"/>
        <v>ChiguayanteZU-4</v>
      </c>
    </row>
    <row r="231" spans="1:31" x14ac:dyDescent="0.25">
      <c r="A231" s="423">
        <v>230</v>
      </c>
      <c r="B231" s="423" t="s">
        <v>251</v>
      </c>
      <c r="C231" s="423" t="s">
        <v>1245</v>
      </c>
      <c r="D231" s="972" t="s">
        <v>990</v>
      </c>
      <c r="E231" s="973" t="s">
        <v>991</v>
      </c>
      <c r="F231" s="973" t="s">
        <v>992</v>
      </c>
      <c r="G231" s="973" t="s">
        <v>1997</v>
      </c>
      <c r="H231" s="973" t="s">
        <v>1998</v>
      </c>
      <c r="I231" s="973" t="s">
        <v>1999</v>
      </c>
      <c r="J231" s="972" t="s">
        <v>697</v>
      </c>
      <c r="K231" s="973" t="s">
        <v>995</v>
      </c>
      <c r="L231" s="973" t="s">
        <v>996</v>
      </c>
      <c r="M231" s="973" t="s">
        <v>2000</v>
      </c>
      <c r="N231" s="973" t="s">
        <v>2001</v>
      </c>
      <c r="O231" s="972" t="s">
        <v>1971</v>
      </c>
      <c r="P231" s="973" t="s">
        <v>999</v>
      </c>
      <c r="Q231" s="973" t="s">
        <v>1000</v>
      </c>
      <c r="R231" s="973" t="s">
        <v>1001</v>
      </c>
      <c r="S231" s="973" t="s">
        <v>1002</v>
      </c>
      <c r="T231" s="423">
        <v>400</v>
      </c>
      <c r="U231" s="423" t="s">
        <v>1041</v>
      </c>
      <c r="V231" s="423">
        <v>70</v>
      </c>
      <c r="W231" s="423">
        <v>6</v>
      </c>
      <c r="X231" s="423">
        <v>24.5</v>
      </c>
      <c r="Y231" s="423" t="s">
        <v>1041</v>
      </c>
      <c r="Z231" s="423" t="s">
        <v>1059</v>
      </c>
      <c r="AD231" s="423">
        <f>IF(ISNUMBER(MATCH(B231,'FICHA SOLIC'!$AB$26:$AB$376,0)),1,0)</f>
        <v>1</v>
      </c>
      <c r="AE231" s="423" t="str">
        <f t="shared" si="3"/>
        <v>ChiguayanteZU-5</v>
      </c>
    </row>
    <row r="232" spans="1:31" x14ac:dyDescent="0.25">
      <c r="A232" s="423">
        <v>231</v>
      </c>
      <c r="B232" s="423" t="s">
        <v>251</v>
      </c>
      <c r="C232" s="423" t="s">
        <v>1246</v>
      </c>
      <c r="D232" s="972" t="s">
        <v>990</v>
      </c>
      <c r="E232" s="973" t="s">
        <v>991</v>
      </c>
      <c r="F232" s="973" t="s">
        <v>992</v>
      </c>
      <c r="G232" s="973" t="s">
        <v>1997</v>
      </c>
      <c r="H232" s="973" t="s">
        <v>1998</v>
      </c>
      <c r="I232" s="973" t="s">
        <v>1999</v>
      </c>
      <c r="J232" s="972" t="s">
        <v>697</v>
      </c>
      <c r="K232" s="973" t="s">
        <v>995</v>
      </c>
      <c r="L232" s="973" t="s">
        <v>996</v>
      </c>
      <c r="M232" s="973" t="s">
        <v>2000</v>
      </c>
      <c r="N232" s="973" t="s">
        <v>2001</v>
      </c>
      <c r="O232" s="972" t="s">
        <v>1971</v>
      </c>
      <c r="P232" s="973" t="s">
        <v>999</v>
      </c>
      <c r="Q232" s="973" t="s">
        <v>1000</v>
      </c>
      <c r="R232" s="973" t="s">
        <v>1001</v>
      </c>
      <c r="S232" s="973" t="s">
        <v>1002</v>
      </c>
      <c r="T232" s="423">
        <v>200</v>
      </c>
      <c r="U232" s="423" t="s">
        <v>1041</v>
      </c>
      <c r="V232" s="423">
        <v>80</v>
      </c>
      <c r="W232" s="423">
        <v>3.2</v>
      </c>
      <c r="X232" s="423">
        <v>16.5</v>
      </c>
      <c r="Y232" s="423" t="s">
        <v>1041</v>
      </c>
      <c r="Z232" s="423" t="s">
        <v>1059</v>
      </c>
      <c r="AD232" s="423">
        <f>IF(ISNUMBER(MATCH(B232,'FICHA SOLIC'!$AB$26:$AB$376,0)),1,0)</f>
        <v>1</v>
      </c>
      <c r="AE232" s="423" t="str">
        <f t="shared" si="3"/>
        <v>ChiguayanteZU-6</v>
      </c>
    </row>
    <row r="233" spans="1:31" x14ac:dyDescent="0.25">
      <c r="A233" s="423">
        <v>232</v>
      </c>
      <c r="B233" s="423" t="s">
        <v>251</v>
      </c>
      <c r="C233" s="423" t="s">
        <v>1247</v>
      </c>
      <c r="D233" s="972" t="s">
        <v>990</v>
      </c>
      <c r="E233" s="973" t="s">
        <v>991</v>
      </c>
      <c r="F233" s="973" t="s">
        <v>992</v>
      </c>
      <c r="G233" s="973" t="s">
        <v>1997</v>
      </c>
      <c r="H233" s="973" t="s">
        <v>1998</v>
      </c>
      <c r="I233" s="973" t="s">
        <v>1999</v>
      </c>
      <c r="J233" s="972" t="s">
        <v>697</v>
      </c>
      <c r="K233" s="973" t="s">
        <v>995</v>
      </c>
      <c r="L233" s="973" t="s">
        <v>996</v>
      </c>
      <c r="M233" s="973" t="s">
        <v>2000</v>
      </c>
      <c r="N233" s="973" t="s">
        <v>2001</v>
      </c>
      <c r="O233" s="972" t="s">
        <v>1971</v>
      </c>
      <c r="P233" s="973" t="s">
        <v>999</v>
      </c>
      <c r="Q233" s="973" t="s">
        <v>1000</v>
      </c>
      <c r="R233" s="973" t="s">
        <v>1001</v>
      </c>
      <c r="S233" s="973" t="s">
        <v>1002</v>
      </c>
      <c r="T233" s="423">
        <v>300</v>
      </c>
      <c r="U233" s="423" t="s">
        <v>1041</v>
      </c>
      <c r="V233" s="423">
        <v>60</v>
      </c>
      <c r="W233" s="423">
        <v>3.2</v>
      </c>
      <c r="X233" s="423">
        <v>16.5</v>
      </c>
      <c r="Y233" s="423" t="s">
        <v>1041</v>
      </c>
      <c r="Z233" s="423" t="s">
        <v>1059</v>
      </c>
      <c r="AD233" s="423">
        <f>IF(ISNUMBER(MATCH(B233,'FICHA SOLIC'!$AB$26:$AB$376,0)),1,0)</f>
        <v>1</v>
      </c>
      <c r="AE233" s="423" t="str">
        <f t="shared" si="3"/>
        <v>ChiguayanteZU-7</v>
      </c>
    </row>
    <row r="234" spans="1:31" x14ac:dyDescent="0.25">
      <c r="A234" s="423">
        <v>233</v>
      </c>
      <c r="B234" s="423" t="s">
        <v>251</v>
      </c>
      <c r="C234" s="423" t="s">
        <v>2192</v>
      </c>
      <c r="D234" s="972" t="s">
        <v>990</v>
      </c>
      <c r="E234" s="973" t="s">
        <v>991</v>
      </c>
      <c r="F234" s="973" t="s">
        <v>992</v>
      </c>
      <c r="G234" s="973" t="s">
        <v>1997</v>
      </c>
      <c r="H234" s="973" t="s">
        <v>1998</v>
      </c>
      <c r="I234" s="973" t="s">
        <v>1999</v>
      </c>
      <c r="J234" s="972" t="s">
        <v>697</v>
      </c>
      <c r="K234" s="973" t="s">
        <v>995</v>
      </c>
      <c r="L234" s="973" t="s">
        <v>996</v>
      </c>
      <c r="M234" s="973" t="s">
        <v>2000</v>
      </c>
      <c r="N234" s="973" t="s">
        <v>2001</v>
      </c>
      <c r="O234" s="972" t="s">
        <v>1971</v>
      </c>
      <c r="P234" s="973" t="s">
        <v>999</v>
      </c>
      <c r="Q234" s="973" t="s">
        <v>1000</v>
      </c>
      <c r="R234" s="973" t="s">
        <v>1001</v>
      </c>
      <c r="S234" s="973" t="s">
        <v>1002</v>
      </c>
      <c r="T234" s="423">
        <v>200</v>
      </c>
      <c r="U234" s="423" t="s">
        <v>1041</v>
      </c>
      <c r="V234" s="423">
        <v>60</v>
      </c>
      <c r="W234" s="423">
        <v>3</v>
      </c>
      <c r="X234" s="423">
        <v>24</v>
      </c>
      <c r="Y234" s="423" t="s">
        <v>1041</v>
      </c>
      <c r="Z234" s="423" t="s">
        <v>1058</v>
      </c>
      <c r="AD234" s="423">
        <f>IF(ISNUMBER(MATCH(B234,'FICHA SOLIC'!$AB$26:$AB$376,0)),1,0)</f>
        <v>1</v>
      </c>
      <c r="AE234" s="423" t="str">
        <f t="shared" si="3"/>
        <v>ChiguayanteZU-8-1</v>
      </c>
    </row>
    <row r="235" spans="1:31" x14ac:dyDescent="0.25">
      <c r="A235" s="423">
        <v>234</v>
      </c>
      <c r="B235" s="423" t="s">
        <v>282</v>
      </c>
      <c r="C235" s="423" t="s">
        <v>2193</v>
      </c>
      <c r="D235" s="972" t="s">
        <v>990</v>
      </c>
      <c r="E235" s="973" t="s">
        <v>991</v>
      </c>
      <c r="F235" s="973" t="s">
        <v>992</v>
      </c>
      <c r="G235" s="973" t="s">
        <v>1997</v>
      </c>
      <c r="H235" s="973" t="s">
        <v>1998</v>
      </c>
      <c r="I235" s="973" t="s">
        <v>1999</v>
      </c>
      <c r="J235" s="972" t="s">
        <v>697</v>
      </c>
      <c r="K235" s="973" t="s">
        <v>995</v>
      </c>
      <c r="L235" s="973" t="s">
        <v>996</v>
      </c>
      <c r="M235" s="973" t="s">
        <v>2000</v>
      </c>
      <c r="N235" s="973" t="s">
        <v>2001</v>
      </c>
      <c r="O235" s="972" t="s">
        <v>1971</v>
      </c>
      <c r="P235" s="973" t="s">
        <v>999</v>
      </c>
      <c r="Q235" s="973" t="s">
        <v>1000</v>
      </c>
      <c r="R235" s="973" t="s">
        <v>1001</v>
      </c>
      <c r="S235" s="973" t="s">
        <v>1002</v>
      </c>
      <c r="T235" s="423">
        <v>300</v>
      </c>
      <c r="V235" s="423">
        <v>0.7</v>
      </c>
      <c r="AD235" s="423">
        <f>IF(ISNUMBER(MATCH(B235,'FICHA SOLIC'!$AB$26:$AB$376,0)),1,0)</f>
        <v>1</v>
      </c>
      <c r="AE235" s="423" t="str">
        <f t="shared" si="3"/>
        <v>ChillánZBA</v>
      </c>
    </row>
    <row r="236" spans="1:31" x14ac:dyDescent="0.25">
      <c r="A236" s="423">
        <v>235</v>
      </c>
      <c r="B236" s="423" t="s">
        <v>282</v>
      </c>
      <c r="C236" s="423" t="s">
        <v>1460</v>
      </c>
      <c r="D236" s="972" t="s">
        <v>990</v>
      </c>
      <c r="E236" s="973" t="s">
        <v>991</v>
      </c>
      <c r="F236" s="973" t="s">
        <v>992</v>
      </c>
      <c r="G236" s="973" t="s">
        <v>1997</v>
      </c>
      <c r="H236" s="973" t="s">
        <v>1998</v>
      </c>
      <c r="I236" s="973" t="s">
        <v>1999</v>
      </c>
      <c r="J236" s="972" t="s">
        <v>697</v>
      </c>
      <c r="K236" s="973" t="s">
        <v>995</v>
      </c>
      <c r="L236" s="973" t="s">
        <v>996</v>
      </c>
      <c r="M236" s="973" t="s">
        <v>2000</v>
      </c>
      <c r="N236" s="973" t="s">
        <v>2001</v>
      </c>
      <c r="O236" s="972" t="s">
        <v>1971</v>
      </c>
      <c r="P236" s="973" t="s">
        <v>999</v>
      </c>
      <c r="Q236" s="973" t="s">
        <v>1000</v>
      </c>
      <c r="R236" s="973" t="s">
        <v>1001</v>
      </c>
      <c r="S236" s="973" t="s">
        <v>1002</v>
      </c>
      <c r="T236" s="423">
        <v>600</v>
      </c>
      <c r="V236" s="423">
        <v>1</v>
      </c>
      <c r="W236" s="423">
        <v>8</v>
      </c>
      <c r="X236" s="423">
        <v>15</v>
      </c>
      <c r="Z236" s="423" t="s">
        <v>1653</v>
      </c>
      <c r="AD236" s="423">
        <f>IF(ISNUMBER(MATCH(B236,'FICHA SOLIC'!$AB$26:$AB$376,0)),1,0)</f>
        <v>1</v>
      </c>
      <c r="AE236" s="423" t="str">
        <f t="shared" si="3"/>
        <v>ChillánZC-1</v>
      </c>
    </row>
    <row r="237" spans="1:31" x14ac:dyDescent="0.25">
      <c r="A237" s="423">
        <v>236</v>
      </c>
      <c r="B237" s="423" t="s">
        <v>282</v>
      </c>
      <c r="C237" s="423" t="s">
        <v>1461</v>
      </c>
      <c r="D237" s="972" t="s">
        <v>990</v>
      </c>
      <c r="E237" s="973" t="s">
        <v>991</v>
      </c>
      <c r="F237" s="973" t="s">
        <v>992</v>
      </c>
      <c r="G237" s="973" t="s">
        <v>1997</v>
      </c>
      <c r="H237" s="973" t="s">
        <v>1998</v>
      </c>
      <c r="I237" s="973" t="s">
        <v>1999</v>
      </c>
      <c r="J237" s="972" t="s">
        <v>697</v>
      </c>
      <c r="K237" s="973" t="s">
        <v>995</v>
      </c>
      <c r="L237" s="973" t="s">
        <v>996</v>
      </c>
      <c r="M237" s="973" t="s">
        <v>2000</v>
      </c>
      <c r="N237" s="973" t="s">
        <v>2001</v>
      </c>
      <c r="O237" s="972" t="s">
        <v>1971</v>
      </c>
      <c r="P237" s="973" t="s">
        <v>999</v>
      </c>
      <c r="Q237" s="973" t="s">
        <v>1000</v>
      </c>
      <c r="R237" s="973" t="s">
        <v>1001</v>
      </c>
      <c r="S237" s="973" t="s">
        <v>1002</v>
      </c>
      <c r="T237" s="423">
        <v>600</v>
      </c>
      <c r="V237" s="423">
        <v>0.9</v>
      </c>
      <c r="W237" s="423">
        <v>5</v>
      </c>
      <c r="X237" s="423">
        <v>30</v>
      </c>
      <c r="Z237" s="423" t="s">
        <v>1059</v>
      </c>
      <c r="AD237" s="423">
        <f>IF(ISNUMBER(MATCH(B237,'FICHA SOLIC'!$AB$26:$AB$376,0)),1,0)</f>
        <v>1</v>
      </c>
      <c r="AE237" s="423" t="str">
        <f t="shared" si="3"/>
        <v>ChillánZC-2</v>
      </c>
    </row>
    <row r="238" spans="1:31" x14ac:dyDescent="0.25">
      <c r="A238" s="423">
        <v>237</v>
      </c>
      <c r="B238" s="423" t="s">
        <v>282</v>
      </c>
      <c r="C238" s="423" t="s">
        <v>1462</v>
      </c>
      <c r="D238" s="972" t="s">
        <v>990</v>
      </c>
      <c r="E238" s="973" t="s">
        <v>991</v>
      </c>
      <c r="F238" s="973" t="s">
        <v>992</v>
      </c>
      <c r="G238" s="973" t="s">
        <v>1997</v>
      </c>
      <c r="H238" s="973" t="s">
        <v>1998</v>
      </c>
      <c r="I238" s="973" t="s">
        <v>1999</v>
      </c>
      <c r="J238" s="972" t="s">
        <v>697</v>
      </c>
      <c r="K238" s="973" t="s">
        <v>995</v>
      </c>
      <c r="L238" s="973" t="s">
        <v>996</v>
      </c>
      <c r="M238" s="973" t="s">
        <v>2000</v>
      </c>
      <c r="N238" s="973" t="s">
        <v>2001</v>
      </c>
      <c r="O238" s="972" t="s">
        <v>1971</v>
      </c>
      <c r="P238" s="973" t="s">
        <v>999</v>
      </c>
      <c r="Q238" s="973" t="s">
        <v>1000</v>
      </c>
      <c r="R238" s="973" t="s">
        <v>1001</v>
      </c>
      <c r="S238" s="973" t="s">
        <v>1002</v>
      </c>
      <c r="T238" s="423">
        <v>600</v>
      </c>
      <c r="V238" s="423">
        <v>1</v>
      </c>
      <c r="W238" s="423">
        <v>8</v>
      </c>
      <c r="X238" s="423">
        <v>25</v>
      </c>
      <c r="Z238" s="423" t="s">
        <v>1653</v>
      </c>
      <c r="AD238" s="423">
        <f>IF(ISNUMBER(MATCH(B238,'FICHA SOLIC'!$AB$26:$AB$376,0)),1,0)</f>
        <v>1</v>
      </c>
      <c r="AE238" s="423" t="str">
        <f t="shared" si="3"/>
        <v>ChillánZC-3</v>
      </c>
    </row>
    <row r="239" spans="1:31" x14ac:dyDescent="0.25">
      <c r="A239" s="423">
        <v>238</v>
      </c>
      <c r="B239" s="423" t="s">
        <v>282</v>
      </c>
      <c r="C239" s="423" t="s">
        <v>1454</v>
      </c>
      <c r="D239" s="972" t="s">
        <v>990</v>
      </c>
      <c r="E239" s="973" t="s">
        <v>991</v>
      </c>
      <c r="F239" s="973" t="s">
        <v>992</v>
      </c>
      <c r="G239" s="973" t="s">
        <v>1997</v>
      </c>
      <c r="H239" s="973" t="s">
        <v>1998</v>
      </c>
      <c r="I239" s="973" t="s">
        <v>1999</v>
      </c>
      <c r="J239" s="972" t="s">
        <v>697</v>
      </c>
      <c r="K239" s="973" t="s">
        <v>995</v>
      </c>
      <c r="L239" s="973" t="s">
        <v>996</v>
      </c>
      <c r="M239" s="973" t="s">
        <v>2000</v>
      </c>
      <c r="N239" s="973" t="s">
        <v>2001</v>
      </c>
      <c r="O239" s="972" t="s">
        <v>1971</v>
      </c>
      <c r="P239" s="973" t="s">
        <v>999</v>
      </c>
      <c r="Q239" s="973" t="s">
        <v>1000</v>
      </c>
      <c r="R239" s="973" t="s">
        <v>1001</v>
      </c>
      <c r="S239" s="973" t="s">
        <v>1002</v>
      </c>
      <c r="T239" s="423">
        <v>2500</v>
      </c>
      <c r="V239" s="423">
        <v>0.2</v>
      </c>
      <c r="W239" s="423">
        <v>0.2</v>
      </c>
      <c r="X239" s="423">
        <v>15</v>
      </c>
      <c r="Z239" s="423" t="s">
        <v>1058</v>
      </c>
      <c r="AD239" s="423">
        <f>IF(ISNUMBER(MATCH(B239,'FICHA SOLIC'!$AB$26:$AB$376,0)),1,0)</f>
        <v>1</v>
      </c>
      <c r="AE239" s="423" t="str">
        <f t="shared" si="3"/>
        <v>ChillánZE-1</v>
      </c>
    </row>
    <row r="240" spans="1:31" x14ac:dyDescent="0.25">
      <c r="A240" s="423">
        <v>239</v>
      </c>
      <c r="B240" s="423" t="s">
        <v>282</v>
      </c>
      <c r="C240" s="423" t="s">
        <v>1474</v>
      </c>
      <c r="D240" s="972" t="s">
        <v>990</v>
      </c>
      <c r="E240" s="973" t="s">
        <v>991</v>
      </c>
      <c r="F240" s="973" t="s">
        <v>992</v>
      </c>
      <c r="G240" s="973" t="s">
        <v>1997</v>
      </c>
      <c r="H240" s="973" t="s">
        <v>1998</v>
      </c>
      <c r="I240" s="973" t="s">
        <v>1999</v>
      </c>
      <c r="J240" s="972" t="s">
        <v>697</v>
      </c>
      <c r="K240" s="973" t="s">
        <v>995</v>
      </c>
      <c r="L240" s="973" t="s">
        <v>996</v>
      </c>
      <c r="M240" s="973" t="s">
        <v>2000</v>
      </c>
      <c r="N240" s="973" t="s">
        <v>2001</v>
      </c>
      <c r="O240" s="972" t="s">
        <v>1971</v>
      </c>
      <c r="P240" s="973" t="s">
        <v>999</v>
      </c>
      <c r="Q240" s="973" t="s">
        <v>1000</v>
      </c>
      <c r="R240" s="973" t="s">
        <v>1001</v>
      </c>
      <c r="S240" s="973" t="s">
        <v>1002</v>
      </c>
      <c r="T240" s="423">
        <v>1000</v>
      </c>
      <c r="V240" s="423">
        <v>0.5</v>
      </c>
      <c r="W240" s="423">
        <v>1.5</v>
      </c>
      <c r="X240" s="423">
        <v>12</v>
      </c>
      <c r="Z240" s="423" t="s">
        <v>1058</v>
      </c>
      <c r="AD240" s="423">
        <f>IF(ISNUMBER(MATCH(B240,'FICHA SOLIC'!$AB$26:$AB$376,0)),1,0)</f>
        <v>1</v>
      </c>
      <c r="AE240" s="423" t="str">
        <f t="shared" si="3"/>
        <v>ChillánZE-2</v>
      </c>
    </row>
    <row r="241" spans="1:31" x14ac:dyDescent="0.25">
      <c r="A241" s="423">
        <v>240</v>
      </c>
      <c r="B241" s="423" t="s">
        <v>282</v>
      </c>
      <c r="C241" s="423" t="s">
        <v>1475</v>
      </c>
      <c r="D241" s="972" t="s">
        <v>990</v>
      </c>
      <c r="E241" s="973" t="s">
        <v>991</v>
      </c>
      <c r="F241" s="973" t="s">
        <v>992</v>
      </c>
      <c r="G241" s="973" t="s">
        <v>1997</v>
      </c>
      <c r="H241" s="973" t="s">
        <v>1998</v>
      </c>
      <c r="I241" s="973" t="s">
        <v>1999</v>
      </c>
      <c r="J241" s="972" t="s">
        <v>697</v>
      </c>
      <c r="K241" s="973" t="s">
        <v>995</v>
      </c>
      <c r="L241" s="973" t="s">
        <v>996</v>
      </c>
      <c r="M241" s="973" t="s">
        <v>2000</v>
      </c>
      <c r="N241" s="973" t="s">
        <v>2001</v>
      </c>
      <c r="O241" s="972" t="s">
        <v>1971</v>
      </c>
      <c r="P241" s="973" t="s">
        <v>999</v>
      </c>
      <c r="Q241" s="973" t="s">
        <v>1000</v>
      </c>
      <c r="R241" s="973" t="s">
        <v>1001</v>
      </c>
      <c r="S241" s="973" t="s">
        <v>1002</v>
      </c>
      <c r="T241" s="423">
        <v>2500</v>
      </c>
      <c r="Z241" s="423" t="s">
        <v>1058</v>
      </c>
      <c r="AD241" s="423">
        <f>IF(ISNUMBER(MATCH(B241,'FICHA SOLIC'!$AB$26:$AB$376,0)),1,0)</f>
        <v>1</v>
      </c>
      <c r="AE241" s="423" t="str">
        <f t="shared" si="3"/>
        <v>ChillánZE-3</v>
      </c>
    </row>
    <row r="242" spans="1:31" x14ac:dyDescent="0.25">
      <c r="A242" s="423">
        <v>241</v>
      </c>
      <c r="B242" s="423" t="s">
        <v>282</v>
      </c>
      <c r="C242" s="423" t="s">
        <v>1476</v>
      </c>
      <c r="D242" s="972" t="s">
        <v>990</v>
      </c>
      <c r="E242" s="973" t="s">
        <v>991</v>
      </c>
      <c r="F242" s="973" t="s">
        <v>992</v>
      </c>
      <c r="G242" s="973" t="s">
        <v>1997</v>
      </c>
      <c r="H242" s="973" t="s">
        <v>1998</v>
      </c>
      <c r="I242" s="973" t="s">
        <v>1999</v>
      </c>
      <c r="J242" s="972" t="s">
        <v>697</v>
      </c>
      <c r="K242" s="973" t="s">
        <v>995</v>
      </c>
      <c r="L242" s="973" t="s">
        <v>996</v>
      </c>
      <c r="M242" s="973" t="s">
        <v>2000</v>
      </c>
      <c r="N242" s="973" t="s">
        <v>2001</v>
      </c>
      <c r="O242" s="972" t="s">
        <v>1971</v>
      </c>
      <c r="P242" s="973" t="s">
        <v>999</v>
      </c>
      <c r="Q242" s="973" t="s">
        <v>1000</v>
      </c>
      <c r="R242" s="973" t="s">
        <v>1001</v>
      </c>
      <c r="S242" s="973" t="s">
        <v>1002</v>
      </c>
      <c r="T242" s="423">
        <v>2500</v>
      </c>
      <c r="V242" s="423">
        <v>0.5</v>
      </c>
      <c r="W242" s="423">
        <v>1</v>
      </c>
      <c r="X242" s="423">
        <v>15</v>
      </c>
      <c r="Z242" s="423" t="s">
        <v>1058</v>
      </c>
      <c r="AD242" s="423">
        <f>IF(ISNUMBER(MATCH(B242,'FICHA SOLIC'!$AB$26:$AB$376,0)),1,0)</f>
        <v>1</v>
      </c>
      <c r="AE242" s="423" t="str">
        <f t="shared" si="3"/>
        <v>ChillánZE-4</v>
      </c>
    </row>
    <row r="243" spans="1:31" x14ac:dyDescent="0.25">
      <c r="A243" s="423">
        <v>242</v>
      </c>
      <c r="B243" s="423" t="s">
        <v>282</v>
      </c>
      <c r="C243" s="423" t="s">
        <v>1477</v>
      </c>
      <c r="D243" s="972" t="s">
        <v>990</v>
      </c>
      <c r="E243" s="973" t="s">
        <v>991</v>
      </c>
      <c r="F243" s="973" t="s">
        <v>992</v>
      </c>
      <c r="G243" s="973" t="s">
        <v>1997</v>
      </c>
      <c r="H243" s="973" t="s">
        <v>1998</v>
      </c>
      <c r="I243" s="973" t="s">
        <v>1999</v>
      </c>
      <c r="J243" s="972" t="s">
        <v>697</v>
      </c>
      <c r="K243" s="973" t="s">
        <v>995</v>
      </c>
      <c r="L243" s="973" t="s">
        <v>996</v>
      </c>
      <c r="M243" s="973" t="s">
        <v>2000</v>
      </c>
      <c r="N243" s="973" t="s">
        <v>2001</v>
      </c>
      <c r="O243" s="972" t="s">
        <v>1971</v>
      </c>
      <c r="P243" s="973" t="s">
        <v>999</v>
      </c>
      <c r="Q243" s="973" t="s">
        <v>1000</v>
      </c>
      <c r="R243" s="973" t="s">
        <v>1001</v>
      </c>
      <c r="S243" s="973" t="s">
        <v>1002</v>
      </c>
      <c r="T243" s="423">
        <v>2000</v>
      </c>
      <c r="V243" s="423">
        <v>0.8</v>
      </c>
      <c r="W243" s="423">
        <v>2</v>
      </c>
      <c r="X243" s="423">
        <v>35</v>
      </c>
      <c r="Z243" s="423" t="s">
        <v>1058</v>
      </c>
      <c r="AD243" s="423">
        <f>IF(ISNUMBER(MATCH(B243,'FICHA SOLIC'!$AB$26:$AB$376,0)),1,0)</f>
        <v>1</v>
      </c>
      <c r="AE243" s="423" t="str">
        <f t="shared" si="3"/>
        <v>ChillánZE-5</v>
      </c>
    </row>
    <row r="244" spans="1:31" x14ac:dyDescent="0.25">
      <c r="A244" s="423">
        <v>243</v>
      </c>
      <c r="B244" s="423" t="s">
        <v>282</v>
      </c>
      <c r="C244" s="423" t="s">
        <v>1464</v>
      </c>
      <c r="D244" s="972" t="s">
        <v>990</v>
      </c>
      <c r="E244" s="973" t="s">
        <v>991</v>
      </c>
      <c r="F244" s="973" t="s">
        <v>992</v>
      </c>
      <c r="G244" s="973" t="s">
        <v>1997</v>
      </c>
      <c r="H244" s="973" t="s">
        <v>1998</v>
      </c>
      <c r="I244" s="973" t="s">
        <v>1999</v>
      </c>
      <c r="J244" s="972" t="s">
        <v>697</v>
      </c>
      <c r="K244" s="973" t="s">
        <v>995</v>
      </c>
      <c r="L244" s="973" t="s">
        <v>996</v>
      </c>
      <c r="M244" s="973" t="s">
        <v>2000</v>
      </c>
      <c r="N244" s="973" t="s">
        <v>2001</v>
      </c>
      <c r="O244" s="972" t="s">
        <v>1971</v>
      </c>
      <c r="P244" s="973" t="s">
        <v>999</v>
      </c>
      <c r="Q244" s="973" t="s">
        <v>1000</v>
      </c>
      <c r="R244" s="973" t="s">
        <v>1001</v>
      </c>
      <c r="S244" s="973" t="s">
        <v>1002</v>
      </c>
      <c r="T244" s="423">
        <v>200</v>
      </c>
      <c r="V244" s="423">
        <v>0.6</v>
      </c>
      <c r="W244" s="423">
        <v>4</v>
      </c>
      <c r="X244" s="423">
        <v>20</v>
      </c>
      <c r="Z244" s="423" t="s">
        <v>1059</v>
      </c>
      <c r="AD244" s="423">
        <f>IF(ISNUMBER(MATCH(B244,'FICHA SOLIC'!$AB$26:$AB$376,0)),1,0)</f>
        <v>1</v>
      </c>
      <c r="AE244" s="423" t="str">
        <f t="shared" si="3"/>
        <v>ChillánZH-1</v>
      </c>
    </row>
    <row r="245" spans="1:31" x14ac:dyDescent="0.25">
      <c r="A245" s="423">
        <v>244</v>
      </c>
      <c r="B245" s="423" t="s">
        <v>282</v>
      </c>
      <c r="C245" s="423" t="s">
        <v>1465</v>
      </c>
      <c r="D245" s="972" t="s">
        <v>990</v>
      </c>
      <c r="E245" s="973" t="s">
        <v>991</v>
      </c>
      <c r="F245" s="973" t="s">
        <v>992</v>
      </c>
      <c r="G245" s="973" t="s">
        <v>1997</v>
      </c>
      <c r="H245" s="973" t="s">
        <v>1998</v>
      </c>
      <c r="I245" s="973" t="s">
        <v>1999</v>
      </c>
      <c r="J245" s="972" t="s">
        <v>697</v>
      </c>
      <c r="K245" s="973" t="s">
        <v>995</v>
      </c>
      <c r="L245" s="973" t="s">
        <v>996</v>
      </c>
      <c r="M245" s="973" t="s">
        <v>2000</v>
      </c>
      <c r="N245" s="973" t="s">
        <v>2001</v>
      </c>
      <c r="O245" s="972" t="s">
        <v>1971</v>
      </c>
      <c r="P245" s="973" t="s">
        <v>999</v>
      </c>
      <c r="Q245" s="973" t="s">
        <v>1000</v>
      </c>
      <c r="R245" s="973" t="s">
        <v>1001</v>
      </c>
      <c r="S245" s="973" t="s">
        <v>1002</v>
      </c>
      <c r="T245" s="423">
        <v>180</v>
      </c>
      <c r="V245" s="423">
        <v>0.6</v>
      </c>
      <c r="W245" s="423">
        <v>3</v>
      </c>
      <c r="X245" s="423">
        <v>15</v>
      </c>
      <c r="Z245" s="423" t="s">
        <v>1057</v>
      </c>
      <c r="AD245" s="423">
        <f>IF(ISNUMBER(MATCH(B245,'FICHA SOLIC'!$AB$26:$AB$376,0)),1,0)</f>
        <v>1</v>
      </c>
      <c r="AE245" s="423" t="str">
        <f t="shared" si="3"/>
        <v>ChillánZH-2</v>
      </c>
    </row>
    <row r="246" spans="1:31" x14ac:dyDescent="0.25">
      <c r="A246" s="423">
        <v>245</v>
      </c>
      <c r="B246" s="423" t="s">
        <v>282</v>
      </c>
      <c r="C246" s="423" t="s">
        <v>1466</v>
      </c>
      <c r="D246" s="972" t="s">
        <v>990</v>
      </c>
      <c r="E246" s="973" t="s">
        <v>991</v>
      </c>
      <c r="F246" s="973" t="s">
        <v>992</v>
      </c>
      <c r="G246" s="973" t="s">
        <v>1997</v>
      </c>
      <c r="H246" s="973" t="s">
        <v>1998</v>
      </c>
      <c r="I246" s="973" t="s">
        <v>1999</v>
      </c>
      <c r="J246" s="972" t="s">
        <v>697</v>
      </c>
      <c r="K246" s="973" t="s">
        <v>995</v>
      </c>
      <c r="L246" s="973" t="s">
        <v>996</v>
      </c>
      <c r="M246" s="973" t="s">
        <v>2000</v>
      </c>
      <c r="N246" s="973" t="s">
        <v>2001</v>
      </c>
      <c r="O246" s="972" t="s">
        <v>1971</v>
      </c>
      <c r="P246" s="973" t="s">
        <v>999</v>
      </c>
      <c r="Q246" s="973" t="s">
        <v>1000</v>
      </c>
      <c r="R246" s="973" t="s">
        <v>1001</v>
      </c>
      <c r="S246" s="973" t="s">
        <v>1002</v>
      </c>
      <c r="T246" s="423">
        <v>150</v>
      </c>
      <c r="V246" s="423">
        <v>0.6</v>
      </c>
      <c r="W246" s="423">
        <v>3</v>
      </c>
      <c r="X246" s="423">
        <v>15</v>
      </c>
      <c r="Z246" s="423" t="s">
        <v>1057</v>
      </c>
      <c r="AD246" s="423">
        <f>IF(ISNUMBER(MATCH(B246,'FICHA SOLIC'!$AB$26:$AB$376,0)),1,0)</f>
        <v>1</v>
      </c>
      <c r="AE246" s="423" t="str">
        <f t="shared" si="3"/>
        <v>ChillánZH-3</v>
      </c>
    </row>
    <row r="247" spans="1:31" x14ac:dyDescent="0.25">
      <c r="A247" s="423">
        <v>246</v>
      </c>
      <c r="B247" s="423" t="s">
        <v>282</v>
      </c>
      <c r="C247" s="423" t="s">
        <v>1467</v>
      </c>
      <c r="D247" s="972" t="s">
        <v>990</v>
      </c>
      <c r="E247" s="973" t="s">
        <v>991</v>
      </c>
      <c r="F247" s="973" t="s">
        <v>992</v>
      </c>
      <c r="G247" s="973" t="s">
        <v>1997</v>
      </c>
      <c r="H247" s="973" t="s">
        <v>1998</v>
      </c>
      <c r="I247" s="973" t="s">
        <v>1999</v>
      </c>
      <c r="J247" s="972" t="s">
        <v>697</v>
      </c>
      <c r="K247" s="973" t="s">
        <v>995</v>
      </c>
      <c r="L247" s="973" t="s">
        <v>996</v>
      </c>
      <c r="M247" s="973" t="s">
        <v>2000</v>
      </c>
      <c r="N247" s="973" t="s">
        <v>2001</v>
      </c>
      <c r="O247" s="972" t="s">
        <v>1971</v>
      </c>
      <c r="P247" s="973" t="s">
        <v>999</v>
      </c>
      <c r="Q247" s="973" t="s">
        <v>1000</v>
      </c>
      <c r="R247" s="973" t="s">
        <v>1001</v>
      </c>
      <c r="S247" s="973" t="s">
        <v>1002</v>
      </c>
      <c r="T247" s="423">
        <v>300</v>
      </c>
      <c r="V247" s="423">
        <v>0.5</v>
      </c>
      <c r="W247" s="423">
        <v>1</v>
      </c>
      <c r="X247" s="423">
        <v>9</v>
      </c>
      <c r="Z247" s="423" t="s">
        <v>1057</v>
      </c>
      <c r="AD247" s="423">
        <f>IF(ISNUMBER(MATCH(B247,'FICHA SOLIC'!$AB$26:$AB$376,0)),1,0)</f>
        <v>1</v>
      </c>
      <c r="AE247" s="423" t="str">
        <f t="shared" si="3"/>
        <v>ChillánZH-4</v>
      </c>
    </row>
    <row r="248" spans="1:31" x14ac:dyDescent="0.25">
      <c r="A248" s="423">
        <v>247</v>
      </c>
      <c r="B248" s="423" t="s">
        <v>282</v>
      </c>
      <c r="C248" s="423" t="s">
        <v>1468</v>
      </c>
      <c r="D248" s="972" t="s">
        <v>990</v>
      </c>
      <c r="E248" s="973" t="s">
        <v>991</v>
      </c>
      <c r="F248" s="973" t="s">
        <v>992</v>
      </c>
      <c r="G248" s="973" t="s">
        <v>1997</v>
      </c>
      <c r="H248" s="973" t="s">
        <v>1998</v>
      </c>
      <c r="I248" s="973" t="s">
        <v>1999</v>
      </c>
      <c r="J248" s="972" t="s">
        <v>697</v>
      </c>
      <c r="K248" s="973" t="s">
        <v>995</v>
      </c>
      <c r="L248" s="973" t="s">
        <v>996</v>
      </c>
      <c r="M248" s="973" t="s">
        <v>2000</v>
      </c>
      <c r="N248" s="973" t="s">
        <v>2001</v>
      </c>
      <c r="O248" s="972" t="s">
        <v>1971</v>
      </c>
      <c r="P248" s="973" t="s">
        <v>999</v>
      </c>
      <c r="Q248" s="973" t="s">
        <v>1000</v>
      </c>
      <c r="R248" s="973" t="s">
        <v>1001</v>
      </c>
      <c r="S248" s="973" t="s">
        <v>1002</v>
      </c>
      <c r="T248" s="423">
        <v>300</v>
      </c>
      <c r="V248" s="423">
        <v>0.6</v>
      </c>
      <c r="W248" s="423">
        <v>1.2</v>
      </c>
      <c r="X248" s="423">
        <v>15</v>
      </c>
      <c r="Z248" s="423" t="s">
        <v>1057</v>
      </c>
      <c r="AD248" s="423">
        <f>IF(ISNUMBER(MATCH(B248,'FICHA SOLIC'!$AB$26:$AB$376,0)),1,0)</f>
        <v>1</v>
      </c>
      <c r="AE248" s="423" t="str">
        <f t="shared" si="3"/>
        <v>ChillánZH-5</v>
      </c>
    </row>
    <row r="249" spans="1:31" x14ac:dyDescent="0.25">
      <c r="A249" s="423">
        <v>248</v>
      </c>
      <c r="B249" s="423" t="s">
        <v>282</v>
      </c>
      <c r="C249" s="423" t="s">
        <v>1469</v>
      </c>
      <c r="D249" s="972" t="s">
        <v>990</v>
      </c>
      <c r="E249" s="973" t="s">
        <v>991</v>
      </c>
      <c r="F249" s="973" t="s">
        <v>992</v>
      </c>
      <c r="G249" s="973" t="s">
        <v>1997</v>
      </c>
      <c r="H249" s="973" t="s">
        <v>1998</v>
      </c>
      <c r="I249" s="973" t="s">
        <v>1999</v>
      </c>
      <c r="J249" s="972" t="s">
        <v>697</v>
      </c>
      <c r="K249" s="973" t="s">
        <v>995</v>
      </c>
      <c r="L249" s="973" t="s">
        <v>996</v>
      </c>
      <c r="M249" s="973" t="s">
        <v>2000</v>
      </c>
      <c r="N249" s="973" t="s">
        <v>2001</v>
      </c>
      <c r="O249" s="972" t="s">
        <v>1971</v>
      </c>
      <c r="P249" s="973" t="s">
        <v>999</v>
      </c>
      <c r="Q249" s="973" t="s">
        <v>1000</v>
      </c>
      <c r="R249" s="973" t="s">
        <v>1001</v>
      </c>
      <c r="S249" s="973" t="s">
        <v>1002</v>
      </c>
      <c r="T249" s="423">
        <v>300</v>
      </c>
      <c r="V249" s="423">
        <v>0.5</v>
      </c>
      <c r="W249" s="423">
        <v>1</v>
      </c>
      <c r="X249" s="423">
        <v>9</v>
      </c>
      <c r="Z249" s="423" t="s">
        <v>1057</v>
      </c>
      <c r="AD249" s="423">
        <f>IF(ISNUMBER(MATCH(B249,'FICHA SOLIC'!$AB$26:$AB$376,0)),1,0)</f>
        <v>1</v>
      </c>
      <c r="AE249" s="423" t="str">
        <f t="shared" si="3"/>
        <v>ChillánZH-6</v>
      </c>
    </row>
    <row r="250" spans="1:31" x14ac:dyDescent="0.25">
      <c r="A250" s="423">
        <v>249</v>
      </c>
      <c r="B250" s="423" t="s">
        <v>282</v>
      </c>
      <c r="C250" s="423" t="s">
        <v>1470</v>
      </c>
      <c r="D250" s="972" t="s">
        <v>990</v>
      </c>
      <c r="E250" s="973" t="s">
        <v>991</v>
      </c>
      <c r="F250" s="973" t="s">
        <v>992</v>
      </c>
      <c r="G250" s="973" t="s">
        <v>1997</v>
      </c>
      <c r="H250" s="973" t="s">
        <v>1998</v>
      </c>
      <c r="I250" s="973" t="s">
        <v>1999</v>
      </c>
      <c r="J250" s="972" t="s">
        <v>697</v>
      </c>
      <c r="K250" s="973" t="s">
        <v>995</v>
      </c>
      <c r="L250" s="973" t="s">
        <v>996</v>
      </c>
      <c r="M250" s="973" t="s">
        <v>2000</v>
      </c>
      <c r="N250" s="973" t="s">
        <v>2001</v>
      </c>
      <c r="O250" s="972" t="s">
        <v>1971</v>
      </c>
      <c r="P250" s="973" t="s">
        <v>999</v>
      </c>
      <c r="Q250" s="973" t="s">
        <v>1000</v>
      </c>
      <c r="R250" s="973" t="s">
        <v>1001</v>
      </c>
      <c r="S250" s="973" t="s">
        <v>1002</v>
      </c>
      <c r="T250" s="423">
        <v>300</v>
      </c>
      <c r="V250" s="423">
        <v>0.5</v>
      </c>
      <c r="W250" s="423">
        <v>0.6</v>
      </c>
      <c r="X250" s="423">
        <v>9</v>
      </c>
      <c r="Z250" s="423" t="s">
        <v>1057</v>
      </c>
      <c r="AD250" s="423">
        <f>IF(ISNUMBER(MATCH(B250,'FICHA SOLIC'!$AB$26:$AB$376,0)),1,0)</f>
        <v>1</v>
      </c>
      <c r="AE250" s="423" t="str">
        <f t="shared" si="3"/>
        <v>ChillánZH-7</v>
      </c>
    </row>
    <row r="251" spans="1:31" x14ac:dyDescent="0.25">
      <c r="A251" s="423">
        <v>250</v>
      </c>
      <c r="B251" s="423" t="s">
        <v>282</v>
      </c>
      <c r="C251" s="423" t="s">
        <v>1689</v>
      </c>
      <c r="D251" s="972" t="s">
        <v>990</v>
      </c>
      <c r="E251" s="973" t="s">
        <v>991</v>
      </c>
      <c r="F251" s="973" t="s">
        <v>992</v>
      </c>
      <c r="G251" s="973" t="s">
        <v>1997</v>
      </c>
      <c r="H251" s="973" t="s">
        <v>1998</v>
      </c>
      <c r="I251" s="973" t="s">
        <v>1999</v>
      </c>
      <c r="J251" s="972" t="s">
        <v>697</v>
      </c>
      <c r="K251" s="973" t="s">
        <v>995</v>
      </c>
      <c r="L251" s="973" t="s">
        <v>996</v>
      </c>
      <c r="M251" s="973" t="s">
        <v>2000</v>
      </c>
      <c r="N251" s="973" t="s">
        <v>2001</v>
      </c>
      <c r="O251" s="972" t="s">
        <v>1971</v>
      </c>
      <c r="P251" s="973" t="s">
        <v>999</v>
      </c>
      <c r="Q251" s="973" t="s">
        <v>1000</v>
      </c>
      <c r="R251" s="973" t="s">
        <v>1001</v>
      </c>
      <c r="S251" s="973" t="s">
        <v>1002</v>
      </c>
      <c r="T251" s="423">
        <v>300</v>
      </c>
      <c r="V251" s="423">
        <v>0.7</v>
      </c>
      <c r="AD251" s="423">
        <f>IF(ISNUMBER(MATCH(B251,'FICHA SOLIC'!$AB$26:$AB$376,0)),1,0)</f>
        <v>1</v>
      </c>
      <c r="AE251" s="423" t="str">
        <f t="shared" si="3"/>
        <v>ChillánZI</v>
      </c>
    </row>
    <row r="252" spans="1:31" x14ac:dyDescent="0.25">
      <c r="A252" s="423">
        <v>251</v>
      </c>
      <c r="B252" s="423" t="s">
        <v>282</v>
      </c>
      <c r="C252" s="423" t="s">
        <v>1153</v>
      </c>
      <c r="D252" s="972" t="s">
        <v>990</v>
      </c>
      <c r="E252" s="973" t="s">
        <v>991</v>
      </c>
      <c r="F252" s="973" t="s">
        <v>992</v>
      </c>
      <c r="G252" s="973" t="s">
        <v>1997</v>
      </c>
      <c r="H252" s="973" t="s">
        <v>1998</v>
      </c>
      <c r="I252" s="973" t="s">
        <v>1999</v>
      </c>
      <c r="J252" s="972" t="s">
        <v>697</v>
      </c>
      <c r="K252" s="973" t="s">
        <v>995</v>
      </c>
      <c r="L252" s="973" t="s">
        <v>996</v>
      </c>
      <c r="M252" s="973" t="s">
        <v>2000</v>
      </c>
      <c r="N252" s="973" t="s">
        <v>2001</v>
      </c>
      <c r="O252" s="972" t="s">
        <v>1971</v>
      </c>
      <c r="P252" s="973" t="s">
        <v>999</v>
      </c>
      <c r="Q252" s="973" t="s">
        <v>1000</v>
      </c>
      <c r="R252" s="973" t="s">
        <v>1001</v>
      </c>
      <c r="S252" s="973" t="s">
        <v>1002</v>
      </c>
      <c r="T252" s="423">
        <v>1000</v>
      </c>
      <c r="V252" s="423">
        <v>0.6</v>
      </c>
      <c r="W252" s="423">
        <v>2</v>
      </c>
      <c r="X252" s="423" t="s">
        <v>1026</v>
      </c>
      <c r="Z252" s="423" t="s">
        <v>1058</v>
      </c>
      <c r="AD252" s="423">
        <f>IF(ISNUMBER(MATCH(B252,'FICHA SOLIC'!$AB$26:$AB$376,0)),1,0)</f>
        <v>1</v>
      </c>
      <c r="AE252" s="423" t="str">
        <f t="shared" si="3"/>
        <v>ChillánZM-1</v>
      </c>
    </row>
    <row r="253" spans="1:31" x14ac:dyDescent="0.25">
      <c r="A253" s="423">
        <v>252</v>
      </c>
      <c r="B253" s="423" t="s">
        <v>282</v>
      </c>
      <c r="C253" s="423" t="s">
        <v>1154</v>
      </c>
      <c r="D253" s="972" t="s">
        <v>990</v>
      </c>
      <c r="E253" s="973" t="s">
        <v>991</v>
      </c>
      <c r="F253" s="973" t="s">
        <v>992</v>
      </c>
      <c r="G253" s="973" t="s">
        <v>1997</v>
      </c>
      <c r="H253" s="973" t="s">
        <v>1998</v>
      </c>
      <c r="I253" s="973" t="s">
        <v>1999</v>
      </c>
      <c r="J253" s="972" t="s">
        <v>697</v>
      </c>
      <c r="K253" s="973" t="s">
        <v>995</v>
      </c>
      <c r="L253" s="973" t="s">
        <v>996</v>
      </c>
      <c r="M253" s="973" t="s">
        <v>2000</v>
      </c>
      <c r="N253" s="973" t="s">
        <v>2001</v>
      </c>
      <c r="O253" s="972" t="s">
        <v>1971</v>
      </c>
      <c r="P253" s="973" t="s">
        <v>999</v>
      </c>
      <c r="Q253" s="973" t="s">
        <v>1000</v>
      </c>
      <c r="R253" s="973" t="s">
        <v>1001</v>
      </c>
      <c r="S253" s="973" t="s">
        <v>1002</v>
      </c>
      <c r="T253" s="423">
        <v>500</v>
      </c>
      <c r="V253" s="423">
        <v>0.8</v>
      </c>
      <c r="W253" s="423">
        <v>5</v>
      </c>
      <c r="X253" s="423">
        <v>20</v>
      </c>
      <c r="Z253" s="423" t="s">
        <v>1059</v>
      </c>
      <c r="AD253" s="423">
        <f>IF(ISNUMBER(MATCH(B253,'FICHA SOLIC'!$AB$26:$AB$376,0)),1,0)</f>
        <v>1</v>
      </c>
      <c r="AE253" s="423" t="str">
        <f t="shared" si="3"/>
        <v>ChillánZM-2</v>
      </c>
    </row>
    <row r="254" spans="1:31" x14ac:dyDescent="0.25">
      <c r="A254" s="423">
        <v>253</v>
      </c>
      <c r="B254" s="423" t="s">
        <v>185</v>
      </c>
      <c r="C254" s="423" t="s">
        <v>1041</v>
      </c>
      <c r="D254" s="972" t="s">
        <v>990</v>
      </c>
      <c r="E254" s="973" t="s">
        <v>991</v>
      </c>
      <c r="F254" s="973" t="s">
        <v>992</v>
      </c>
      <c r="G254" s="973" t="s">
        <v>1997</v>
      </c>
      <c r="H254" s="973" t="s">
        <v>1998</v>
      </c>
      <c r="I254" s="973" t="s">
        <v>1999</v>
      </c>
      <c r="J254" s="972" t="s">
        <v>697</v>
      </c>
      <c r="K254" s="973" t="s">
        <v>995</v>
      </c>
      <c r="L254" s="973" t="s">
        <v>996</v>
      </c>
      <c r="M254" s="973" t="s">
        <v>2000</v>
      </c>
      <c r="N254" s="973" t="s">
        <v>2001</v>
      </c>
      <c r="O254" s="972" t="s">
        <v>1971</v>
      </c>
      <c r="P254" s="973" t="s">
        <v>999</v>
      </c>
      <c r="Q254" s="973" t="s">
        <v>1000</v>
      </c>
      <c r="R254" s="973" t="s">
        <v>1001</v>
      </c>
      <c r="S254" s="973" t="s">
        <v>1002</v>
      </c>
      <c r="T254" s="423" t="s">
        <v>1041</v>
      </c>
      <c r="U254" s="423" t="s">
        <v>1041</v>
      </c>
      <c r="V254" s="423" t="s">
        <v>1041</v>
      </c>
      <c r="W254" s="423" t="s">
        <v>1041</v>
      </c>
      <c r="X254" s="423" t="s">
        <v>1041</v>
      </c>
      <c r="Y254" s="423" t="s">
        <v>1041</v>
      </c>
      <c r="Z254" s="423" t="s">
        <v>1041</v>
      </c>
      <c r="AD254" s="423">
        <f>IF(ISNUMBER(MATCH(B254,'FICHA SOLIC'!$AB$26:$AB$376,0)),1,0)</f>
        <v>1</v>
      </c>
      <c r="AE254" s="423" t="str">
        <f t="shared" si="3"/>
        <v>CodeguaOGUC</v>
      </c>
    </row>
    <row r="255" spans="1:31" x14ac:dyDescent="0.25">
      <c r="A255" s="423">
        <v>254</v>
      </c>
      <c r="B255" s="423" t="s">
        <v>380</v>
      </c>
      <c r="C255" s="423" t="s">
        <v>2261</v>
      </c>
      <c r="D255" s="972" t="s">
        <v>990</v>
      </c>
      <c r="E255" s="973" t="s">
        <v>991</v>
      </c>
      <c r="F255" s="973" t="s">
        <v>992</v>
      </c>
      <c r="G255" s="973" t="s">
        <v>1997</v>
      </c>
      <c r="H255" s="973" t="s">
        <v>1998</v>
      </c>
      <c r="I255" s="973" t="s">
        <v>1999</v>
      </c>
      <c r="J255" s="972" t="s">
        <v>697</v>
      </c>
      <c r="K255" s="973" t="s">
        <v>995</v>
      </c>
      <c r="L255" s="973" t="s">
        <v>996</v>
      </c>
      <c r="M255" s="973" t="s">
        <v>2000</v>
      </c>
      <c r="N255" s="973" t="s">
        <v>2001</v>
      </c>
      <c r="O255" s="972" t="s">
        <v>1971</v>
      </c>
      <c r="P255" s="973" t="s">
        <v>999</v>
      </c>
      <c r="Q255" s="973" t="s">
        <v>1000</v>
      </c>
      <c r="R255" s="973" t="s">
        <v>1001</v>
      </c>
      <c r="S255" s="973" t="s">
        <v>1002</v>
      </c>
      <c r="T255" s="423" t="s">
        <v>1041</v>
      </c>
      <c r="U255" s="423" t="s">
        <v>1041</v>
      </c>
      <c r="V255" s="423" t="s">
        <v>1041</v>
      </c>
      <c r="W255" s="423" t="s">
        <v>1041</v>
      </c>
      <c r="X255" s="423" t="s">
        <v>1041</v>
      </c>
      <c r="Y255" s="423" t="s">
        <v>1041</v>
      </c>
      <c r="Z255" s="423" t="s">
        <v>1041</v>
      </c>
      <c r="AD255" s="423">
        <f>IF(ISNUMBER(MATCH(B255,'FICHA SOLIC'!$AB$26:$AB$376,0)),1,0)</f>
        <v>1</v>
      </c>
      <c r="AE255" s="423" t="str">
        <f t="shared" si="3"/>
        <v>CoihaiqueZONA ESPECIAL Z E-3</v>
      </c>
    </row>
    <row r="256" spans="1:31" x14ac:dyDescent="0.25">
      <c r="A256" s="423">
        <v>255</v>
      </c>
      <c r="B256" s="423" t="s">
        <v>380</v>
      </c>
      <c r="C256" s="423" t="s">
        <v>2262</v>
      </c>
      <c r="D256" s="972" t="s">
        <v>990</v>
      </c>
      <c r="E256" s="973" t="s">
        <v>991</v>
      </c>
      <c r="F256" s="973" t="s">
        <v>992</v>
      </c>
      <c r="G256" s="973" t="s">
        <v>1997</v>
      </c>
      <c r="H256" s="973" t="s">
        <v>1998</v>
      </c>
      <c r="I256" s="973" t="s">
        <v>1999</v>
      </c>
      <c r="J256" s="972" t="s">
        <v>697</v>
      </c>
      <c r="K256" s="973" t="s">
        <v>995</v>
      </c>
      <c r="L256" s="973" t="s">
        <v>996</v>
      </c>
      <c r="M256" s="973" t="s">
        <v>2000</v>
      </c>
      <c r="N256" s="973" t="s">
        <v>2001</v>
      </c>
      <c r="O256" s="972" t="s">
        <v>1971</v>
      </c>
      <c r="P256" s="973" t="s">
        <v>999</v>
      </c>
      <c r="Q256" s="973" t="s">
        <v>1000</v>
      </c>
      <c r="R256" s="973" t="s">
        <v>1001</v>
      </c>
      <c r="S256" s="973" t="s">
        <v>1002</v>
      </c>
      <c r="T256" s="423" t="s">
        <v>1041</v>
      </c>
      <c r="U256" s="423" t="s">
        <v>1041</v>
      </c>
      <c r="V256" s="423" t="s">
        <v>1041</v>
      </c>
      <c r="W256" s="423" t="s">
        <v>1041</v>
      </c>
      <c r="X256" s="423" t="s">
        <v>1041</v>
      </c>
      <c r="Y256" s="423" t="s">
        <v>1041</v>
      </c>
      <c r="Z256" s="423" t="s">
        <v>1041</v>
      </c>
      <c r="AD256" s="423">
        <f>IF(ISNUMBER(MATCH(B256,'FICHA SOLIC'!$AB$26:$AB$376,0)),1,0)</f>
        <v>1</v>
      </c>
      <c r="AE256" s="423" t="str">
        <f t="shared" si="3"/>
        <v>CoihaiqueZONA ESPECIAL Z E-4</v>
      </c>
    </row>
    <row r="257" spans="1:31" x14ac:dyDescent="0.25">
      <c r="A257" s="423">
        <v>256</v>
      </c>
      <c r="B257" s="423" t="s">
        <v>380</v>
      </c>
      <c r="C257" s="423" t="s">
        <v>2263</v>
      </c>
      <c r="D257" s="972" t="s">
        <v>990</v>
      </c>
      <c r="E257" s="973" t="s">
        <v>991</v>
      </c>
      <c r="F257" s="973" t="s">
        <v>992</v>
      </c>
      <c r="G257" s="973" t="s">
        <v>1997</v>
      </c>
      <c r="H257" s="973" t="s">
        <v>1998</v>
      </c>
      <c r="I257" s="973" t="s">
        <v>1999</v>
      </c>
      <c r="J257" s="972" t="s">
        <v>697</v>
      </c>
      <c r="K257" s="973" t="s">
        <v>995</v>
      </c>
      <c r="L257" s="973" t="s">
        <v>996</v>
      </c>
      <c r="M257" s="973" t="s">
        <v>2000</v>
      </c>
      <c r="N257" s="973" t="s">
        <v>2001</v>
      </c>
      <c r="O257" s="972" t="s">
        <v>1971</v>
      </c>
      <c r="P257" s="973" t="s">
        <v>999</v>
      </c>
      <c r="Q257" s="973" t="s">
        <v>1000</v>
      </c>
      <c r="R257" s="973" t="s">
        <v>1001</v>
      </c>
      <c r="S257" s="973" t="s">
        <v>1002</v>
      </c>
      <c r="T257" s="423">
        <v>160</v>
      </c>
      <c r="U257" s="423">
        <v>8</v>
      </c>
      <c r="V257" s="423">
        <v>100</v>
      </c>
      <c r="W257" s="423">
        <v>2.4</v>
      </c>
      <c r="X257" s="423" t="s">
        <v>2264</v>
      </c>
      <c r="Z257" s="423" t="s">
        <v>2068</v>
      </c>
      <c r="AD257" s="423">
        <f>IF(ISNUMBER(MATCH(B257,'FICHA SOLIC'!$AB$26:$AB$376,0)),1,0)</f>
        <v>1</v>
      </c>
      <c r="AE257" s="423" t="str">
        <f t="shared" si="3"/>
        <v>CoihaiqueZONA Z 1</v>
      </c>
    </row>
    <row r="258" spans="1:31" x14ac:dyDescent="0.25">
      <c r="A258" s="423">
        <v>257</v>
      </c>
      <c r="B258" s="423" t="s">
        <v>380</v>
      </c>
      <c r="C258" s="423" t="s">
        <v>2265</v>
      </c>
      <c r="D258" s="972" t="s">
        <v>990</v>
      </c>
      <c r="E258" s="973" t="s">
        <v>991</v>
      </c>
      <c r="F258" s="973" t="s">
        <v>992</v>
      </c>
      <c r="G258" s="973" t="s">
        <v>1997</v>
      </c>
      <c r="H258" s="973" t="s">
        <v>1998</v>
      </c>
      <c r="I258" s="973" t="s">
        <v>1999</v>
      </c>
      <c r="J258" s="972" t="s">
        <v>697</v>
      </c>
      <c r="K258" s="973" t="s">
        <v>995</v>
      </c>
      <c r="L258" s="973" t="s">
        <v>996</v>
      </c>
      <c r="M258" s="973" t="s">
        <v>2000</v>
      </c>
      <c r="N258" s="973" t="s">
        <v>2001</v>
      </c>
      <c r="O258" s="972" t="s">
        <v>1971</v>
      </c>
      <c r="P258" s="973" t="s">
        <v>999</v>
      </c>
      <c r="Q258" s="973" t="s">
        <v>1000</v>
      </c>
      <c r="R258" s="973" t="s">
        <v>1001</v>
      </c>
      <c r="S258" s="973" t="s">
        <v>1002</v>
      </c>
      <c r="T258" s="423">
        <v>200</v>
      </c>
      <c r="U258" s="423">
        <v>8</v>
      </c>
      <c r="V258" s="423">
        <v>60</v>
      </c>
      <c r="W258" s="423">
        <v>3</v>
      </c>
      <c r="X258" s="423">
        <v>60</v>
      </c>
      <c r="Z258" s="423" t="s">
        <v>1270</v>
      </c>
      <c r="AD258" s="423">
        <f>IF(ISNUMBER(MATCH(B258,'FICHA SOLIC'!$AB$26:$AB$376,0)),1,0)</f>
        <v>1</v>
      </c>
      <c r="AE258" s="423" t="str">
        <f t="shared" si="3"/>
        <v>CoihaiqueZONA Z 3A</v>
      </c>
    </row>
    <row r="259" spans="1:31" x14ac:dyDescent="0.25">
      <c r="A259" s="423">
        <v>258</v>
      </c>
      <c r="B259" s="423" t="s">
        <v>380</v>
      </c>
      <c r="C259" s="423" t="s">
        <v>2266</v>
      </c>
      <c r="D259" s="972" t="s">
        <v>990</v>
      </c>
      <c r="E259" s="973" t="s">
        <v>991</v>
      </c>
      <c r="F259" s="973" t="s">
        <v>992</v>
      </c>
      <c r="G259" s="973" t="s">
        <v>1997</v>
      </c>
      <c r="H259" s="973" t="s">
        <v>1998</v>
      </c>
      <c r="I259" s="973" t="s">
        <v>1999</v>
      </c>
      <c r="J259" s="972" t="s">
        <v>697</v>
      </c>
      <c r="K259" s="973" t="s">
        <v>995</v>
      </c>
      <c r="L259" s="973" t="s">
        <v>996</v>
      </c>
      <c r="M259" s="973" t="s">
        <v>2000</v>
      </c>
      <c r="N259" s="973" t="s">
        <v>2001</v>
      </c>
      <c r="O259" s="972" t="s">
        <v>1971</v>
      </c>
      <c r="P259" s="973" t="s">
        <v>999</v>
      </c>
      <c r="Q259" s="973" t="s">
        <v>1000</v>
      </c>
      <c r="R259" s="973" t="s">
        <v>1001</v>
      </c>
      <c r="S259" s="973" t="s">
        <v>1002</v>
      </c>
      <c r="T259" s="423">
        <v>200</v>
      </c>
      <c r="U259" s="423">
        <v>8</v>
      </c>
      <c r="V259" s="423">
        <v>60</v>
      </c>
      <c r="W259" s="423">
        <v>2.5</v>
      </c>
      <c r="X259" s="423">
        <v>60</v>
      </c>
      <c r="Z259" s="423" t="s">
        <v>1057</v>
      </c>
      <c r="AD259" s="423">
        <f>IF(ISNUMBER(MATCH(B259,'FICHA SOLIC'!$AB$26:$AB$376,0)),1,0)</f>
        <v>1</v>
      </c>
      <c r="AE259" s="423" t="str">
        <f t="shared" ref="AE259:AE322" si="4">B259&amp;C259</f>
        <v>CoihaiqueZONA Z 3B</v>
      </c>
    </row>
    <row r="260" spans="1:31" x14ac:dyDescent="0.25">
      <c r="A260" s="423">
        <v>259</v>
      </c>
      <c r="B260" s="423" t="s">
        <v>380</v>
      </c>
      <c r="C260" s="423" t="s">
        <v>2267</v>
      </c>
      <c r="D260" s="972" t="s">
        <v>990</v>
      </c>
      <c r="E260" s="973" t="s">
        <v>991</v>
      </c>
      <c r="F260" s="973" t="s">
        <v>992</v>
      </c>
      <c r="G260" s="973" t="s">
        <v>1997</v>
      </c>
      <c r="H260" s="973" t="s">
        <v>1998</v>
      </c>
      <c r="I260" s="973" t="s">
        <v>1999</v>
      </c>
      <c r="J260" s="972" t="s">
        <v>697</v>
      </c>
      <c r="K260" s="973" t="s">
        <v>995</v>
      </c>
      <c r="L260" s="973" t="s">
        <v>996</v>
      </c>
      <c r="M260" s="973" t="s">
        <v>2000</v>
      </c>
      <c r="N260" s="973" t="s">
        <v>2001</v>
      </c>
      <c r="O260" s="972" t="s">
        <v>1971</v>
      </c>
      <c r="P260" s="973" t="s">
        <v>999</v>
      </c>
      <c r="Q260" s="973" t="s">
        <v>1000</v>
      </c>
      <c r="R260" s="973" t="s">
        <v>1001</v>
      </c>
      <c r="S260" s="973" t="s">
        <v>1002</v>
      </c>
      <c r="T260" s="423">
        <v>160</v>
      </c>
      <c r="U260" s="423">
        <v>6</v>
      </c>
      <c r="V260" s="423">
        <v>60</v>
      </c>
      <c r="W260" s="423">
        <v>1.5</v>
      </c>
      <c r="X260" s="423">
        <v>60</v>
      </c>
      <c r="Z260" s="423" t="s">
        <v>1270</v>
      </c>
      <c r="AD260" s="423">
        <f>IF(ISNUMBER(MATCH(B260,'FICHA SOLIC'!$AB$26:$AB$376,0)),1,0)</f>
        <v>1</v>
      </c>
      <c r="AE260" s="423" t="str">
        <f t="shared" si="4"/>
        <v>CoihaiqueZONA Z 4</v>
      </c>
    </row>
    <row r="261" spans="1:31" x14ac:dyDescent="0.25">
      <c r="A261" s="423">
        <v>260</v>
      </c>
      <c r="B261" s="423" t="s">
        <v>380</v>
      </c>
      <c r="C261" s="423" t="s">
        <v>2268</v>
      </c>
      <c r="D261" s="972" t="s">
        <v>990</v>
      </c>
      <c r="E261" s="973" t="s">
        <v>991</v>
      </c>
      <c r="F261" s="973" t="s">
        <v>992</v>
      </c>
      <c r="G261" s="973" t="s">
        <v>1997</v>
      </c>
      <c r="H261" s="973" t="s">
        <v>1998</v>
      </c>
      <c r="I261" s="973" t="s">
        <v>1999</v>
      </c>
      <c r="J261" s="972" t="s">
        <v>697</v>
      </c>
      <c r="K261" s="973" t="s">
        <v>995</v>
      </c>
      <c r="L261" s="973" t="s">
        <v>996</v>
      </c>
      <c r="M261" s="973" t="s">
        <v>2000</v>
      </c>
      <c r="N261" s="973" t="s">
        <v>2001</v>
      </c>
      <c r="O261" s="972" t="s">
        <v>1971</v>
      </c>
      <c r="P261" s="973" t="s">
        <v>999</v>
      </c>
      <c r="Q261" s="973" t="s">
        <v>1000</v>
      </c>
      <c r="R261" s="973" t="s">
        <v>1001</v>
      </c>
      <c r="S261" s="973" t="s">
        <v>1002</v>
      </c>
      <c r="T261" s="423">
        <v>160</v>
      </c>
      <c r="U261" s="423">
        <v>6</v>
      </c>
      <c r="V261" s="423">
        <v>60</v>
      </c>
      <c r="W261" s="423">
        <v>2</v>
      </c>
      <c r="X261" s="423">
        <v>45</v>
      </c>
      <c r="Z261" s="423" t="s">
        <v>1059</v>
      </c>
      <c r="AD261" s="423">
        <f>IF(ISNUMBER(MATCH(B261,'FICHA SOLIC'!$AB$26:$AB$376,0)),1,0)</f>
        <v>1</v>
      </c>
      <c r="AE261" s="423" t="str">
        <f t="shared" si="4"/>
        <v>CoihaiqueZONA Z 5</v>
      </c>
    </row>
    <row r="262" spans="1:31" x14ac:dyDescent="0.25">
      <c r="A262" s="423">
        <v>261</v>
      </c>
      <c r="B262" s="423" t="s">
        <v>380</v>
      </c>
      <c r="C262" s="423" t="s">
        <v>2269</v>
      </c>
      <c r="D262" s="972" t="s">
        <v>990</v>
      </c>
      <c r="E262" s="973" t="s">
        <v>991</v>
      </c>
      <c r="F262" s="973" t="s">
        <v>992</v>
      </c>
      <c r="G262" s="973" t="s">
        <v>1997</v>
      </c>
      <c r="H262" s="973" t="s">
        <v>1998</v>
      </c>
      <c r="I262" s="973" t="s">
        <v>1999</v>
      </c>
      <c r="J262" s="972" t="s">
        <v>697</v>
      </c>
      <c r="K262" s="973" t="s">
        <v>995</v>
      </c>
      <c r="L262" s="973" t="s">
        <v>996</v>
      </c>
      <c r="M262" s="973" t="s">
        <v>2000</v>
      </c>
      <c r="N262" s="973" t="s">
        <v>2001</v>
      </c>
      <c r="O262" s="972" t="s">
        <v>1971</v>
      </c>
      <c r="P262" s="973" t="s">
        <v>999</v>
      </c>
      <c r="Q262" s="973" t="s">
        <v>1000</v>
      </c>
      <c r="R262" s="973" t="s">
        <v>1001</v>
      </c>
      <c r="S262" s="973" t="s">
        <v>1002</v>
      </c>
      <c r="T262" s="423">
        <v>2000</v>
      </c>
      <c r="U262" s="423">
        <v>20</v>
      </c>
      <c r="V262" s="423">
        <v>25</v>
      </c>
      <c r="W262" s="423">
        <v>0.5</v>
      </c>
      <c r="X262" s="423" t="s">
        <v>2270</v>
      </c>
      <c r="Z262" s="423" t="s">
        <v>1058</v>
      </c>
      <c r="AD262" s="423">
        <f>IF(ISNUMBER(MATCH(B262,'FICHA SOLIC'!$AB$26:$AB$376,0)),1,0)</f>
        <v>1</v>
      </c>
      <c r="AE262" s="423" t="str">
        <f t="shared" si="4"/>
        <v>CoihaiqueZONA Z 6</v>
      </c>
    </row>
    <row r="263" spans="1:31" x14ac:dyDescent="0.25">
      <c r="A263" s="423">
        <v>262</v>
      </c>
      <c r="B263" s="423" t="s">
        <v>380</v>
      </c>
      <c r="C263" s="423" t="s">
        <v>2271</v>
      </c>
      <c r="D263" s="972" t="s">
        <v>990</v>
      </c>
      <c r="E263" s="973" t="s">
        <v>991</v>
      </c>
      <c r="F263" s="973" t="s">
        <v>992</v>
      </c>
      <c r="G263" s="973" t="s">
        <v>1997</v>
      </c>
      <c r="H263" s="973" t="s">
        <v>1998</v>
      </c>
      <c r="I263" s="973" t="s">
        <v>1999</v>
      </c>
      <c r="J263" s="972" t="s">
        <v>697</v>
      </c>
      <c r="K263" s="973" t="s">
        <v>995</v>
      </c>
      <c r="L263" s="973" t="s">
        <v>996</v>
      </c>
      <c r="M263" s="973" t="s">
        <v>2000</v>
      </c>
      <c r="N263" s="973" t="s">
        <v>2001</v>
      </c>
      <c r="O263" s="972" t="s">
        <v>1971</v>
      </c>
      <c r="P263" s="973" t="s">
        <v>999</v>
      </c>
      <c r="Q263" s="973" t="s">
        <v>1000</v>
      </c>
      <c r="R263" s="973" t="s">
        <v>1001</v>
      </c>
      <c r="S263" s="973" t="s">
        <v>1002</v>
      </c>
      <c r="T263" s="423">
        <v>5000</v>
      </c>
      <c r="U263" s="423">
        <v>40</v>
      </c>
      <c r="V263" s="423">
        <v>10</v>
      </c>
      <c r="W263" s="423">
        <v>0.2</v>
      </c>
      <c r="X263" s="423" t="s">
        <v>2272</v>
      </c>
      <c r="Z263" s="423" t="s">
        <v>1058</v>
      </c>
      <c r="AD263" s="423">
        <f>IF(ISNUMBER(MATCH(B263,'FICHA SOLIC'!$AB$26:$AB$376,0)),1,0)</f>
        <v>1</v>
      </c>
      <c r="AE263" s="423" t="str">
        <f t="shared" si="4"/>
        <v>CoihaiqueZONA Z 7</v>
      </c>
    </row>
    <row r="264" spans="1:31" x14ac:dyDescent="0.25">
      <c r="A264" s="423">
        <v>263</v>
      </c>
      <c r="B264" s="423" t="s">
        <v>380</v>
      </c>
      <c r="C264" s="423" t="s">
        <v>2273</v>
      </c>
      <c r="D264" s="972" t="s">
        <v>990</v>
      </c>
      <c r="E264" s="973" t="s">
        <v>991</v>
      </c>
      <c r="F264" s="973" t="s">
        <v>992</v>
      </c>
      <c r="G264" s="973" t="s">
        <v>1997</v>
      </c>
      <c r="H264" s="973" t="s">
        <v>1998</v>
      </c>
      <c r="I264" s="973" t="s">
        <v>1999</v>
      </c>
      <c r="J264" s="972" t="s">
        <v>697</v>
      </c>
      <c r="K264" s="973" t="s">
        <v>995</v>
      </c>
      <c r="L264" s="973" t="s">
        <v>996</v>
      </c>
      <c r="M264" s="973" t="s">
        <v>2000</v>
      </c>
      <c r="N264" s="973" t="s">
        <v>2001</v>
      </c>
      <c r="O264" s="972" t="s">
        <v>1971</v>
      </c>
      <c r="P264" s="973" t="s">
        <v>999</v>
      </c>
      <c r="Q264" s="973" t="s">
        <v>1000</v>
      </c>
      <c r="R264" s="973" t="s">
        <v>1001</v>
      </c>
      <c r="S264" s="973" t="s">
        <v>1002</v>
      </c>
      <c r="T264" s="423">
        <v>200</v>
      </c>
      <c r="U264" s="423">
        <v>60</v>
      </c>
      <c r="V264" s="423">
        <v>60</v>
      </c>
      <c r="W264" s="423">
        <v>2</v>
      </c>
      <c r="X264" s="423" t="s">
        <v>1437</v>
      </c>
      <c r="Z264" s="423" t="s">
        <v>1270</v>
      </c>
      <c r="AD264" s="423">
        <f>IF(ISNUMBER(MATCH(B264,'FICHA SOLIC'!$AB$26:$AB$376,0)),1,0)</f>
        <v>1</v>
      </c>
      <c r="AE264" s="423" t="str">
        <f t="shared" si="4"/>
        <v>CoihaiqueZONA Z 8</v>
      </c>
    </row>
    <row r="265" spans="1:31" x14ac:dyDescent="0.25">
      <c r="A265" s="423">
        <v>264</v>
      </c>
      <c r="B265" s="423" t="s">
        <v>380</v>
      </c>
      <c r="C265" s="423" t="s">
        <v>2274</v>
      </c>
      <c r="D265" s="972" t="s">
        <v>990</v>
      </c>
      <c r="E265" s="973" t="s">
        <v>991</v>
      </c>
      <c r="F265" s="973" t="s">
        <v>992</v>
      </c>
      <c r="G265" s="973" t="s">
        <v>1997</v>
      </c>
      <c r="H265" s="973" t="s">
        <v>1998</v>
      </c>
      <c r="I265" s="973" t="s">
        <v>1999</v>
      </c>
      <c r="J265" s="972" t="s">
        <v>697</v>
      </c>
      <c r="K265" s="973" t="s">
        <v>995</v>
      </c>
      <c r="L265" s="973" t="s">
        <v>996</v>
      </c>
      <c r="M265" s="973" t="s">
        <v>2000</v>
      </c>
      <c r="N265" s="973" t="s">
        <v>2001</v>
      </c>
      <c r="O265" s="972" t="s">
        <v>1971</v>
      </c>
      <c r="P265" s="973" t="s">
        <v>999</v>
      </c>
      <c r="Q265" s="973" t="s">
        <v>1000</v>
      </c>
      <c r="R265" s="973" t="s">
        <v>1001</v>
      </c>
      <c r="S265" s="973" t="s">
        <v>1002</v>
      </c>
      <c r="T265" s="423" t="s">
        <v>2275</v>
      </c>
      <c r="V265" s="423">
        <v>5</v>
      </c>
      <c r="W265" s="423">
        <v>0.1</v>
      </c>
      <c r="Y265" s="423">
        <v>20</v>
      </c>
      <c r="Z265" s="423" t="s">
        <v>1058</v>
      </c>
      <c r="AD265" s="423">
        <f>IF(ISNUMBER(MATCH(B265,'FICHA SOLIC'!$AB$26:$AB$376,0)),1,0)</f>
        <v>1</v>
      </c>
      <c r="AE265" s="423" t="str">
        <f t="shared" si="4"/>
        <v>CoihaiqueZONA Z E-1</v>
      </c>
    </row>
    <row r="266" spans="1:31" x14ac:dyDescent="0.25">
      <c r="A266" s="423">
        <v>265</v>
      </c>
      <c r="B266" s="423" t="s">
        <v>380</v>
      </c>
      <c r="C266" s="423" t="s">
        <v>2276</v>
      </c>
      <c r="D266" s="972" t="s">
        <v>990</v>
      </c>
      <c r="E266" s="973" t="s">
        <v>991</v>
      </c>
      <c r="F266" s="973" t="s">
        <v>992</v>
      </c>
      <c r="G266" s="973" t="s">
        <v>1997</v>
      </c>
      <c r="H266" s="973" t="s">
        <v>1998</v>
      </c>
      <c r="I266" s="973" t="s">
        <v>1999</v>
      </c>
      <c r="J266" s="972" t="s">
        <v>697</v>
      </c>
      <c r="K266" s="973" t="s">
        <v>995</v>
      </c>
      <c r="L266" s="973" t="s">
        <v>996</v>
      </c>
      <c r="M266" s="973" t="s">
        <v>2000</v>
      </c>
      <c r="N266" s="973" t="s">
        <v>2001</v>
      </c>
      <c r="O266" s="972" t="s">
        <v>1971</v>
      </c>
      <c r="P266" s="973" t="s">
        <v>999</v>
      </c>
      <c r="Q266" s="973" t="s">
        <v>1000</v>
      </c>
      <c r="R266" s="973" t="s">
        <v>1001</v>
      </c>
      <c r="S266" s="973" t="s">
        <v>1002</v>
      </c>
      <c r="T266" s="423">
        <v>5000</v>
      </c>
      <c r="V266" s="423">
        <v>10</v>
      </c>
      <c r="W266" s="423">
        <v>0.5</v>
      </c>
      <c r="Y266" s="423">
        <v>10</v>
      </c>
      <c r="Z266" s="423" t="s">
        <v>1058</v>
      </c>
      <c r="AD266" s="423">
        <f>IF(ISNUMBER(MATCH(B266,'FICHA SOLIC'!$AB$26:$AB$376,0)),1,0)</f>
        <v>1</v>
      </c>
      <c r="AE266" s="423" t="str">
        <f t="shared" si="4"/>
        <v>CoihaiqueZONA Z E-2</v>
      </c>
    </row>
    <row r="267" spans="1:31" x14ac:dyDescent="0.25">
      <c r="A267" s="423">
        <v>266</v>
      </c>
      <c r="B267" s="423" t="s">
        <v>380</v>
      </c>
      <c r="C267" s="423" t="s">
        <v>2277</v>
      </c>
      <c r="D267" s="972" t="s">
        <v>990</v>
      </c>
      <c r="E267" s="973" t="s">
        <v>991</v>
      </c>
      <c r="F267" s="973" t="s">
        <v>992</v>
      </c>
      <c r="G267" s="973" t="s">
        <v>1997</v>
      </c>
      <c r="H267" s="973" t="s">
        <v>1998</v>
      </c>
      <c r="I267" s="973" t="s">
        <v>1999</v>
      </c>
      <c r="J267" s="972" t="s">
        <v>697</v>
      </c>
      <c r="K267" s="973" t="s">
        <v>995</v>
      </c>
      <c r="L267" s="973" t="s">
        <v>996</v>
      </c>
      <c r="M267" s="973" t="s">
        <v>2000</v>
      </c>
      <c r="N267" s="973" t="s">
        <v>2001</v>
      </c>
      <c r="O267" s="972" t="s">
        <v>1971</v>
      </c>
      <c r="P267" s="973" t="s">
        <v>999</v>
      </c>
      <c r="Q267" s="973" t="s">
        <v>1000</v>
      </c>
      <c r="R267" s="973" t="s">
        <v>1001</v>
      </c>
      <c r="S267" s="973" t="s">
        <v>1002</v>
      </c>
      <c r="T267" s="423">
        <v>500</v>
      </c>
      <c r="U267" s="423">
        <v>20</v>
      </c>
      <c r="V267" s="423">
        <v>40</v>
      </c>
      <c r="W267" s="423">
        <v>1</v>
      </c>
      <c r="Y267" s="423">
        <v>5</v>
      </c>
      <c r="Z267" s="423" t="s">
        <v>1058</v>
      </c>
      <c r="AD267" s="423">
        <f>IF(ISNUMBER(MATCH(B267,'FICHA SOLIC'!$AB$26:$AB$376,0)),1,0)</f>
        <v>1</v>
      </c>
      <c r="AE267" s="423" t="str">
        <f t="shared" si="4"/>
        <v>CoihaiqueZONA Z I-1</v>
      </c>
    </row>
    <row r="268" spans="1:31" x14ac:dyDescent="0.25">
      <c r="A268" s="423">
        <v>267</v>
      </c>
      <c r="B268" s="423" t="s">
        <v>380</v>
      </c>
      <c r="C268" s="423" t="s">
        <v>2278</v>
      </c>
      <c r="D268" s="972" t="s">
        <v>990</v>
      </c>
      <c r="E268" s="973" t="s">
        <v>991</v>
      </c>
      <c r="F268" s="973" t="s">
        <v>992</v>
      </c>
      <c r="G268" s="973" t="s">
        <v>1997</v>
      </c>
      <c r="H268" s="973" t="s">
        <v>1998</v>
      </c>
      <c r="I268" s="973" t="s">
        <v>1999</v>
      </c>
      <c r="J268" s="972" t="s">
        <v>697</v>
      </c>
      <c r="K268" s="973" t="s">
        <v>995</v>
      </c>
      <c r="L268" s="973" t="s">
        <v>996</v>
      </c>
      <c r="M268" s="973" t="s">
        <v>2000</v>
      </c>
      <c r="N268" s="973" t="s">
        <v>2001</v>
      </c>
      <c r="O268" s="972" t="s">
        <v>1971</v>
      </c>
      <c r="P268" s="973" t="s">
        <v>999</v>
      </c>
      <c r="Q268" s="973" t="s">
        <v>1000</v>
      </c>
      <c r="R268" s="973" t="s">
        <v>1001</v>
      </c>
      <c r="S268" s="973" t="s">
        <v>1002</v>
      </c>
      <c r="T268" s="423">
        <v>1500</v>
      </c>
      <c r="U268" s="423">
        <v>30</v>
      </c>
      <c r="V268" s="423">
        <v>40</v>
      </c>
      <c r="W268" s="423">
        <v>0.8</v>
      </c>
      <c r="Y268" s="423">
        <v>7</v>
      </c>
      <c r="Z268" s="423" t="s">
        <v>1058</v>
      </c>
      <c r="AD268" s="423">
        <f>IF(ISNUMBER(MATCH(B268,'FICHA SOLIC'!$AB$26:$AB$376,0)),1,0)</f>
        <v>1</v>
      </c>
      <c r="AE268" s="423" t="str">
        <f t="shared" si="4"/>
        <v>CoihaiqueZONA Z I-2</v>
      </c>
    </row>
    <row r="269" spans="1:31" x14ac:dyDescent="0.25">
      <c r="A269" s="423">
        <v>268</v>
      </c>
      <c r="B269" s="423" t="s">
        <v>380</v>
      </c>
      <c r="C269" s="423" t="s">
        <v>2279</v>
      </c>
      <c r="D269" s="972" t="s">
        <v>990</v>
      </c>
      <c r="E269" s="973" t="s">
        <v>991</v>
      </c>
      <c r="F269" s="973" t="s">
        <v>992</v>
      </c>
      <c r="G269" s="973" t="s">
        <v>1997</v>
      </c>
      <c r="H269" s="973" t="s">
        <v>1998</v>
      </c>
      <c r="I269" s="973" t="s">
        <v>1999</v>
      </c>
      <c r="J269" s="972" t="s">
        <v>697</v>
      </c>
      <c r="K269" s="973" t="s">
        <v>995</v>
      </c>
      <c r="L269" s="973" t="s">
        <v>996</v>
      </c>
      <c r="M269" s="973" t="s">
        <v>2000</v>
      </c>
      <c r="N269" s="973" t="s">
        <v>2001</v>
      </c>
      <c r="O269" s="972" t="s">
        <v>1971</v>
      </c>
      <c r="P269" s="973" t="s">
        <v>999</v>
      </c>
      <c r="Q269" s="973" t="s">
        <v>1000</v>
      </c>
      <c r="R269" s="973" t="s">
        <v>1001</v>
      </c>
      <c r="S269" s="973" t="s">
        <v>1002</v>
      </c>
      <c r="T269" s="423">
        <v>160</v>
      </c>
      <c r="U269" s="423">
        <v>8</v>
      </c>
      <c r="V269" s="423">
        <v>60</v>
      </c>
      <c r="W269" s="423">
        <v>2.4</v>
      </c>
      <c r="X269" s="423" t="s">
        <v>1437</v>
      </c>
      <c r="Z269" s="423" t="s">
        <v>2068</v>
      </c>
      <c r="AD269" s="423">
        <f>IF(ISNUMBER(MATCH(B269,'FICHA SOLIC'!$AB$26:$AB$376,0)),1,0)</f>
        <v>1</v>
      </c>
      <c r="AE269" s="423" t="str">
        <f t="shared" si="4"/>
        <v>CoihaiqueZONA Z P</v>
      </c>
    </row>
    <row r="270" spans="1:31" x14ac:dyDescent="0.25">
      <c r="A270" s="423">
        <v>269</v>
      </c>
      <c r="B270" s="423" t="s">
        <v>380</v>
      </c>
      <c r="C270" s="423" t="s">
        <v>2280</v>
      </c>
      <c r="D270" s="972" t="s">
        <v>990</v>
      </c>
      <c r="E270" s="973" t="s">
        <v>991</v>
      </c>
      <c r="F270" s="973" t="s">
        <v>992</v>
      </c>
      <c r="G270" s="973" t="s">
        <v>1997</v>
      </c>
      <c r="H270" s="973" t="s">
        <v>1998</v>
      </c>
      <c r="I270" s="973" t="s">
        <v>1999</v>
      </c>
      <c r="J270" s="972" t="s">
        <v>697</v>
      </c>
      <c r="K270" s="973" t="s">
        <v>995</v>
      </c>
      <c r="L270" s="973" t="s">
        <v>996</v>
      </c>
      <c r="M270" s="973" t="s">
        <v>2000</v>
      </c>
      <c r="N270" s="973" t="s">
        <v>2001</v>
      </c>
      <c r="O270" s="972" t="s">
        <v>1971</v>
      </c>
      <c r="P270" s="973" t="s">
        <v>999</v>
      </c>
      <c r="Q270" s="973" t="s">
        <v>1000</v>
      </c>
      <c r="R270" s="973" t="s">
        <v>1001</v>
      </c>
      <c r="S270" s="973" t="s">
        <v>1002</v>
      </c>
      <c r="T270" s="423">
        <v>300</v>
      </c>
      <c r="U270" s="423">
        <v>12</v>
      </c>
      <c r="V270" s="423">
        <v>60</v>
      </c>
      <c r="W270" s="423">
        <v>2</v>
      </c>
      <c r="X270" s="423">
        <v>7.5</v>
      </c>
      <c r="Z270" s="423" t="s">
        <v>1057</v>
      </c>
      <c r="AD270" s="423">
        <f>IF(ISNUMBER(MATCH(B270,'FICHA SOLIC'!$AB$26:$AB$376,0)),1,0)</f>
        <v>1</v>
      </c>
      <c r="AE270" s="423" t="str">
        <f t="shared" si="4"/>
        <v>CoihaiqueZONA Z2</v>
      </c>
    </row>
    <row r="271" spans="1:31" x14ac:dyDescent="0.25">
      <c r="A271" s="423">
        <v>270</v>
      </c>
      <c r="B271" s="423" t="s">
        <v>286</v>
      </c>
      <c r="C271" s="423" t="s">
        <v>1041</v>
      </c>
      <c r="D271" s="972" t="s">
        <v>990</v>
      </c>
      <c r="E271" s="973" t="s">
        <v>991</v>
      </c>
      <c r="F271" s="973" t="s">
        <v>992</v>
      </c>
      <c r="G271" s="973" t="s">
        <v>1997</v>
      </c>
      <c r="H271" s="973" t="s">
        <v>1998</v>
      </c>
      <c r="I271" s="973" t="s">
        <v>1999</v>
      </c>
      <c r="J271" s="972" t="s">
        <v>697</v>
      </c>
      <c r="K271" s="973" t="s">
        <v>995</v>
      </c>
      <c r="L271" s="973" t="s">
        <v>996</v>
      </c>
      <c r="M271" s="973" t="s">
        <v>2000</v>
      </c>
      <c r="N271" s="973" t="s">
        <v>2001</v>
      </c>
      <c r="O271" s="972" t="s">
        <v>1971</v>
      </c>
      <c r="P271" s="973" t="s">
        <v>999</v>
      </c>
      <c r="Q271" s="973" t="s">
        <v>1000</v>
      </c>
      <c r="R271" s="973" t="s">
        <v>1001</v>
      </c>
      <c r="S271" s="973" t="s">
        <v>1002</v>
      </c>
      <c r="T271" s="423" t="s">
        <v>1041</v>
      </c>
      <c r="U271" s="423" t="s">
        <v>1041</v>
      </c>
      <c r="V271" s="423" t="s">
        <v>1041</v>
      </c>
      <c r="W271" s="423" t="s">
        <v>1041</v>
      </c>
      <c r="X271" s="423" t="s">
        <v>1041</v>
      </c>
      <c r="Y271" s="423" t="s">
        <v>1041</v>
      </c>
      <c r="Z271" s="423" t="s">
        <v>1041</v>
      </c>
      <c r="AD271" s="423">
        <f>IF(ISNUMBER(MATCH(B271,'FICHA SOLIC'!$AB$26:$AB$376,0)),1,0)</f>
        <v>1</v>
      </c>
      <c r="AE271" s="423" t="str">
        <f t="shared" si="4"/>
        <v>CoihuecoOGUC</v>
      </c>
    </row>
    <row r="272" spans="1:31" x14ac:dyDescent="0.25">
      <c r="A272" s="423">
        <v>271</v>
      </c>
      <c r="B272" s="423" t="s">
        <v>241</v>
      </c>
      <c r="C272" s="423" t="s">
        <v>1041</v>
      </c>
      <c r="D272" s="972" t="s">
        <v>990</v>
      </c>
      <c r="E272" s="973" t="s">
        <v>991</v>
      </c>
      <c r="F272" s="973" t="s">
        <v>992</v>
      </c>
      <c r="G272" s="973" t="s">
        <v>1997</v>
      </c>
      <c r="H272" s="973" t="s">
        <v>1998</v>
      </c>
      <c r="I272" s="973" t="s">
        <v>1999</v>
      </c>
      <c r="J272" s="972" t="s">
        <v>697</v>
      </c>
      <c r="K272" s="973" t="s">
        <v>995</v>
      </c>
      <c r="L272" s="973" t="s">
        <v>996</v>
      </c>
      <c r="M272" s="973" t="s">
        <v>2000</v>
      </c>
      <c r="N272" s="973" t="s">
        <v>2001</v>
      </c>
      <c r="O272" s="972" t="s">
        <v>1971</v>
      </c>
      <c r="P272" s="973" t="s">
        <v>999</v>
      </c>
      <c r="Q272" s="973" t="s">
        <v>1000</v>
      </c>
      <c r="R272" s="973" t="s">
        <v>1001</v>
      </c>
      <c r="S272" s="973" t="s">
        <v>1002</v>
      </c>
      <c r="T272" s="423" t="s">
        <v>1041</v>
      </c>
      <c r="U272" s="423" t="s">
        <v>1041</v>
      </c>
      <c r="V272" s="423" t="s">
        <v>1041</v>
      </c>
      <c r="W272" s="423" t="s">
        <v>1041</v>
      </c>
      <c r="X272" s="423" t="s">
        <v>1041</v>
      </c>
      <c r="Y272" s="423" t="s">
        <v>1041</v>
      </c>
      <c r="Z272" s="423" t="s">
        <v>1041</v>
      </c>
      <c r="AD272" s="423">
        <f>IF(ISNUMBER(MATCH(B272,'FICHA SOLIC'!$AB$26:$AB$376,0)),1,0)</f>
        <v>1</v>
      </c>
      <c r="AE272" s="423" t="str">
        <f t="shared" si="4"/>
        <v>ColbúnOGUC</v>
      </c>
    </row>
    <row r="273" spans="1:31" x14ac:dyDescent="0.25">
      <c r="A273" s="423">
        <v>272</v>
      </c>
      <c r="B273" s="423" t="s">
        <v>438</v>
      </c>
      <c r="C273" s="423" t="s">
        <v>1412</v>
      </c>
      <c r="D273" s="424" t="s">
        <v>990</v>
      </c>
      <c r="E273" s="425" t="s">
        <v>991</v>
      </c>
      <c r="F273" s="425" t="s">
        <v>992</v>
      </c>
      <c r="G273" s="425" t="s">
        <v>993</v>
      </c>
      <c r="H273" s="426" t="s">
        <v>699</v>
      </c>
      <c r="I273" s="425" t="s">
        <v>994</v>
      </c>
      <c r="J273" s="424" t="s">
        <v>697</v>
      </c>
      <c r="K273" s="425" t="s">
        <v>995</v>
      </c>
      <c r="L273" s="425" t="s">
        <v>996</v>
      </c>
      <c r="M273" s="425" t="s">
        <v>997</v>
      </c>
      <c r="N273" s="425" t="s">
        <v>558</v>
      </c>
      <c r="O273" s="424" t="s">
        <v>998</v>
      </c>
      <c r="P273" s="425" t="s">
        <v>999</v>
      </c>
      <c r="Q273" s="425" t="s">
        <v>1000</v>
      </c>
      <c r="R273" s="425" t="s">
        <v>1001</v>
      </c>
      <c r="S273" s="425" t="s">
        <v>1002</v>
      </c>
      <c r="T273" s="423">
        <v>2500</v>
      </c>
      <c r="U273" s="423" t="s">
        <v>1041</v>
      </c>
      <c r="V273" s="423">
        <v>30</v>
      </c>
      <c r="W273" s="423">
        <v>0.3</v>
      </c>
      <c r="X273" s="423" t="s">
        <v>1175</v>
      </c>
      <c r="Y273" s="423" t="s">
        <v>1041</v>
      </c>
      <c r="Z273" s="423" t="s">
        <v>1058</v>
      </c>
      <c r="AD273" s="423">
        <f>IF(ISNUMBER(MATCH(B273,'FICHA SOLIC'!$AB$26:$AB$376,0)),1,0)</f>
        <v>1</v>
      </c>
      <c r="AE273" s="423" t="str">
        <f t="shared" si="4"/>
        <v>ColinaA1</v>
      </c>
    </row>
    <row r="274" spans="1:31" x14ac:dyDescent="0.25">
      <c r="A274" s="423">
        <v>273</v>
      </c>
      <c r="B274" s="423" t="s">
        <v>438</v>
      </c>
      <c r="C274" s="423" t="s">
        <v>1439</v>
      </c>
      <c r="D274" s="424" t="s">
        <v>990</v>
      </c>
      <c r="E274" s="425" t="s">
        <v>991</v>
      </c>
      <c r="F274" s="425" t="s">
        <v>992</v>
      </c>
      <c r="G274" s="425" t="s">
        <v>993</v>
      </c>
      <c r="H274" s="426" t="s">
        <v>699</v>
      </c>
      <c r="I274" s="425" t="s">
        <v>994</v>
      </c>
      <c r="J274" s="424" t="s">
        <v>697</v>
      </c>
      <c r="K274" s="425" t="s">
        <v>995</v>
      </c>
      <c r="L274" s="425" t="s">
        <v>996</v>
      </c>
      <c r="M274" s="425" t="s">
        <v>997</v>
      </c>
      <c r="N274" s="425" t="s">
        <v>558</v>
      </c>
      <c r="O274" s="424" t="s">
        <v>998</v>
      </c>
      <c r="P274" s="425" t="s">
        <v>999</v>
      </c>
      <c r="Q274" s="425" t="s">
        <v>1000</v>
      </c>
      <c r="R274" s="425" t="s">
        <v>1001</v>
      </c>
      <c r="S274" s="425" t="s">
        <v>1002</v>
      </c>
      <c r="T274" s="423">
        <v>200</v>
      </c>
      <c r="U274" s="423" t="s">
        <v>1041</v>
      </c>
      <c r="V274" s="423">
        <v>40</v>
      </c>
      <c r="W274" s="423">
        <v>0.6</v>
      </c>
      <c r="X274" s="423" t="s">
        <v>1437</v>
      </c>
      <c r="Y274" s="423" t="s">
        <v>1041</v>
      </c>
      <c r="Z274" s="423" t="s">
        <v>1057</v>
      </c>
      <c r="AD274" s="423">
        <f>IF(ISNUMBER(MATCH(B274,'FICHA SOLIC'!$AB$26:$AB$376,0)),1,0)</f>
        <v>1</v>
      </c>
      <c r="AE274" s="423" t="str">
        <f t="shared" si="4"/>
        <v>ColinaA10a</v>
      </c>
    </row>
    <row r="275" spans="1:31" x14ac:dyDescent="0.25">
      <c r="A275" s="423">
        <v>274</v>
      </c>
      <c r="B275" s="423" t="s">
        <v>438</v>
      </c>
      <c r="C275" s="423" t="s">
        <v>1440</v>
      </c>
      <c r="D275" s="424" t="s">
        <v>990</v>
      </c>
      <c r="E275" s="425" t="s">
        <v>991</v>
      </c>
      <c r="F275" s="425" t="s">
        <v>992</v>
      </c>
      <c r="G275" s="425" t="s">
        <v>993</v>
      </c>
      <c r="H275" s="426" t="s">
        <v>699</v>
      </c>
      <c r="I275" s="425" t="s">
        <v>994</v>
      </c>
      <c r="J275" s="424" t="s">
        <v>697</v>
      </c>
      <c r="K275" s="425" t="s">
        <v>995</v>
      </c>
      <c r="L275" s="425" t="s">
        <v>996</v>
      </c>
      <c r="M275" s="425" t="s">
        <v>997</v>
      </c>
      <c r="N275" s="425" t="s">
        <v>558</v>
      </c>
      <c r="O275" s="424" t="s">
        <v>998</v>
      </c>
      <c r="P275" s="425" t="s">
        <v>999</v>
      </c>
      <c r="Q275" s="425" t="s">
        <v>1000</v>
      </c>
      <c r="R275" s="425" t="s">
        <v>1001</v>
      </c>
      <c r="S275" s="425" t="s">
        <v>1002</v>
      </c>
      <c r="T275" s="423">
        <v>200</v>
      </c>
      <c r="U275" s="423" t="s">
        <v>1041</v>
      </c>
      <c r="V275" s="423">
        <v>40</v>
      </c>
      <c r="W275" s="423">
        <v>0.6</v>
      </c>
      <c r="X275" s="423" t="s">
        <v>1437</v>
      </c>
      <c r="Y275" s="423" t="s">
        <v>1041</v>
      </c>
      <c r="Z275" s="423" t="s">
        <v>1057</v>
      </c>
      <c r="AD275" s="423">
        <f>IF(ISNUMBER(MATCH(B275,'FICHA SOLIC'!$AB$26:$AB$376,0)),1,0)</f>
        <v>1</v>
      </c>
      <c r="AE275" s="423" t="str">
        <f t="shared" si="4"/>
        <v>ColinaA10b</v>
      </c>
    </row>
    <row r="276" spans="1:31" x14ac:dyDescent="0.25">
      <c r="A276" s="423">
        <v>275</v>
      </c>
      <c r="B276" s="423" t="s">
        <v>438</v>
      </c>
      <c r="C276" s="423" t="s">
        <v>1441</v>
      </c>
      <c r="D276" s="424" t="s">
        <v>990</v>
      </c>
      <c r="E276" s="425" t="s">
        <v>991</v>
      </c>
      <c r="F276" s="425" t="s">
        <v>992</v>
      </c>
      <c r="G276" s="425" t="s">
        <v>993</v>
      </c>
      <c r="H276" s="426" t="s">
        <v>699</v>
      </c>
      <c r="I276" s="425" t="s">
        <v>994</v>
      </c>
      <c r="J276" s="424" t="s">
        <v>697</v>
      </c>
      <c r="K276" s="425" t="s">
        <v>995</v>
      </c>
      <c r="L276" s="425" t="s">
        <v>996</v>
      </c>
      <c r="M276" s="425" t="s">
        <v>997</v>
      </c>
      <c r="N276" s="425" t="s">
        <v>558</v>
      </c>
      <c r="O276" s="424" t="s">
        <v>998</v>
      </c>
      <c r="P276" s="425" t="s">
        <v>999</v>
      </c>
      <c r="Q276" s="425" t="s">
        <v>1000</v>
      </c>
      <c r="R276" s="425" t="s">
        <v>1001</v>
      </c>
      <c r="S276" s="425" t="s">
        <v>1002</v>
      </c>
      <c r="T276" s="423">
        <v>250</v>
      </c>
      <c r="U276" s="423" t="s">
        <v>1041</v>
      </c>
      <c r="V276" s="423">
        <v>40</v>
      </c>
      <c r="W276" s="423">
        <v>0.5</v>
      </c>
      <c r="X276" s="423" t="s">
        <v>1437</v>
      </c>
      <c r="Y276" s="423" t="s">
        <v>1041</v>
      </c>
      <c r="Z276" s="423" t="s">
        <v>1057</v>
      </c>
      <c r="AD276" s="423">
        <f>IF(ISNUMBER(MATCH(B276,'FICHA SOLIC'!$AB$26:$AB$376,0)),1,0)</f>
        <v>1</v>
      </c>
      <c r="AE276" s="423" t="str">
        <f t="shared" si="4"/>
        <v>ColinaA11a</v>
      </c>
    </row>
    <row r="277" spans="1:31" x14ac:dyDescent="0.25">
      <c r="A277" s="423">
        <v>276</v>
      </c>
      <c r="B277" s="423" t="s">
        <v>438</v>
      </c>
      <c r="C277" s="423" t="s">
        <v>1442</v>
      </c>
      <c r="D277" s="424" t="s">
        <v>990</v>
      </c>
      <c r="E277" s="425" t="s">
        <v>991</v>
      </c>
      <c r="F277" s="425" t="s">
        <v>992</v>
      </c>
      <c r="G277" s="425" t="s">
        <v>993</v>
      </c>
      <c r="H277" s="426" t="s">
        <v>699</v>
      </c>
      <c r="I277" s="425" t="s">
        <v>994</v>
      </c>
      <c r="J277" s="424" t="s">
        <v>697</v>
      </c>
      <c r="K277" s="425" t="s">
        <v>995</v>
      </c>
      <c r="L277" s="425" t="s">
        <v>996</v>
      </c>
      <c r="M277" s="425" t="s">
        <v>997</v>
      </c>
      <c r="N277" s="425" t="s">
        <v>558</v>
      </c>
      <c r="O277" s="424" t="s">
        <v>998</v>
      </c>
      <c r="P277" s="425" t="s">
        <v>999</v>
      </c>
      <c r="Q277" s="425" t="s">
        <v>1000</v>
      </c>
      <c r="R277" s="425" t="s">
        <v>1001</v>
      </c>
      <c r="S277" s="425" t="s">
        <v>1002</v>
      </c>
      <c r="T277" s="423">
        <v>250</v>
      </c>
      <c r="U277" s="423" t="s">
        <v>1041</v>
      </c>
      <c r="V277" s="423">
        <v>40</v>
      </c>
      <c r="W277" s="423">
        <v>0.5</v>
      </c>
      <c r="X277" s="423" t="s">
        <v>1437</v>
      </c>
      <c r="Y277" s="423" t="s">
        <v>1041</v>
      </c>
      <c r="Z277" s="423" t="s">
        <v>1057</v>
      </c>
      <c r="AD277" s="423">
        <f>IF(ISNUMBER(MATCH(B277,'FICHA SOLIC'!$AB$26:$AB$376,0)),1,0)</f>
        <v>1</v>
      </c>
      <c r="AE277" s="423" t="str">
        <f t="shared" si="4"/>
        <v>ColinaA11b</v>
      </c>
    </row>
    <row r="278" spans="1:31" x14ac:dyDescent="0.25">
      <c r="A278" s="423">
        <v>277</v>
      </c>
      <c r="B278" s="423" t="s">
        <v>438</v>
      </c>
      <c r="C278" s="423" t="s">
        <v>1443</v>
      </c>
      <c r="D278" s="424" t="s">
        <v>990</v>
      </c>
      <c r="E278" s="425" t="s">
        <v>991</v>
      </c>
      <c r="F278" s="425" t="s">
        <v>992</v>
      </c>
      <c r="G278" s="425" t="s">
        <v>993</v>
      </c>
      <c r="H278" s="426" t="s">
        <v>699</v>
      </c>
      <c r="I278" s="425" t="s">
        <v>994</v>
      </c>
      <c r="J278" s="424" t="s">
        <v>697</v>
      </c>
      <c r="K278" s="425" t="s">
        <v>995</v>
      </c>
      <c r="L278" s="425" t="s">
        <v>996</v>
      </c>
      <c r="M278" s="425" t="s">
        <v>997</v>
      </c>
      <c r="N278" s="425" t="s">
        <v>558</v>
      </c>
      <c r="O278" s="424" t="s">
        <v>998</v>
      </c>
      <c r="P278" s="425" t="s">
        <v>999</v>
      </c>
      <c r="Q278" s="425" t="s">
        <v>1000</v>
      </c>
      <c r="R278" s="425" t="s">
        <v>1001</v>
      </c>
      <c r="S278" s="425" t="s">
        <v>1002</v>
      </c>
      <c r="T278" s="423">
        <v>300</v>
      </c>
      <c r="U278" s="423" t="s">
        <v>1041</v>
      </c>
      <c r="V278" s="423">
        <v>40</v>
      </c>
      <c r="W278" s="423">
        <v>0.5</v>
      </c>
      <c r="X278" s="423" t="s">
        <v>1437</v>
      </c>
      <c r="Y278" s="423" t="s">
        <v>1041</v>
      </c>
      <c r="Z278" s="423" t="s">
        <v>1057</v>
      </c>
      <c r="AD278" s="423">
        <f>IF(ISNUMBER(MATCH(B278,'FICHA SOLIC'!$AB$26:$AB$376,0)),1,0)</f>
        <v>1</v>
      </c>
      <c r="AE278" s="423" t="str">
        <f t="shared" si="4"/>
        <v>ColinaA12a</v>
      </c>
    </row>
    <row r="279" spans="1:31" x14ac:dyDescent="0.25">
      <c r="A279" s="423">
        <v>278</v>
      </c>
      <c r="B279" s="423" t="s">
        <v>438</v>
      </c>
      <c r="C279" s="423" t="s">
        <v>1444</v>
      </c>
      <c r="D279" s="424" t="s">
        <v>990</v>
      </c>
      <c r="E279" s="425" t="s">
        <v>991</v>
      </c>
      <c r="F279" s="425" t="s">
        <v>992</v>
      </c>
      <c r="G279" s="425" t="s">
        <v>993</v>
      </c>
      <c r="H279" s="426" t="s">
        <v>699</v>
      </c>
      <c r="I279" s="425" t="s">
        <v>994</v>
      </c>
      <c r="J279" s="424" t="s">
        <v>697</v>
      </c>
      <c r="K279" s="425" t="s">
        <v>995</v>
      </c>
      <c r="L279" s="425" t="s">
        <v>996</v>
      </c>
      <c r="M279" s="425" t="s">
        <v>997</v>
      </c>
      <c r="N279" s="425" t="s">
        <v>558</v>
      </c>
      <c r="O279" s="424" t="s">
        <v>998</v>
      </c>
      <c r="P279" s="425" t="s">
        <v>999</v>
      </c>
      <c r="Q279" s="425" t="s">
        <v>1000</v>
      </c>
      <c r="R279" s="425" t="s">
        <v>1001</v>
      </c>
      <c r="S279" s="425" t="s">
        <v>1002</v>
      </c>
      <c r="T279" s="423">
        <v>300</v>
      </c>
      <c r="U279" s="423" t="s">
        <v>1041</v>
      </c>
      <c r="V279" s="423">
        <v>40</v>
      </c>
      <c r="W279" s="423">
        <v>0.5</v>
      </c>
      <c r="X279" s="423" t="s">
        <v>1437</v>
      </c>
      <c r="Y279" s="423" t="s">
        <v>1041</v>
      </c>
      <c r="Z279" s="423" t="s">
        <v>1057</v>
      </c>
      <c r="AD279" s="423">
        <f>IF(ISNUMBER(MATCH(B279,'FICHA SOLIC'!$AB$26:$AB$376,0)),1,0)</f>
        <v>1</v>
      </c>
      <c r="AE279" s="423" t="str">
        <f t="shared" si="4"/>
        <v>ColinaA12b</v>
      </c>
    </row>
    <row r="280" spans="1:31" x14ac:dyDescent="0.25">
      <c r="A280" s="423">
        <v>279</v>
      </c>
      <c r="B280" s="423" t="s">
        <v>438</v>
      </c>
      <c r="C280" s="423" t="s">
        <v>1446</v>
      </c>
      <c r="D280" s="424" t="s">
        <v>990</v>
      </c>
      <c r="E280" s="425" t="s">
        <v>991</v>
      </c>
      <c r="F280" s="425" t="s">
        <v>992</v>
      </c>
      <c r="G280" s="425" t="s">
        <v>993</v>
      </c>
      <c r="H280" s="426" t="s">
        <v>699</v>
      </c>
      <c r="I280" s="425" t="s">
        <v>994</v>
      </c>
      <c r="J280" s="424" t="s">
        <v>697</v>
      </c>
      <c r="K280" s="425" t="s">
        <v>995</v>
      </c>
      <c r="L280" s="425" t="s">
        <v>996</v>
      </c>
      <c r="M280" s="425" t="s">
        <v>997</v>
      </c>
      <c r="N280" s="425" t="s">
        <v>558</v>
      </c>
      <c r="O280" s="424" t="s">
        <v>998</v>
      </c>
      <c r="P280" s="425" t="s">
        <v>999</v>
      </c>
      <c r="Q280" s="425" t="s">
        <v>1000</v>
      </c>
      <c r="R280" s="425" t="s">
        <v>1001</v>
      </c>
      <c r="S280" s="425" t="s">
        <v>1002</v>
      </c>
      <c r="T280" s="423">
        <v>400</v>
      </c>
      <c r="U280" s="423" t="s">
        <v>1041</v>
      </c>
      <c r="V280" s="423">
        <v>40</v>
      </c>
      <c r="W280" s="423">
        <v>0.4</v>
      </c>
      <c r="X280" s="423" t="s">
        <v>1437</v>
      </c>
      <c r="Y280" s="423" t="s">
        <v>1041</v>
      </c>
      <c r="Z280" s="423" t="s">
        <v>1058</v>
      </c>
      <c r="AD280" s="423">
        <f>IF(ISNUMBER(MATCH(B280,'FICHA SOLIC'!$AB$26:$AB$376,0)),1,0)</f>
        <v>1</v>
      </c>
      <c r="AE280" s="423" t="str">
        <f t="shared" si="4"/>
        <v>ColinaA13a</v>
      </c>
    </row>
    <row r="281" spans="1:31" x14ac:dyDescent="0.25">
      <c r="A281" s="423">
        <v>280</v>
      </c>
      <c r="B281" s="423" t="s">
        <v>438</v>
      </c>
      <c r="C281" s="423" t="s">
        <v>1445</v>
      </c>
      <c r="D281" s="424" t="s">
        <v>990</v>
      </c>
      <c r="E281" s="425" t="s">
        <v>991</v>
      </c>
      <c r="F281" s="425" t="s">
        <v>992</v>
      </c>
      <c r="G281" s="425" t="s">
        <v>993</v>
      </c>
      <c r="H281" s="426" t="s">
        <v>699</v>
      </c>
      <c r="I281" s="425" t="s">
        <v>994</v>
      </c>
      <c r="J281" s="424" t="s">
        <v>697</v>
      </c>
      <c r="K281" s="425" t="s">
        <v>995</v>
      </c>
      <c r="L281" s="425" t="s">
        <v>996</v>
      </c>
      <c r="M281" s="425" t="s">
        <v>997</v>
      </c>
      <c r="N281" s="425" t="s">
        <v>558</v>
      </c>
      <c r="O281" s="424" t="s">
        <v>998</v>
      </c>
      <c r="P281" s="425" t="s">
        <v>999</v>
      </c>
      <c r="Q281" s="425" t="s">
        <v>1000</v>
      </c>
      <c r="R281" s="425" t="s">
        <v>1001</v>
      </c>
      <c r="S281" s="425" t="s">
        <v>1002</v>
      </c>
      <c r="T281" s="423">
        <v>400</v>
      </c>
      <c r="U281" s="423" t="s">
        <v>1041</v>
      </c>
      <c r="V281" s="423">
        <v>40</v>
      </c>
      <c r="W281" s="423">
        <v>0.4</v>
      </c>
      <c r="X281" s="423" t="s">
        <v>1437</v>
      </c>
      <c r="Y281" s="423" t="s">
        <v>1041</v>
      </c>
      <c r="Z281" s="423" t="s">
        <v>1058</v>
      </c>
      <c r="AD281" s="423">
        <f>IF(ISNUMBER(MATCH(B281,'FICHA SOLIC'!$AB$26:$AB$376,0)),1,0)</f>
        <v>1</v>
      </c>
      <c r="AE281" s="423" t="str">
        <f t="shared" si="4"/>
        <v>ColinaA13b</v>
      </c>
    </row>
    <row r="282" spans="1:31" x14ac:dyDescent="0.25">
      <c r="A282" s="423">
        <v>281</v>
      </c>
      <c r="B282" s="423" t="s">
        <v>438</v>
      </c>
      <c r="C282" s="423" t="s">
        <v>1413</v>
      </c>
      <c r="D282" s="424" t="s">
        <v>990</v>
      </c>
      <c r="E282" s="425" t="s">
        <v>991</v>
      </c>
      <c r="F282" s="425" t="s">
        <v>992</v>
      </c>
      <c r="G282" s="425" t="s">
        <v>993</v>
      </c>
      <c r="H282" s="426" t="s">
        <v>699</v>
      </c>
      <c r="I282" s="425" t="s">
        <v>994</v>
      </c>
      <c r="J282" s="424" t="s">
        <v>697</v>
      </c>
      <c r="K282" s="425" t="s">
        <v>995</v>
      </c>
      <c r="L282" s="425" t="s">
        <v>996</v>
      </c>
      <c r="M282" s="425" t="s">
        <v>997</v>
      </c>
      <c r="N282" s="425" t="s">
        <v>558</v>
      </c>
      <c r="O282" s="424" t="s">
        <v>998</v>
      </c>
      <c r="P282" s="425" t="s">
        <v>999</v>
      </c>
      <c r="Q282" s="425" t="s">
        <v>1000</v>
      </c>
      <c r="R282" s="425" t="s">
        <v>1001</v>
      </c>
      <c r="S282" s="425" t="s">
        <v>1002</v>
      </c>
      <c r="T282" s="423">
        <v>200</v>
      </c>
      <c r="U282" s="423" t="s">
        <v>1041</v>
      </c>
      <c r="V282" s="423">
        <v>40</v>
      </c>
      <c r="W282" s="423">
        <v>0.5</v>
      </c>
      <c r="X282" s="423" t="s">
        <v>1437</v>
      </c>
      <c r="Y282" s="423" t="s">
        <v>1041</v>
      </c>
      <c r="Z282" s="423" t="s">
        <v>1059</v>
      </c>
      <c r="AD282" s="423">
        <f>IF(ISNUMBER(MATCH(B282,'FICHA SOLIC'!$AB$26:$AB$376,0)),1,0)</f>
        <v>1</v>
      </c>
      <c r="AE282" s="423" t="str">
        <f t="shared" si="4"/>
        <v>ColinaA2</v>
      </c>
    </row>
    <row r="283" spans="1:31" x14ac:dyDescent="0.25">
      <c r="A283" s="423">
        <v>282</v>
      </c>
      <c r="B283" s="423" t="s">
        <v>438</v>
      </c>
      <c r="C283" s="423" t="s">
        <v>1414</v>
      </c>
      <c r="D283" s="424" t="s">
        <v>990</v>
      </c>
      <c r="E283" s="425" t="s">
        <v>991</v>
      </c>
      <c r="F283" s="425" t="s">
        <v>992</v>
      </c>
      <c r="G283" s="425" t="s">
        <v>993</v>
      </c>
      <c r="H283" s="426" t="s">
        <v>699</v>
      </c>
      <c r="I283" s="425" t="s">
        <v>994</v>
      </c>
      <c r="J283" s="424" t="s">
        <v>697</v>
      </c>
      <c r="K283" s="425" t="s">
        <v>995</v>
      </c>
      <c r="L283" s="425" t="s">
        <v>996</v>
      </c>
      <c r="M283" s="425" t="s">
        <v>997</v>
      </c>
      <c r="N283" s="425" t="s">
        <v>558</v>
      </c>
      <c r="O283" s="424" t="s">
        <v>998</v>
      </c>
      <c r="P283" s="425" t="s">
        <v>999</v>
      </c>
      <c r="Q283" s="425" t="s">
        <v>1000</v>
      </c>
      <c r="R283" s="425" t="s">
        <v>1001</v>
      </c>
      <c r="S283" s="425" t="s">
        <v>1002</v>
      </c>
      <c r="T283" s="423">
        <v>160</v>
      </c>
      <c r="U283" s="423" t="s">
        <v>1041</v>
      </c>
      <c r="V283" s="423">
        <v>40</v>
      </c>
      <c r="W283" s="423">
        <v>0.5</v>
      </c>
      <c r="X283" s="423" t="s">
        <v>1438</v>
      </c>
      <c r="Y283" s="423" t="s">
        <v>1041</v>
      </c>
      <c r="Z283" s="423" t="s">
        <v>1059</v>
      </c>
      <c r="AD283" s="423">
        <f>IF(ISNUMBER(MATCH(B283,'FICHA SOLIC'!$AB$26:$AB$376,0)),1,0)</f>
        <v>1</v>
      </c>
      <c r="AE283" s="423" t="str">
        <f t="shared" si="4"/>
        <v>ColinaA3</v>
      </c>
    </row>
    <row r="284" spans="1:31" x14ac:dyDescent="0.25">
      <c r="A284" s="423">
        <v>283</v>
      </c>
      <c r="B284" s="423" t="s">
        <v>438</v>
      </c>
      <c r="C284" s="423" t="s">
        <v>1415</v>
      </c>
      <c r="D284" s="424" t="s">
        <v>990</v>
      </c>
      <c r="E284" s="425" t="s">
        <v>991</v>
      </c>
      <c r="F284" s="425" t="s">
        <v>992</v>
      </c>
      <c r="G284" s="425" t="s">
        <v>993</v>
      </c>
      <c r="H284" s="426" t="s">
        <v>699</v>
      </c>
      <c r="I284" s="425" t="s">
        <v>994</v>
      </c>
      <c r="J284" s="424" t="s">
        <v>697</v>
      </c>
      <c r="K284" s="425" t="s">
        <v>995</v>
      </c>
      <c r="L284" s="425" t="s">
        <v>996</v>
      </c>
      <c r="M284" s="425" t="s">
        <v>997</v>
      </c>
      <c r="N284" s="425" t="s">
        <v>558</v>
      </c>
      <c r="O284" s="424" t="s">
        <v>998</v>
      </c>
      <c r="P284" s="425" t="s">
        <v>999</v>
      </c>
      <c r="Q284" s="425" t="s">
        <v>1000</v>
      </c>
      <c r="R284" s="425" t="s">
        <v>1001</v>
      </c>
      <c r="S284" s="425" t="s">
        <v>1002</v>
      </c>
      <c r="T284" s="423">
        <v>200</v>
      </c>
      <c r="U284" s="423" t="s">
        <v>1041</v>
      </c>
      <c r="V284" s="423">
        <v>40</v>
      </c>
      <c r="W284" s="423">
        <v>0.8</v>
      </c>
      <c r="X284" s="423" t="s">
        <v>1438</v>
      </c>
      <c r="Y284" s="423" t="s">
        <v>1041</v>
      </c>
      <c r="Z284" s="423" t="s">
        <v>1057</v>
      </c>
      <c r="AD284" s="423">
        <f>IF(ISNUMBER(MATCH(B284,'FICHA SOLIC'!$AB$26:$AB$376,0)),1,0)</f>
        <v>1</v>
      </c>
      <c r="AE284" s="423" t="str">
        <f t="shared" si="4"/>
        <v>ColinaA4</v>
      </c>
    </row>
    <row r="285" spans="1:31" x14ac:dyDescent="0.25">
      <c r="A285" s="423">
        <v>284</v>
      </c>
      <c r="B285" s="423" t="s">
        <v>438</v>
      </c>
      <c r="C285" s="423" t="s">
        <v>1416</v>
      </c>
      <c r="D285" s="424" t="s">
        <v>990</v>
      </c>
      <c r="E285" s="425" t="s">
        <v>991</v>
      </c>
      <c r="F285" s="425" t="s">
        <v>992</v>
      </c>
      <c r="G285" s="425" t="s">
        <v>993</v>
      </c>
      <c r="H285" s="426" t="s">
        <v>699</v>
      </c>
      <c r="I285" s="425" t="s">
        <v>994</v>
      </c>
      <c r="J285" s="424" t="s">
        <v>697</v>
      </c>
      <c r="K285" s="425" t="s">
        <v>995</v>
      </c>
      <c r="L285" s="425" t="s">
        <v>996</v>
      </c>
      <c r="M285" s="425" t="s">
        <v>997</v>
      </c>
      <c r="N285" s="425" t="s">
        <v>558</v>
      </c>
      <c r="O285" s="424" t="s">
        <v>998</v>
      </c>
      <c r="P285" s="425" t="s">
        <v>999</v>
      </c>
      <c r="Q285" s="425" t="s">
        <v>1000</v>
      </c>
      <c r="R285" s="425" t="s">
        <v>1001</v>
      </c>
      <c r="S285" s="425" t="s">
        <v>1002</v>
      </c>
      <c r="T285" s="423">
        <v>250</v>
      </c>
      <c r="U285" s="423" t="s">
        <v>1041</v>
      </c>
      <c r="V285" s="423">
        <v>40</v>
      </c>
      <c r="W285" s="423">
        <v>0.5</v>
      </c>
      <c r="X285" s="423" t="s">
        <v>1437</v>
      </c>
      <c r="Y285" s="423" t="s">
        <v>1041</v>
      </c>
      <c r="Z285" s="423" t="s">
        <v>1057</v>
      </c>
      <c r="AD285" s="423">
        <f>IF(ISNUMBER(MATCH(B285,'FICHA SOLIC'!$AB$26:$AB$376,0)),1,0)</f>
        <v>1</v>
      </c>
      <c r="AE285" s="423" t="str">
        <f t="shared" si="4"/>
        <v>ColinaA5</v>
      </c>
    </row>
    <row r="286" spans="1:31" x14ac:dyDescent="0.25">
      <c r="A286" s="423">
        <v>285</v>
      </c>
      <c r="B286" s="423" t="s">
        <v>438</v>
      </c>
      <c r="C286" s="423" t="s">
        <v>1417</v>
      </c>
      <c r="D286" s="424" t="s">
        <v>990</v>
      </c>
      <c r="E286" s="425" t="s">
        <v>991</v>
      </c>
      <c r="F286" s="425" t="s">
        <v>992</v>
      </c>
      <c r="G286" s="425" t="s">
        <v>993</v>
      </c>
      <c r="H286" s="426" t="s">
        <v>699</v>
      </c>
      <c r="I286" s="425" t="s">
        <v>994</v>
      </c>
      <c r="J286" s="424" t="s">
        <v>697</v>
      </c>
      <c r="K286" s="425" t="s">
        <v>995</v>
      </c>
      <c r="L286" s="425" t="s">
        <v>996</v>
      </c>
      <c r="M286" s="425" t="s">
        <v>997</v>
      </c>
      <c r="N286" s="425" t="s">
        <v>558</v>
      </c>
      <c r="O286" s="424" t="s">
        <v>998</v>
      </c>
      <c r="P286" s="425" t="s">
        <v>999</v>
      </c>
      <c r="Q286" s="425" t="s">
        <v>1000</v>
      </c>
      <c r="R286" s="425" t="s">
        <v>1001</v>
      </c>
      <c r="S286" s="425" t="s">
        <v>1002</v>
      </c>
      <c r="T286" s="423">
        <v>350</v>
      </c>
      <c r="U286" s="423" t="s">
        <v>1041</v>
      </c>
      <c r="V286" s="423">
        <v>40</v>
      </c>
      <c r="W286" s="423">
        <v>0.5</v>
      </c>
      <c r="X286" s="423" t="s">
        <v>1437</v>
      </c>
      <c r="Y286" s="423" t="s">
        <v>1041</v>
      </c>
      <c r="Z286" s="423" t="s">
        <v>1057</v>
      </c>
      <c r="AD286" s="423">
        <f>IF(ISNUMBER(MATCH(B286,'FICHA SOLIC'!$AB$26:$AB$376,0)),1,0)</f>
        <v>1</v>
      </c>
      <c r="AE286" s="423" t="str">
        <f t="shared" si="4"/>
        <v>ColinaA6</v>
      </c>
    </row>
    <row r="287" spans="1:31" x14ac:dyDescent="0.25">
      <c r="A287" s="423">
        <v>286</v>
      </c>
      <c r="B287" s="423" t="s">
        <v>438</v>
      </c>
      <c r="C287" s="423" t="s">
        <v>1418</v>
      </c>
      <c r="D287" s="424" t="s">
        <v>990</v>
      </c>
      <c r="E287" s="425" t="s">
        <v>991</v>
      </c>
      <c r="F287" s="425" t="s">
        <v>992</v>
      </c>
      <c r="G287" s="425" t="s">
        <v>993</v>
      </c>
      <c r="H287" s="426" t="s">
        <v>699</v>
      </c>
      <c r="I287" s="425" t="s">
        <v>994</v>
      </c>
      <c r="J287" s="424" t="s">
        <v>697</v>
      </c>
      <c r="K287" s="425" t="s">
        <v>995</v>
      </c>
      <c r="L287" s="425" t="s">
        <v>996</v>
      </c>
      <c r="M287" s="425" t="s">
        <v>997</v>
      </c>
      <c r="N287" s="425" t="s">
        <v>558</v>
      </c>
      <c r="O287" s="424" t="s">
        <v>998</v>
      </c>
      <c r="P287" s="425" t="s">
        <v>999</v>
      </c>
      <c r="Q287" s="425" t="s">
        <v>1000</v>
      </c>
      <c r="R287" s="425" t="s">
        <v>1001</v>
      </c>
      <c r="S287" s="425" t="s">
        <v>1002</v>
      </c>
      <c r="T287" s="423">
        <v>450</v>
      </c>
      <c r="U287" s="423" t="s">
        <v>1041</v>
      </c>
      <c r="V287" s="423">
        <v>30</v>
      </c>
      <c r="W287" s="423">
        <v>50</v>
      </c>
      <c r="X287" s="423" t="s">
        <v>1437</v>
      </c>
      <c r="Y287" s="423" t="s">
        <v>1041</v>
      </c>
      <c r="Z287" s="423" t="s">
        <v>1058</v>
      </c>
      <c r="AD287" s="423">
        <f>IF(ISNUMBER(MATCH(B287,'FICHA SOLIC'!$AB$26:$AB$376,0)),1,0)</f>
        <v>1</v>
      </c>
      <c r="AE287" s="423" t="str">
        <f t="shared" si="4"/>
        <v>ColinaA7</v>
      </c>
    </row>
    <row r="288" spans="1:31" s="427" customFormat="1" x14ac:dyDescent="0.25">
      <c r="A288" s="423">
        <v>287</v>
      </c>
      <c r="B288" s="423" t="s">
        <v>438</v>
      </c>
      <c r="C288" s="423" t="s">
        <v>1419</v>
      </c>
      <c r="D288" s="424" t="s">
        <v>990</v>
      </c>
      <c r="E288" s="425" t="s">
        <v>991</v>
      </c>
      <c r="F288" s="425" t="s">
        <v>992</v>
      </c>
      <c r="G288" s="425" t="s">
        <v>993</v>
      </c>
      <c r="H288" s="426" t="s">
        <v>699</v>
      </c>
      <c r="I288" s="425" t="s">
        <v>994</v>
      </c>
      <c r="J288" s="424" t="s">
        <v>697</v>
      </c>
      <c r="K288" s="425" t="s">
        <v>995</v>
      </c>
      <c r="L288" s="425" t="s">
        <v>996</v>
      </c>
      <c r="M288" s="425" t="s">
        <v>997</v>
      </c>
      <c r="N288" s="425" t="s">
        <v>558</v>
      </c>
      <c r="O288" s="424" t="s">
        <v>998</v>
      </c>
      <c r="P288" s="425" t="s">
        <v>999</v>
      </c>
      <c r="Q288" s="425" t="s">
        <v>1000</v>
      </c>
      <c r="R288" s="425" t="s">
        <v>1001</v>
      </c>
      <c r="S288" s="425" t="s">
        <v>1002</v>
      </c>
      <c r="T288" s="423">
        <v>500</v>
      </c>
      <c r="U288" s="423" t="s">
        <v>1041</v>
      </c>
      <c r="V288" s="423">
        <v>30</v>
      </c>
      <c r="W288" s="423">
        <v>0.5</v>
      </c>
      <c r="X288" s="423" t="s">
        <v>1437</v>
      </c>
      <c r="Y288" s="423" t="s">
        <v>1041</v>
      </c>
      <c r="Z288" s="423" t="s">
        <v>1058</v>
      </c>
      <c r="AD288" s="423">
        <f>IF(ISNUMBER(MATCH(B288,'FICHA SOLIC'!$AB$26:$AB$376,0)),1,0)</f>
        <v>1</v>
      </c>
      <c r="AE288" s="423" t="str">
        <f t="shared" si="4"/>
        <v>ColinaA8</v>
      </c>
    </row>
    <row r="289" spans="1:31" x14ac:dyDescent="0.25">
      <c r="A289" s="423">
        <v>288</v>
      </c>
      <c r="B289" s="423" t="s">
        <v>438</v>
      </c>
      <c r="C289" s="423" t="s">
        <v>1420</v>
      </c>
      <c r="D289" s="424" t="s">
        <v>990</v>
      </c>
      <c r="E289" s="425" t="s">
        <v>991</v>
      </c>
      <c r="F289" s="425" t="s">
        <v>992</v>
      </c>
      <c r="G289" s="425" t="s">
        <v>993</v>
      </c>
      <c r="H289" s="426" t="s">
        <v>699</v>
      </c>
      <c r="I289" s="425" t="s">
        <v>994</v>
      </c>
      <c r="J289" s="424" t="s">
        <v>697</v>
      </c>
      <c r="K289" s="425" t="s">
        <v>995</v>
      </c>
      <c r="L289" s="425" t="s">
        <v>996</v>
      </c>
      <c r="M289" s="425" t="s">
        <v>997</v>
      </c>
      <c r="N289" s="425" t="s">
        <v>558</v>
      </c>
      <c r="O289" s="424" t="s">
        <v>998</v>
      </c>
      <c r="P289" s="425" t="s">
        <v>999</v>
      </c>
      <c r="Q289" s="425" t="s">
        <v>1000</v>
      </c>
      <c r="R289" s="425" t="s">
        <v>1001</v>
      </c>
      <c r="S289" s="425" t="s">
        <v>1002</v>
      </c>
      <c r="T289" s="423">
        <v>2500</v>
      </c>
      <c r="U289" s="423" t="s">
        <v>1041</v>
      </c>
      <c r="V289" s="423">
        <v>15</v>
      </c>
      <c r="W289" s="423">
        <v>0.2</v>
      </c>
      <c r="X289" s="423" t="s">
        <v>1437</v>
      </c>
      <c r="Y289" s="423" t="s">
        <v>1041</v>
      </c>
      <c r="Z289" s="423" t="s">
        <v>1058</v>
      </c>
      <c r="AD289" s="423">
        <f>IF(ISNUMBER(MATCH(B289,'FICHA SOLIC'!$AB$26:$AB$376,0)),1,0)</f>
        <v>1</v>
      </c>
      <c r="AE289" s="423" t="str">
        <f t="shared" si="4"/>
        <v>ColinaA9</v>
      </c>
    </row>
    <row r="290" spans="1:31" x14ac:dyDescent="0.25">
      <c r="A290" s="423">
        <v>289</v>
      </c>
      <c r="B290" s="423" t="s">
        <v>438</v>
      </c>
      <c r="C290" s="423" t="s">
        <v>1421</v>
      </c>
      <c r="D290" s="424" t="s">
        <v>990</v>
      </c>
      <c r="E290" s="425" t="s">
        <v>991</v>
      </c>
      <c r="F290" s="425" t="s">
        <v>992</v>
      </c>
      <c r="G290" s="425" t="s">
        <v>993</v>
      </c>
      <c r="H290" s="426" t="s">
        <v>699</v>
      </c>
      <c r="I290" s="425" t="s">
        <v>994</v>
      </c>
      <c r="J290" s="424" t="s">
        <v>697</v>
      </c>
      <c r="K290" s="425" t="s">
        <v>995</v>
      </c>
      <c r="L290" s="425" t="s">
        <v>996</v>
      </c>
      <c r="M290" s="425" t="s">
        <v>997</v>
      </c>
      <c r="N290" s="425" t="s">
        <v>558</v>
      </c>
      <c r="O290" s="424" t="s">
        <v>998</v>
      </c>
      <c r="P290" s="425" t="s">
        <v>999</v>
      </c>
      <c r="Q290" s="425" t="s">
        <v>1000</v>
      </c>
      <c r="R290" s="425" t="s">
        <v>1001</v>
      </c>
      <c r="S290" s="425" t="s">
        <v>1002</v>
      </c>
      <c r="T290" s="423">
        <v>300</v>
      </c>
      <c r="U290" s="423" t="s">
        <v>1041</v>
      </c>
      <c r="V290" s="423">
        <v>40</v>
      </c>
      <c r="W290" s="423">
        <v>1.2</v>
      </c>
      <c r="X290" s="423" t="s">
        <v>1447</v>
      </c>
      <c r="Y290" s="423" t="s">
        <v>1041</v>
      </c>
      <c r="Z290" s="423" t="s">
        <v>1057</v>
      </c>
      <c r="AD290" s="423">
        <f>IF(ISNUMBER(MATCH(B290,'FICHA SOLIC'!$AB$26:$AB$376,0)),1,0)</f>
        <v>1</v>
      </c>
      <c r="AE290" s="423" t="str">
        <f t="shared" si="4"/>
        <v>ColinaAC</v>
      </c>
    </row>
    <row r="291" spans="1:31" x14ac:dyDescent="0.25">
      <c r="A291" s="423">
        <v>290</v>
      </c>
      <c r="B291" s="423" t="s">
        <v>438</v>
      </c>
      <c r="C291" s="423" t="s">
        <v>1448</v>
      </c>
      <c r="D291" s="424" t="s">
        <v>990</v>
      </c>
      <c r="E291" s="425" t="s">
        <v>991</v>
      </c>
      <c r="F291" s="425" t="s">
        <v>992</v>
      </c>
      <c r="G291" s="425" t="s">
        <v>993</v>
      </c>
      <c r="H291" s="426" t="s">
        <v>699</v>
      </c>
      <c r="I291" s="425" t="s">
        <v>994</v>
      </c>
      <c r="J291" s="424" t="s">
        <v>697</v>
      </c>
      <c r="K291" s="425" t="s">
        <v>995</v>
      </c>
      <c r="L291" s="425" t="s">
        <v>996</v>
      </c>
      <c r="M291" s="425" t="s">
        <v>997</v>
      </c>
      <c r="N291" s="425" t="s">
        <v>558</v>
      </c>
      <c r="O291" s="424" t="s">
        <v>998</v>
      </c>
      <c r="P291" s="425" t="s">
        <v>999</v>
      </c>
      <c r="Q291" s="425" t="s">
        <v>1000</v>
      </c>
      <c r="R291" s="425" t="s">
        <v>1001</v>
      </c>
      <c r="S291" s="425" t="s">
        <v>1002</v>
      </c>
      <c r="T291" s="423">
        <v>2500</v>
      </c>
      <c r="U291" s="423" t="s">
        <v>1041</v>
      </c>
      <c r="V291" s="423">
        <v>40</v>
      </c>
      <c r="W291" s="423">
        <v>2</v>
      </c>
      <c r="X291" s="423" t="s">
        <v>1175</v>
      </c>
      <c r="Y291" s="423" t="s">
        <v>1041</v>
      </c>
      <c r="Z291" s="423" t="s">
        <v>1058</v>
      </c>
      <c r="AD291" s="423">
        <f>IF(ISNUMBER(MATCH(B291,'FICHA SOLIC'!$AB$26:$AB$376,0)),1,0)</f>
        <v>1</v>
      </c>
      <c r="AE291" s="423" t="str">
        <f t="shared" si="4"/>
        <v>ColinaB1a</v>
      </c>
    </row>
    <row r="292" spans="1:31" x14ac:dyDescent="0.25">
      <c r="A292" s="423">
        <v>291</v>
      </c>
      <c r="B292" s="423" t="s">
        <v>438</v>
      </c>
      <c r="C292" s="423" t="s">
        <v>1449</v>
      </c>
      <c r="D292" s="424" t="s">
        <v>990</v>
      </c>
      <c r="E292" s="425" t="s">
        <v>991</v>
      </c>
      <c r="F292" s="425" t="s">
        <v>992</v>
      </c>
      <c r="G292" s="425" t="s">
        <v>993</v>
      </c>
      <c r="H292" s="426" t="s">
        <v>699</v>
      </c>
      <c r="I292" s="425" t="s">
        <v>994</v>
      </c>
      <c r="J292" s="424" t="s">
        <v>697</v>
      </c>
      <c r="K292" s="425" t="s">
        <v>995</v>
      </c>
      <c r="L292" s="425" t="s">
        <v>996</v>
      </c>
      <c r="M292" s="425" t="s">
        <v>997</v>
      </c>
      <c r="N292" s="425" t="s">
        <v>558</v>
      </c>
      <c r="O292" s="424" t="s">
        <v>998</v>
      </c>
      <c r="P292" s="425" t="s">
        <v>999</v>
      </c>
      <c r="Q292" s="425" t="s">
        <v>1000</v>
      </c>
      <c r="R292" s="425" t="s">
        <v>1001</v>
      </c>
      <c r="S292" s="425" t="s">
        <v>1002</v>
      </c>
      <c r="T292" s="423">
        <v>2500</v>
      </c>
      <c r="U292" s="423" t="s">
        <v>1041</v>
      </c>
      <c r="V292" s="423">
        <v>40</v>
      </c>
      <c r="W292" s="423">
        <v>2</v>
      </c>
      <c r="X292" s="423" t="s">
        <v>1175</v>
      </c>
      <c r="Y292" s="423" t="s">
        <v>1041</v>
      </c>
      <c r="Z292" s="423" t="s">
        <v>1058</v>
      </c>
      <c r="AD292" s="423">
        <f>IF(ISNUMBER(MATCH(B292,'FICHA SOLIC'!$AB$26:$AB$376,0)),1,0)</f>
        <v>1</v>
      </c>
      <c r="AE292" s="423" t="str">
        <f t="shared" si="4"/>
        <v>ColinaB1b</v>
      </c>
    </row>
    <row r="293" spans="1:31" x14ac:dyDescent="0.25">
      <c r="A293" s="423">
        <v>292</v>
      </c>
      <c r="B293" s="423" t="s">
        <v>438</v>
      </c>
      <c r="C293" s="423" t="s">
        <v>1422</v>
      </c>
      <c r="D293" s="424" t="s">
        <v>990</v>
      </c>
      <c r="E293" s="425" t="s">
        <v>991</v>
      </c>
      <c r="F293" s="425" t="s">
        <v>992</v>
      </c>
      <c r="G293" s="425" t="s">
        <v>993</v>
      </c>
      <c r="H293" s="426" t="s">
        <v>699</v>
      </c>
      <c r="I293" s="425" t="s">
        <v>994</v>
      </c>
      <c r="J293" s="424" t="s">
        <v>697</v>
      </c>
      <c r="K293" s="425" t="s">
        <v>995</v>
      </c>
      <c r="L293" s="425" t="s">
        <v>996</v>
      </c>
      <c r="M293" s="425" t="s">
        <v>997</v>
      </c>
      <c r="N293" s="425" t="s">
        <v>558</v>
      </c>
      <c r="O293" s="424" t="s">
        <v>998</v>
      </c>
      <c r="P293" s="425" t="s">
        <v>999</v>
      </c>
      <c r="Q293" s="425" t="s">
        <v>1000</v>
      </c>
      <c r="R293" s="425" t="s">
        <v>1001</v>
      </c>
      <c r="S293" s="425" t="s">
        <v>1002</v>
      </c>
      <c r="T293" s="423">
        <v>1000</v>
      </c>
      <c r="U293" s="423" t="s">
        <v>1041</v>
      </c>
      <c r="V293" s="423">
        <v>60</v>
      </c>
      <c r="W293" s="423">
        <v>1.5</v>
      </c>
      <c r="X293" s="423" t="s">
        <v>1172</v>
      </c>
      <c r="Y293" s="423" t="s">
        <v>1041</v>
      </c>
      <c r="Z293" s="423" t="s">
        <v>1059</v>
      </c>
      <c r="AD293" s="423">
        <f>IF(ISNUMBER(MATCH(B293,'FICHA SOLIC'!$AB$26:$AB$376,0)),1,0)</f>
        <v>1</v>
      </c>
      <c r="AE293" s="423" t="str">
        <f t="shared" si="4"/>
        <v>ColinaB2</v>
      </c>
    </row>
    <row r="294" spans="1:31" x14ac:dyDescent="0.25">
      <c r="A294" s="423">
        <v>293</v>
      </c>
      <c r="B294" s="423" t="s">
        <v>438</v>
      </c>
      <c r="C294" s="423" t="s">
        <v>1423</v>
      </c>
      <c r="D294" s="424" t="s">
        <v>990</v>
      </c>
      <c r="E294" s="425" t="s">
        <v>991</v>
      </c>
      <c r="F294" s="425" t="s">
        <v>992</v>
      </c>
      <c r="G294" s="425" t="s">
        <v>993</v>
      </c>
      <c r="H294" s="426" t="s">
        <v>699</v>
      </c>
      <c r="I294" s="425" t="s">
        <v>994</v>
      </c>
      <c r="J294" s="424" t="s">
        <v>697</v>
      </c>
      <c r="K294" s="425" t="s">
        <v>995</v>
      </c>
      <c r="L294" s="425" t="s">
        <v>996</v>
      </c>
      <c r="M294" s="425" t="s">
        <v>997</v>
      </c>
      <c r="N294" s="425" t="s">
        <v>558</v>
      </c>
      <c r="O294" s="424" t="s">
        <v>998</v>
      </c>
      <c r="P294" s="425" t="s">
        <v>999</v>
      </c>
      <c r="Q294" s="425" t="s">
        <v>1000</v>
      </c>
      <c r="R294" s="425" t="s">
        <v>1001</v>
      </c>
      <c r="S294" s="425" t="s">
        <v>1002</v>
      </c>
      <c r="T294" s="423">
        <v>2000</v>
      </c>
      <c r="U294" s="423" t="s">
        <v>1041</v>
      </c>
      <c r="V294" s="423">
        <v>30</v>
      </c>
      <c r="W294" s="423">
        <v>1</v>
      </c>
      <c r="X294" s="423" t="s">
        <v>1172</v>
      </c>
      <c r="Y294" s="423" t="s">
        <v>1041</v>
      </c>
      <c r="Z294" s="423" t="s">
        <v>1058</v>
      </c>
      <c r="AD294" s="423">
        <f>IF(ISNUMBER(MATCH(B294,'FICHA SOLIC'!$AB$26:$AB$376,0)),1,0)</f>
        <v>1</v>
      </c>
      <c r="AE294" s="423" t="str">
        <f t="shared" si="4"/>
        <v>ColinaB3</v>
      </c>
    </row>
    <row r="295" spans="1:31" x14ac:dyDescent="0.25">
      <c r="A295" s="423">
        <v>294</v>
      </c>
      <c r="B295" s="423" t="s">
        <v>438</v>
      </c>
      <c r="C295" s="423" t="s">
        <v>1424</v>
      </c>
      <c r="D295" s="424" t="s">
        <v>990</v>
      </c>
      <c r="E295" s="425" t="s">
        <v>991</v>
      </c>
      <c r="F295" s="425" t="s">
        <v>992</v>
      </c>
      <c r="G295" s="425" t="s">
        <v>993</v>
      </c>
      <c r="H295" s="426" t="s">
        <v>699</v>
      </c>
      <c r="I295" s="425" t="s">
        <v>994</v>
      </c>
      <c r="J295" s="424" t="s">
        <v>697</v>
      </c>
      <c r="K295" s="425" t="s">
        <v>995</v>
      </c>
      <c r="L295" s="425" t="s">
        <v>996</v>
      </c>
      <c r="M295" s="425" t="s">
        <v>997</v>
      </c>
      <c r="N295" s="425" t="s">
        <v>558</v>
      </c>
      <c r="O295" s="424" t="s">
        <v>998</v>
      </c>
      <c r="P295" s="425" t="s">
        <v>999</v>
      </c>
      <c r="Q295" s="425" t="s">
        <v>1000</v>
      </c>
      <c r="R295" s="425" t="s">
        <v>1001</v>
      </c>
      <c r="S295" s="425" t="s">
        <v>1002</v>
      </c>
      <c r="T295" s="423">
        <v>500</v>
      </c>
      <c r="U295" s="423" t="s">
        <v>1041</v>
      </c>
      <c r="V295" s="423">
        <v>40</v>
      </c>
      <c r="W295" s="423">
        <v>0.8</v>
      </c>
      <c r="X295" s="423" t="s">
        <v>1437</v>
      </c>
      <c r="Y295" s="423" t="s">
        <v>1041</v>
      </c>
      <c r="Z295" s="423" t="s">
        <v>1058</v>
      </c>
      <c r="AD295" s="423">
        <f>IF(ISNUMBER(MATCH(B295,'FICHA SOLIC'!$AB$26:$AB$376,0)),1,0)</f>
        <v>1</v>
      </c>
      <c r="AE295" s="423" t="str">
        <f t="shared" si="4"/>
        <v>ColinaB4</v>
      </c>
    </row>
    <row r="296" spans="1:31" x14ac:dyDescent="0.25">
      <c r="A296" s="423">
        <v>295</v>
      </c>
      <c r="B296" s="423" t="s">
        <v>438</v>
      </c>
      <c r="C296" s="423" t="s">
        <v>1425</v>
      </c>
      <c r="D296" s="424" t="s">
        <v>990</v>
      </c>
      <c r="E296" s="425" t="s">
        <v>991</v>
      </c>
      <c r="F296" s="425" t="s">
        <v>992</v>
      </c>
      <c r="G296" s="425" t="s">
        <v>993</v>
      </c>
      <c r="H296" s="426" t="s">
        <v>699</v>
      </c>
      <c r="I296" s="425" t="s">
        <v>994</v>
      </c>
      <c r="J296" s="424" t="s">
        <v>697</v>
      </c>
      <c r="K296" s="425" t="s">
        <v>995</v>
      </c>
      <c r="L296" s="425" t="s">
        <v>996</v>
      </c>
      <c r="M296" s="425" t="s">
        <v>997</v>
      </c>
      <c r="N296" s="425" t="s">
        <v>558</v>
      </c>
      <c r="O296" s="424" t="s">
        <v>998</v>
      </c>
      <c r="P296" s="425" t="s">
        <v>999</v>
      </c>
      <c r="Q296" s="425" t="s">
        <v>1000</v>
      </c>
      <c r="R296" s="425" t="s">
        <v>1001</v>
      </c>
      <c r="S296" s="425" t="s">
        <v>1002</v>
      </c>
      <c r="T296" s="423" t="s">
        <v>1025</v>
      </c>
      <c r="U296" s="423" t="s">
        <v>1041</v>
      </c>
      <c r="V296" s="423" t="s">
        <v>1025</v>
      </c>
      <c r="W296" s="423" t="s">
        <v>1025</v>
      </c>
      <c r="X296" s="423" t="s">
        <v>1025</v>
      </c>
      <c r="Y296" s="423" t="s">
        <v>1041</v>
      </c>
      <c r="Z296" s="423" t="s">
        <v>1025</v>
      </c>
      <c r="AD296" s="423">
        <f>IF(ISNUMBER(MATCH(B296,'FICHA SOLIC'!$AB$26:$AB$376,0)),1,0)</f>
        <v>1</v>
      </c>
      <c r="AE296" s="423" t="str">
        <f t="shared" si="4"/>
        <v>ColinaB5</v>
      </c>
    </row>
    <row r="297" spans="1:31" x14ac:dyDescent="0.25">
      <c r="A297" s="423">
        <v>296</v>
      </c>
      <c r="B297" s="423" t="s">
        <v>438</v>
      </c>
      <c r="C297" s="423" t="s">
        <v>1188</v>
      </c>
      <c r="D297" s="428" t="s">
        <v>990</v>
      </c>
      <c r="E297" s="429" t="s">
        <v>991</v>
      </c>
      <c r="F297" s="429" t="s">
        <v>992</v>
      </c>
      <c r="G297" s="429" t="s">
        <v>993</v>
      </c>
      <c r="H297" s="430" t="s">
        <v>699</v>
      </c>
      <c r="I297" s="429" t="s">
        <v>994</v>
      </c>
      <c r="J297" s="428" t="s">
        <v>697</v>
      </c>
      <c r="K297" s="429" t="s">
        <v>995</v>
      </c>
      <c r="L297" s="429" t="s">
        <v>996</v>
      </c>
      <c r="M297" s="429" t="s">
        <v>997</v>
      </c>
      <c r="N297" s="429" t="s">
        <v>558</v>
      </c>
      <c r="O297" s="428" t="s">
        <v>998</v>
      </c>
      <c r="P297" s="429" t="s">
        <v>999</v>
      </c>
      <c r="Q297" s="429" t="s">
        <v>1000</v>
      </c>
      <c r="R297" s="429" t="s">
        <v>1001</v>
      </c>
      <c r="S297" s="429" t="s">
        <v>1002</v>
      </c>
      <c r="T297" s="423">
        <v>4000</v>
      </c>
      <c r="U297" s="423" t="s">
        <v>1041</v>
      </c>
      <c r="V297" s="423">
        <v>60</v>
      </c>
      <c r="W297" s="423">
        <v>1.2</v>
      </c>
      <c r="X297" s="423">
        <v>15</v>
      </c>
      <c r="Y297" s="423" t="s">
        <v>1041</v>
      </c>
      <c r="Z297" s="423" t="s">
        <v>1058</v>
      </c>
      <c r="AD297" s="423">
        <f>IF(ISNUMBER(MATCH(B297,'FICHA SOLIC'!$AB$26:$AB$376,0)),1,0)</f>
        <v>1</v>
      </c>
      <c r="AE297" s="423" t="str">
        <f t="shared" si="4"/>
        <v>ColinaC1</v>
      </c>
    </row>
    <row r="298" spans="1:31" x14ac:dyDescent="0.25">
      <c r="A298" s="423">
        <v>297</v>
      </c>
      <c r="B298" s="423" t="s">
        <v>438</v>
      </c>
      <c r="C298" s="423" t="s">
        <v>1189</v>
      </c>
      <c r="D298" s="428" t="s">
        <v>990</v>
      </c>
      <c r="E298" s="429" t="s">
        <v>991</v>
      </c>
      <c r="F298" s="429" t="s">
        <v>992</v>
      </c>
      <c r="G298" s="429" t="s">
        <v>993</v>
      </c>
      <c r="H298" s="430" t="s">
        <v>699</v>
      </c>
      <c r="I298" s="429" t="s">
        <v>994</v>
      </c>
      <c r="J298" s="428" t="s">
        <v>697</v>
      </c>
      <c r="K298" s="429" t="s">
        <v>995</v>
      </c>
      <c r="L298" s="429" t="s">
        <v>996</v>
      </c>
      <c r="M298" s="429" t="s">
        <v>997</v>
      </c>
      <c r="N298" s="429" t="s">
        <v>558</v>
      </c>
      <c r="O298" s="428" t="s">
        <v>998</v>
      </c>
      <c r="P298" s="429" t="s">
        <v>999</v>
      </c>
      <c r="Q298" s="429" t="s">
        <v>1000</v>
      </c>
      <c r="R298" s="429" t="s">
        <v>1001</v>
      </c>
      <c r="S298" s="429" t="s">
        <v>1002</v>
      </c>
      <c r="T298" s="423">
        <v>4000</v>
      </c>
      <c r="U298" s="423" t="s">
        <v>1041</v>
      </c>
      <c r="V298" s="423">
        <v>60</v>
      </c>
      <c r="W298" s="423">
        <v>1.2</v>
      </c>
      <c r="X298" s="423">
        <v>15</v>
      </c>
      <c r="Y298" s="423" t="s">
        <v>1041</v>
      </c>
      <c r="Z298" s="423" t="s">
        <v>1058</v>
      </c>
      <c r="AD298" s="423">
        <f>IF(ISNUMBER(MATCH(B298,'FICHA SOLIC'!$AB$26:$AB$376,0)),1,0)</f>
        <v>1</v>
      </c>
      <c r="AE298" s="423" t="str">
        <f t="shared" si="4"/>
        <v>ColinaC2</v>
      </c>
    </row>
    <row r="299" spans="1:31" x14ac:dyDescent="0.25">
      <c r="A299" s="423">
        <v>298</v>
      </c>
      <c r="B299" s="423" t="s">
        <v>438</v>
      </c>
      <c r="C299" s="423" t="s">
        <v>1426</v>
      </c>
      <c r="D299" s="428" t="s">
        <v>990</v>
      </c>
      <c r="E299" s="429" t="s">
        <v>991</v>
      </c>
      <c r="F299" s="429" t="s">
        <v>992</v>
      </c>
      <c r="G299" s="429" t="s">
        <v>993</v>
      </c>
      <c r="H299" s="430" t="s">
        <v>699</v>
      </c>
      <c r="I299" s="429" t="s">
        <v>994</v>
      </c>
      <c r="J299" s="428" t="s">
        <v>697</v>
      </c>
      <c r="K299" s="429" t="s">
        <v>995</v>
      </c>
      <c r="L299" s="429" t="s">
        <v>996</v>
      </c>
      <c r="M299" s="429" t="s">
        <v>997</v>
      </c>
      <c r="N299" s="429" t="s">
        <v>558</v>
      </c>
      <c r="O299" s="428" t="s">
        <v>998</v>
      </c>
      <c r="P299" s="429" t="s">
        <v>999</v>
      </c>
      <c r="Q299" s="429" t="s">
        <v>1000</v>
      </c>
      <c r="R299" s="429" t="s">
        <v>1001</v>
      </c>
      <c r="S299" s="429" t="s">
        <v>1002</v>
      </c>
      <c r="T299" s="423" t="s">
        <v>1097</v>
      </c>
      <c r="U299" s="423" t="s">
        <v>1041</v>
      </c>
      <c r="V299" s="423">
        <v>1</v>
      </c>
      <c r="W299" s="423">
        <v>0.01</v>
      </c>
      <c r="X299" s="423">
        <v>7</v>
      </c>
      <c r="Y299" s="423" t="s">
        <v>1041</v>
      </c>
      <c r="Z299" s="423" t="s">
        <v>1058</v>
      </c>
      <c r="AD299" s="423">
        <f>IF(ISNUMBER(MATCH(B299,'FICHA SOLIC'!$AB$26:$AB$376,0)),1,0)</f>
        <v>1</v>
      </c>
      <c r="AE299" s="423" t="str">
        <f t="shared" si="4"/>
        <v>ColinaE1</v>
      </c>
    </row>
    <row r="300" spans="1:31" x14ac:dyDescent="0.25">
      <c r="A300" s="423">
        <v>299</v>
      </c>
      <c r="B300" s="423" t="s">
        <v>438</v>
      </c>
      <c r="C300" s="423" t="s">
        <v>1427</v>
      </c>
      <c r="D300" s="428" t="s">
        <v>990</v>
      </c>
      <c r="E300" s="429" t="s">
        <v>991</v>
      </c>
      <c r="F300" s="429" t="s">
        <v>992</v>
      </c>
      <c r="G300" s="429" t="s">
        <v>993</v>
      </c>
      <c r="H300" s="430" t="s">
        <v>699</v>
      </c>
      <c r="I300" s="429" t="s">
        <v>994</v>
      </c>
      <c r="J300" s="428" t="s">
        <v>697</v>
      </c>
      <c r="K300" s="429" t="s">
        <v>995</v>
      </c>
      <c r="L300" s="429" t="s">
        <v>996</v>
      </c>
      <c r="M300" s="429" t="s">
        <v>997</v>
      </c>
      <c r="N300" s="429" t="s">
        <v>558</v>
      </c>
      <c r="O300" s="428" t="s">
        <v>998</v>
      </c>
      <c r="P300" s="429" t="s">
        <v>999</v>
      </c>
      <c r="Q300" s="429" t="s">
        <v>1000</v>
      </c>
      <c r="R300" s="429" t="s">
        <v>1001</v>
      </c>
      <c r="S300" s="429" t="s">
        <v>1002</v>
      </c>
      <c r="T300" s="423" t="s">
        <v>1097</v>
      </c>
      <c r="U300" s="423" t="s">
        <v>1041</v>
      </c>
      <c r="V300" s="423">
        <v>5</v>
      </c>
      <c r="W300" s="423">
        <v>0.05</v>
      </c>
      <c r="X300" s="423">
        <v>7</v>
      </c>
      <c r="Y300" s="423" t="s">
        <v>1041</v>
      </c>
      <c r="Z300" s="423" t="s">
        <v>1058</v>
      </c>
      <c r="AD300" s="423">
        <f>IF(ISNUMBER(MATCH(B300,'FICHA SOLIC'!$AB$26:$AB$376,0)),1,0)</f>
        <v>1</v>
      </c>
      <c r="AE300" s="423" t="str">
        <f t="shared" si="4"/>
        <v>ColinaE2a</v>
      </c>
    </row>
    <row r="301" spans="1:31" x14ac:dyDescent="0.25">
      <c r="A301" s="423">
        <v>300</v>
      </c>
      <c r="B301" s="423" t="s">
        <v>438</v>
      </c>
      <c r="C301" s="423" t="s">
        <v>1428</v>
      </c>
      <c r="D301" s="428" t="s">
        <v>990</v>
      </c>
      <c r="E301" s="429" t="s">
        <v>991</v>
      </c>
      <c r="F301" s="429" t="s">
        <v>992</v>
      </c>
      <c r="G301" s="429" t="s">
        <v>993</v>
      </c>
      <c r="H301" s="430" t="s">
        <v>699</v>
      </c>
      <c r="I301" s="429" t="s">
        <v>994</v>
      </c>
      <c r="J301" s="428" t="s">
        <v>697</v>
      </c>
      <c r="K301" s="429" t="s">
        <v>995</v>
      </c>
      <c r="L301" s="429" t="s">
        <v>996</v>
      </c>
      <c r="M301" s="429" t="s">
        <v>997</v>
      </c>
      <c r="N301" s="429" t="s">
        <v>558</v>
      </c>
      <c r="O301" s="428" t="s">
        <v>998</v>
      </c>
      <c r="P301" s="429" t="s">
        <v>999</v>
      </c>
      <c r="Q301" s="429" t="s">
        <v>1000</v>
      </c>
      <c r="R301" s="429" t="s">
        <v>1001</v>
      </c>
      <c r="S301" s="429" t="s">
        <v>1002</v>
      </c>
      <c r="T301" s="423" t="s">
        <v>1097</v>
      </c>
      <c r="U301" s="423" t="s">
        <v>1041</v>
      </c>
      <c r="V301" s="423">
        <v>5</v>
      </c>
      <c r="W301" s="423">
        <v>0.05</v>
      </c>
      <c r="X301" s="423">
        <v>7</v>
      </c>
      <c r="Y301" s="423" t="s">
        <v>1041</v>
      </c>
      <c r="Z301" s="423" t="s">
        <v>1058</v>
      </c>
      <c r="AD301" s="423">
        <f>IF(ISNUMBER(MATCH(B301,'FICHA SOLIC'!$AB$26:$AB$376,0)),1,0)</f>
        <v>1</v>
      </c>
      <c r="AE301" s="423" t="str">
        <f t="shared" si="4"/>
        <v>ColinaE2b</v>
      </c>
    </row>
    <row r="302" spans="1:31" x14ac:dyDescent="0.25">
      <c r="A302" s="423">
        <v>301</v>
      </c>
      <c r="B302" s="423" t="s">
        <v>438</v>
      </c>
      <c r="C302" s="423" t="s">
        <v>1429</v>
      </c>
      <c r="D302" s="428" t="s">
        <v>990</v>
      </c>
      <c r="E302" s="429" t="s">
        <v>991</v>
      </c>
      <c r="F302" s="429" t="s">
        <v>992</v>
      </c>
      <c r="G302" s="429" t="s">
        <v>993</v>
      </c>
      <c r="H302" s="430" t="s">
        <v>699</v>
      </c>
      <c r="I302" s="429" t="s">
        <v>994</v>
      </c>
      <c r="J302" s="428" t="s">
        <v>697</v>
      </c>
      <c r="K302" s="429" t="s">
        <v>995</v>
      </c>
      <c r="L302" s="429" t="s">
        <v>996</v>
      </c>
      <c r="M302" s="429" t="s">
        <v>997</v>
      </c>
      <c r="N302" s="429" t="s">
        <v>558</v>
      </c>
      <c r="O302" s="428" t="s">
        <v>998</v>
      </c>
      <c r="P302" s="429" t="s">
        <v>999</v>
      </c>
      <c r="Q302" s="429" t="s">
        <v>1000</v>
      </c>
      <c r="R302" s="429" t="s">
        <v>1001</v>
      </c>
      <c r="S302" s="429" t="s">
        <v>1002</v>
      </c>
      <c r="U302" s="423" t="s">
        <v>1041</v>
      </c>
      <c r="Y302" s="423" t="s">
        <v>1041</v>
      </c>
      <c r="AD302" s="423">
        <f>IF(ISNUMBER(MATCH(B302,'FICHA SOLIC'!$AB$26:$AB$376,0)),1,0)</f>
        <v>1</v>
      </c>
      <c r="AE302" s="423" t="str">
        <f t="shared" si="4"/>
        <v>ColinaE2c</v>
      </c>
    </row>
    <row r="303" spans="1:31" x14ac:dyDescent="0.25">
      <c r="A303" s="423">
        <v>302</v>
      </c>
      <c r="B303" s="423" t="s">
        <v>438</v>
      </c>
      <c r="C303" s="423" t="s">
        <v>1430</v>
      </c>
      <c r="D303" s="428" t="s">
        <v>990</v>
      </c>
      <c r="E303" s="429" t="s">
        <v>991</v>
      </c>
      <c r="F303" s="429" t="s">
        <v>992</v>
      </c>
      <c r="G303" s="429" t="s">
        <v>993</v>
      </c>
      <c r="H303" s="430" t="s">
        <v>699</v>
      </c>
      <c r="I303" s="429" t="s">
        <v>994</v>
      </c>
      <c r="J303" s="428" t="s">
        <v>697</v>
      </c>
      <c r="K303" s="429" t="s">
        <v>995</v>
      </c>
      <c r="L303" s="429" t="s">
        <v>996</v>
      </c>
      <c r="M303" s="429" t="s">
        <v>997</v>
      </c>
      <c r="N303" s="429" t="s">
        <v>558</v>
      </c>
      <c r="O303" s="428" t="s">
        <v>998</v>
      </c>
      <c r="P303" s="429" t="s">
        <v>999</v>
      </c>
      <c r="Q303" s="429" t="s">
        <v>1000</v>
      </c>
      <c r="R303" s="429" t="s">
        <v>1001</v>
      </c>
      <c r="S303" s="429" t="s">
        <v>1002</v>
      </c>
      <c r="T303" s="423" t="s">
        <v>1097</v>
      </c>
      <c r="U303" s="423" t="s">
        <v>1041</v>
      </c>
      <c r="V303" s="423">
        <v>1</v>
      </c>
      <c r="W303" s="423">
        <v>0.01</v>
      </c>
      <c r="X303" s="423">
        <v>7</v>
      </c>
      <c r="Y303" s="423" t="s">
        <v>1041</v>
      </c>
      <c r="Z303" s="423" t="s">
        <v>1058</v>
      </c>
      <c r="AD303" s="423">
        <f>IF(ISNUMBER(MATCH(B303,'FICHA SOLIC'!$AB$26:$AB$376,0)),1,0)</f>
        <v>1</v>
      </c>
      <c r="AE303" s="423" t="str">
        <f t="shared" si="4"/>
        <v>ColinaE2d</v>
      </c>
    </row>
    <row r="304" spans="1:31" x14ac:dyDescent="0.25">
      <c r="A304" s="423">
        <v>303</v>
      </c>
      <c r="B304" s="423" t="s">
        <v>438</v>
      </c>
      <c r="C304" s="423" t="s">
        <v>1431</v>
      </c>
      <c r="D304" s="428" t="s">
        <v>990</v>
      </c>
      <c r="E304" s="429" t="s">
        <v>991</v>
      </c>
      <c r="F304" s="429" t="s">
        <v>992</v>
      </c>
      <c r="G304" s="429" t="s">
        <v>993</v>
      </c>
      <c r="H304" s="430" t="s">
        <v>699</v>
      </c>
      <c r="I304" s="429" t="s">
        <v>994</v>
      </c>
      <c r="J304" s="428" t="s">
        <v>697</v>
      </c>
      <c r="K304" s="429" t="s">
        <v>995</v>
      </c>
      <c r="L304" s="429" t="s">
        <v>996</v>
      </c>
      <c r="M304" s="429" t="s">
        <v>997</v>
      </c>
      <c r="N304" s="429" t="s">
        <v>558</v>
      </c>
      <c r="O304" s="428" t="s">
        <v>998</v>
      </c>
      <c r="P304" s="429" t="s">
        <v>999</v>
      </c>
      <c r="Q304" s="429" t="s">
        <v>1000</v>
      </c>
      <c r="R304" s="429" t="s">
        <v>1001</v>
      </c>
      <c r="S304" s="429" t="s">
        <v>1002</v>
      </c>
      <c r="T304" s="423" t="s">
        <v>1097</v>
      </c>
      <c r="U304" s="423" t="s">
        <v>1041</v>
      </c>
      <c r="V304" s="423">
        <v>1</v>
      </c>
      <c r="W304" s="423">
        <v>0.01</v>
      </c>
      <c r="X304" s="423">
        <v>7</v>
      </c>
      <c r="Y304" s="423" t="s">
        <v>1041</v>
      </c>
      <c r="Z304" s="423" t="s">
        <v>1058</v>
      </c>
      <c r="AD304" s="423">
        <f>IF(ISNUMBER(MATCH(B304,'FICHA SOLIC'!$AB$26:$AB$376,0)),1,0)</f>
        <v>1</v>
      </c>
      <c r="AE304" s="423" t="str">
        <f t="shared" si="4"/>
        <v>ColinaE2e</v>
      </c>
    </row>
    <row r="305" spans="1:31" x14ac:dyDescent="0.25">
      <c r="A305" s="423">
        <v>304</v>
      </c>
      <c r="B305" s="423" t="s">
        <v>438</v>
      </c>
      <c r="C305" s="423" t="s">
        <v>1432</v>
      </c>
      <c r="D305" s="428" t="s">
        <v>990</v>
      </c>
      <c r="E305" s="429" t="s">
        <v>991</v>
      </c>
      <c r="F305" s="429" t="s">
        <v>992</v>
      </c>
      <c r="G305" s="429" t="s">
        <v>993</v>
      </c>
      <c r="H305" s="430" t="s">
        <v>699</v>
      </c>
      <c r="I305" s="429" t="s">
        <v>994</v>
      </c>
      <c r="J305" s="428" t="s">
        <v>697</v>
      </c>
      <c r="K305" s="429" t="s">
        <v>995</v>
      </c>
      <c r="L305" s="429" t="s">
        <v>996</v>
      </c>
      <c r="M305" s="429" t="s">
        <v>997</v>
      </c>
      <c r="N305" s="429" t="s">
        <v>558</v>
      </c>
      <c r="O305" s="428" t="s">
        <v>998</v>
      </c>
      <c r="P305" s="429" t="s">
        <v>999</v>
      </c>
      <c r="Q305" s="429" t="s">
        <v>1000</v>
      </c>
      <c r="R305" s="429" t="s">
        <v>1001</v>
      </c>
      <c r="S305" s="429" t="s">
        <v>1002</v>
      </c>
      <c r="T305" s="423" t="s">
        <v>1097</v>
      </c>
      <c r="U305" s="423" t="s">
        <v>1041</v>
      </c>
      <c r="V305" s="423">
        <v>20</v>
      </c>
      <c r="W305" s="423">
        <v>0.2</v>
      </c>
      <c r="Y305" s="423" t="s">
        <v>1041</v>
      </c>
      <c r="AD305" s="423">
        <f>IF(ISNUMBER(MATCH(B305,'FICHA SOLIC'!$AB$26:$AB$376,0)),1,0)</f>
        <v>1</v>
      </c>
      <c r="AE305" s="423" t="str">
        <f t="shared" si="4"/>
        <v>ColinaE3</v>
      </c>
    </row>
    <row r="306" spans="1:31" x14ac:dyDescent="0.25">
      <c r="A306" s="423">
        <v>305</v>
      </c>
      <c r="B306" s="423" t="s">
        <v>438</v>
      </c>
      <c r="C306" s="423" t="s">
        <v>1433</v>
      </c>
      <c r="D306" s="428" t="s">
        <v>990</v>
      </c>
      <c r="E306" s="429" t="s">
        <v>991</v>
      </c>
      <c r="F306" s="429" t="s">
        <v>992</v>
      </c>
      <c r="G306" s="429" t="s">
        <v>993</v>
      </c>
      <c r="H306" s="430" t="s">
        <v>699</v>
      </c>
      <c r="I306" s="429" t="s">
        <v>994</v>
      </c>
      <c r="J306" s="428" t="s">
        <v>697</v>
      </c>
      <c r="K306" s="429" t="s">
        <v>995</v>
      </c>
      <c r="L306" s="429" t="s">
        <v>996</v>
      </c>
      <c r="M306" s="429" t="s">
        <v>997</v>
      </c>
      <c r="N306" s="429" t="s">
        <v>558</v>
      </c>
      <c r="O306" s="428" t="s">
        <v>998</v>
      </c>
      <c r="P306" s="429" t="s">
        <v>999</v>
      </c>
      <c r="Q306" s="429" t="s">
        <v>1000</v>
      </c>
      <c r="R306" s="429" t="s">
        <v>1001</v>
      </c>
      <c r="S306" s="429" t="s">
        <v>1002</v>
      </c>
      <c r="T306" s="423">
        <v>5000</v>
      </c>
      <c r="U306" s="423" t="s">
        <v>1041</v>
      </c>
      <c r="V306" s="423">
        <v>5</v>
      </c>
      <c r="W306" s="423">
        <v>0.05</v>
      </c>
      <c r="X306" s="423">
        <v>3.5</v>
      </c>
      <c r="Y306" s="423" t="s">
        <v>1041</v>
      </c>
      <c r="Z306" s="423" t="s">
        <v>1058</v>
      </c>
      <c r="AD306" s="423">
        <f>IF(ISNUMBER(MATCH(B306,'FICHA SOLIC'!$AB$26:$AB$376,0)),1,0)</f>
        <v>1</v>
      </c>
      <c r="AE306" s="423" t="str">
        <f t="shared" si="4"/>
        <v>ColinaE4</v>
      </c>
    </row>
    <row r="307" spans="1:31" x14ac:dyDescent="0.25">
      <c r="A307" s="423">
        <v>306</v>
      </c>
      <c r="B307" s="423" t="s">
        <v>438</v>
      </c>
      <c r="C307" s="423" t="s">
        <v>1434</v>
      </c>
      <c r="D307" s="428" t="s">
        <v>990</v>
      </c>
      <c r="E307" s="429" t="s">
        <v>991</v>
      </c>
      <c r="F307" s="429" t="s">
        <v>992</v>
      </c>
      <c r="G307" s="429" t="s">
        <v>993</v>
      </c>
      <c r="H307" s="430" t="s">
        <v>699</v>
      </c>
      <c r="I307" s="429" t="s">
        <v>994</v>
      </c>
      <c r="J307" s="428" t="s">
        <v>697</v>
      </c>
      <c r="K307" s="429" t="s">
        <v>995</v>
      </c>
      <c r="L307" s="429" t="s">
        <v>996</v>
      </c>
      <c r="M307" s="429" t="s">
        <v>997</v>
      </c>
      <c r="N307" s="429" t="s">
        <v>558</v>
      </c>
      <c r="O307" s="428" t="s">
        <v>998</v>
      </c>
      <c r="P307" s="429" t="s">
        <v>999</v>
      </c>
      <c r="Q307" s="429" t="s">
        <v>1000</v>
      </c>
      <c r="R307" s="429" t="s">
        <v>1001</v>
      </c>
      <c r="S307" s="429" t="s">
        <v>1002</v>
      </c>
      <c r="T307" s="423" t="s">
        <v>1097</v>
      </c>
      <c r="U307" s="423" t="s">
        <v>1097</v>
      </c>
      <c r="V307" s="423" t="s">
        <v>1097</v>
      </c>
      <c r="W307" s="423" t="s">
        <v>1097</v>
      </c>
      <c r="X307" s="423" t="s">
        <v>1097</v>
      </c>
      <c r="Y307" s="423" t="s">
        <v>1097</v>
      </c>
      <c r="Z307" s="423" t="s">
        <v>1097</v>
      </c>
      <c r="AD307" s="423">
        <f>IF(ISNUMBER(MATCH(B307,'FICHA SOLIC'!$AB$26:$AB$376,0)),1,0)</f>
        <v>1</v>
      </c>
      <c r="AE307" s="423" t="str">
        <f t="shared" si="4"/>
        <v>ColinaR1</v>
      </c>
    </row>
    <row r="308" spans="1:31" x14ac:dyDescent="0.25">
      <c r="A308" s="423">
        <v>307</v>
      </c>
      <c r="B308" s="423" t="s">
        <v>438</v>
      </c>
      <c r="C308" s="423" t="s">
        <v>1299</v>
      </c>
      <c r="D308" s="428" t="s">
        <v>990</v>
      </c>
      <c r="E308" s="429" t="s">
        <v>991</v>
      </c>
      <c r="F308" s="429" t="s">
        <v>992</v>
      </c>
      <c r="G308" s="429" t="s">
        <v>993</v>
      </c>
      <c r="H308" s="430" t="s">
        <v>699</v>
      </c>
      <c r="I308" s="429" t="s">
        <v>994</v>
      </c>
      <c r="J308" s="428" t="s">
        <v>697</v>
      </c>
      <c r="K308" s="429" t="s">
        <v>995</v>
      </c>
      <c r="L308" s="429" t="s">
        <v>996</v>
      </c>
      <c r="M308" s="429" t="s">
        <v>997</v>
      </c>
      <c r="N308" s="429" t="s">
        <v>558</v>
      </c>
      <c r="O308" s="428" t="s">
        <v>998</v>
      </c>
      <c r="P308" s="429" t="s">
        <v>999</v>
      </c>
      <c r="Q308" s="429" t="s">
        <v>1000</v>
      </c>
      <c r="R308" s="429" t="s">
        <v>1001</v>
      </c>
      <c r="S308" s="429" t="s">
        <v>1002</v>
      </c>
      <c r="T308" s="423" t="s">
        <v>1097</v>
      </c>
      <c r="U308" s="423" t="s">
        <v>1097</v>
      </c>
      <c r="V308" s="423" t="s">
        <v>1097</v>
      </c>
      <c r="W308" s="423" t="s">
        <v>1097</v>
      </c>
      <c r="X308" s="423" t="s">
        <v>1097</v>
      </c>
      <c r="Y308" s="423" t="s">
        <v>1097</v>
      </c>
      <c r="Z308" s="423" t="s">
        <v>1097</v>
      </c>
      <c r="AD308" s="423">
        <f>IF(ISNUMBER(MATCH(B308,'FICHA SOLIC'!$AB$26:$AB$376,0)),1,0)</f>
        <v>1</v>
      </c>
      <c r="AE308" s="423" t="str">
        <f t="shared" si="4"/>
        <v>ColinaR2</v>
      </c>
    </row>
    <row r="309" spans="1:31" s="427" customFormat="1" x14ac:dyDescent="0.25">
      <c r="A309" s="423">
        <v>308</v>
      </c>
      <c r="B309" s="423" t="s">
        <v>438</v>
      </c>
      <c r="C309" s="423" t="s">
        <v>1300</v>
      </c>
      <c r="D309" s="428" t="s">
        <v>990</v>
      </c>
      <c r="E309" s="429" t="s">
        <v>991</v>
      </c>
      <c r="F309" s="429" t="s">
        <v>992</v>
      </c>
      <c r="G309" s="429" t="s">
        <v>993</v>
      </c>
      <c r="H309" s="430" t="s">
        <v>699</v>
      </c>
      <c r="I309" s="429" t="s">
        <v>994</v>
      </c>
      <c r="J309" s="428" t="s">
        <v>697</v>
      </c>
      <c r="K309" s="429" t="s">
        <v>995</v>
      </c>
      <c r="L309" s="429" t="s">
        <v>996</v>
      </c>
      <c r="M309" s="429" t="s">
        <v>997</v>
      </c>
      <c r="N309" s="429" t="s">
        <v>558</v>
      </c>
      <c r="O309" s="428" t="s">
        <v>998</v>
      </c>
      <c r="P309" s="429" t="s">
        <v>999</v>
      </c>
      <c r="Q309" s="429" t="s">
        <v>1000</v>
      </c>
      <c r="R309" s="429" t="s">
        <v>1001</v>
      </c>
      <c r="S309" s="429" t="s">
        <v>1002</v>
      </c>
      <c r="T309" s="423" t="s">
        <v>1097</v>
      </c>
      <c r="U309" s="423" t="s">
        <v>1097</v>
      </c>
      <c r="V309" s="423" t="s">
        <v>1097</v>
      </c>
      <c r="W309" s="423" t="s">
        <v>1097</v>
      </c>
      <c r="X309" s="423" t="s">
        <v>1097</v>
      </c>
      <c r="Y309" s="423" t="s">
        <v>1097</v>
      </c>
      <c r="Z309" s="423" t="s">
        <v>1097</v>
      </c>
      <c r="AD309" s="423">
        <f>IF(ISNUMBER(MATCH(B309,'FICHA SOLIC'!$AB$26:$AB$376,0)),1,0)</f>
        <v>1</v>
      </c>
      <c r="AE309" s="423" t="str">
        <f t="shared" si="4"/>
        <v>ColinaR3</v>
      </c>
    </row>
    <row r="310" spans="1:31" x14ac:dyDescent="0.25">
      <c r="A310" s="423">
        <v>309</v>
      </c>
      <c r="B310" s="423" t="s">
        <v>438</v>
      </c>
      <c r="C310" s="423" t="s">
        <v>1280</v>
      </c>
      <c r="D310" s="428" t="s">
        <v>990</v>
      </c>
      <c r="E310" s="429" t="s">
        <v>991</v>
      </c>
      <c r="F310" s="429" t="s">
        <v>992</v>
      </c>
      <c r="G310" s="429" t="s">
        <v>993</v>
      </c>
      <c r="H310" s="430" t="s">
        <v>699</v>
      </c>
      <c r="I310" s="429" t="s">
        <v>994</v>
      </c>
      <c r="J310" s="428" t="s">
        <v>697</v>
      </c>
      <c r="K310" s="429" t="s">
        <v>995</v>
      </c>
      <c r="L310" s="429" t="s">
        <v>996</v>
      </c>
      <c r="M310" s="429" t="s">
        <v>997</v>
      </c>
      <c r="N310" s="429" t="s">
        <v>558</v>
      </c>
      <c r="O310" s="428" t="s">
        <v>998</v>
      </c>
      <c r="P310" s="429" t="s">
        <v>999</v>
      </c>
      <c r="Q310" s="429" t="s">
        <v>1000</v>
      </c>
      <c r="R310" s="429" t="s">
        <v>1001</v>
      </c>
      <c r="S310" s="429" t="s">
        <v>1002</v>
      </c>
      <c r="T310" s="423" t="s">
        <v>1097</v>
      </c>
      <c r="U310" s="423" t="s">
        <v>1097</v>
      </c>
      <c r="V310" s="423" t="s">
        <v>1097</v>
      </c>
      <c r="W310" s="423" t="s">
        <v>1097</v>
      </c>
      <c r="X310" s="423" t="s">
        <v>1097</v>
      </c>
      <c r="Y310" s="423" t="s">
        <v>1097</v>
      </c>
      <c r="Z310" s="423" t="s">
        <v>1097</v>
      </c>
      <c r="AD310" s="423">
        <f>IF(ISNUMBER(MATCH(B310,'FICHA SOLIC'!$AB$26:$AB$376,0)),1,0)</f>
        <v>1</v>
      </c>
      <c r="AE310" s="423" t="str">
        <f t="shared" si="4"/>
        <v>ColinaR4</v>
      </c>
    </row>
    <row r="311" spans="1:31" x14ac:dyDescent="0.25">
      <c r="A311" s="423">
        <v>310</v>
      </c>
      <c r="B311" s="423" t="s">
        <v>438</v>
      </c>
      <c r="C311" s="423" t="s">
        <v>1278</v>
      </c>
      <c r="D311" s="428" t="s">
        <v>990</v>
      </c>
      <c r="E311" s="429" t="s">
        <v>991</v>
      </c>
      <c r="F311" s="429" t="s">
        <v>992</v>
      </c>
      <c r="G311" s="429" t="s">
        <v>993</v>
      </c>
      <c r="H311" s="430" t="s">
        <v>699</v>
      </c>
      <c r="I311" s="429" t="s">
        <v>994</v>
      </c>
      <c r="J311" s="428" t="s">
        <v>697</v>
      </c>
      <c r="K311" s="429" t="s">
        <v>995</v>
      </c>
      <c r="L311" s="429" t="s">
        <v>996</v>
      </c>
      <c r="M311" s="429" t="s">
        <v>997</v>
      </c>
      <c r="N311" s="429" t="s">
        <v>558</v>
      </c>
      <c r="O311" s="428" t="s">
        <v>998</v>
      </c>
      <c r="P311" s="429" t="s">
        <v>999</v>
      </c>
      <c r="Q311" s="429" t="s">
        <v>1000</v>
      </c>
      <c r="R311" s="429" t="s">
        <v>1001</v>
      </c>
      <c r="S311" s="429" t="s">
        <v>1002</v>
      </c>
      <c r="T311" s="423" t="s">
        <v>1097</v>
      </c>
      <c r="U311" s="423" t="s">
        <v>1097</v>
      </c>
      <c r="V311" s="423" t="s">
        <v>1097</v>
      </c>
      <c r="W311" s="423" t="s">
        <v>1097</v>
      </c>
      <c r="X311" s="423" t="s">
        <v>1097</v>
      </c>
      <c r="Y311" s="423" t="s">
        <v>1097</v>
      </c>
      <c r="Z311" s="423" t="s">
        <v>1097</v>
      </c>
      <c r="AD311" s="423">
        <f>IF(ISNUMBER(MATCH(B311,'FICHA SOLIC'!$AB$26:$AB$376,0)),1,0)</f>
        <v>1</v>
      </c>
      <c r="AE311" s="423" t="str">
        <f t="shared" si="4"/>
        <v>ColinaR5</v>
      </c>
    </row>
    <row r="312" spans="1:31" x14ac:dyDescent="0.25">
      <c r="A312" s="423">
        <v>311</v>
      </c>
      <c r="B312" s="423" t="s">
        <v>438</v>
      </c>
      <c r="C312" s="423" t="s">
        <v>1435</v>
      </c>
      <c r="D312" s="428" t="s">
        <v>990</v>
      </c>
      <c r="E312" s="429" t="s">
        <v>991</v>
      </c>
      <c r="F312" s="429" t="s">
        <v>992</v>
      </c>
      <c r="G312" s="429" t="s">
        <v>993</v>
      </c>
      <c r="H312" s="430" t="s">
        <v>699</v>
      </c>
      <c r="I312" s="429" t="s">
        <v>994</v>
      </c>
      <c r="J312" s="428" t="s">
        <v>697</v>
      </c>
      <c r="K312" s="429" t="s">
        <v>995</v>
      </c>
      <c r="L312" s="429" t="s">
        <v>996</v>
      </c>
      <c r="M312" s="429" t="s">
        <v>997</v>
      </c>
      <c r="N312" s="429" t="s">
        <v>558</v>
      </c>
      <c r="O312" s="428" t="s">
        <v>998</v>
      </c>
      <c r="P312" s="429" t="s">
        <v>999</v>
      </c>
      <c r="Q312" s="429" t="s">
        <v>1000</v>
      </c>
      <c r="R312" s="429" t="s">
        <v>1001</v>
      </c>
      <c r="S312" s="429" t="s">
        <v>1002</v>
      </c>
      <c r="T312" s="423" t="s">
        <v>1097</v>
      </c>
      <c r="U312" s="423" t="s">
        <v>1097</v>
      </c>
      <c r="V312" s="423" t="s">
        <v>1097</v>
      </c>
      <c r="W312" s="423" t="s">
        <v>1097</v>
      </c>
      <c r="X312" s="423" t="s">
        <v>1097</v>
      </c>
      <c r="Y312" s="423" t="s">
        <v>1097</v>
      </c>
      <c r="Z312" s="423" t="s">
        <v>1097</v>
      </c>
      <c r="AD312" s="423">
        <f>IF(ISNUMBER(MATCH(B312,'FICHA SOLIC'!$AB$26:$AB$376,0)),1,0)</f>
        <v>1</v>
      </c>
      <c r="AE312" s="423" t="str">
        <f t="shared" si="4"/>
        <v>ColinaR6</v>
      </c>
    </row>
    <row r="313" spans="1:31" x14ac:dyDescent="0.25">
      <c r="A313" s="423">
        <v>312</v>
      </c>
      <c r="B313" s="423" t="s">
        <v>438</v>
      </c>
      <c r="C313" s="423" t="s">
        <v>1436</v>
      </c>
      <c r="D313" s="428" t="s">
        <v>990</v>
      </c>
      <c r="E313" s="429" t="s">
        <v>991</v>
      </c>
      <c r="F313" s="429" t="s">
        <v>992</v>
      </c>
      <c r="G313" s="429" t="s">
        <v>993</v>
      </c>
      <c r="H313" s="430" t="s">
        <v>699</v>
      </c>
      <c r="I313" s="429" t="s">
        <v>994</v>
      </c>
      <c r="J313" s="428" t="s">
        <v>697</v>
      </c>
      <c r="K313" s="429" t="s">
        <v>995</v>
      </c>
      <c r="L313" s="429" t="s">
        <v>996</v>
      </c>
      <c r="M313" s="429" t="s">
        <v>997</v>
      </c>
      <c r="N313" s="429" t="s">
        <v>558</v>
      </c>
      <c r="O313" s="428" t="s">
        <v>998</v>
      </c>
      <c r="P313" s="429" t="s">
        <v>999</v>
      </c>
      <c r="Q313" s="429" t="s">
        <v>1000</v>
      </c>
      <c r="R313" s="429" t="s">
        <v>1001</v>
      </c>
      <c r="S313" s="429" t="s">
        <v>1002</v>
      </c>
      <c r="T313" s="423" t="s">
        <v>1097</v>
      </c>
      <c r="U313" s="423" t="s">
        <v>1097</v>
      </c>
      <c r="V313" s="423" t="s">
        <v>1097</v>
      </c>
      <c r="W313" s="423" t="s">
        <v>1097</v>
      </c>
      <c r="X313" s="423" t="s">
        <v>1097</v>
      </c>
      <c r="Y313" s="423" t="s">
        <v>1097</v>
      </c>
      <c r="Z313" s="423" t="s">
        <v>1097</v>
      </c>
      <c r="AD313" s="423">
        <f>IF(ISNUMBER(MATCH(B313,'FICHA SOLIC'!$AB$26:$AB$376,0)),1,0)</f>
        <v>1</v>
      </c>
      <c r="AE313" s="423" t="str">
        <f t="shared" si="4"/>
        <v>ColinaR7</v>
      </c>
    </row>
    <row r="314" spans="1:31" x14ac:dyDescent="0.25">
      <c r="A314" s="423">
        <v>313</v>
      </c>
      <c r="B314" s="423" t="s">
        <v>326</v>
      </c>
      <c r="C314" s="423" t="s">
        <v>1041</v>
      </c>
      <c r="D314" s="975" t="s">
        <v>990</v>
      </c>
      <c r="E314" s="976" t="s">
        <v>991</v>
      </c>
      <c r="F314" s="976" t="s">
        <v>992</v>
      </c>
      <c r="G314" s="976" t="s">
        <v>1997</v>
      </c>
      <c r="H314" s="976" t="s">
        <v>1998</v>
      </c>
      <c r="I314" s="976" t="s">
        <v>1999</v>
      </c>
      <c r="J314" s="975" t="s">
        <v>697</v>
      </c>
      <c r="K314" s="976" t="s">
        <v>995</v>
      </c>
      <c r="L314" s="976" t="s">
        <v>996</v>
      </c>
      <c r="M314" s="976" t="s">
        <v>2000</v>
      </c>
      <c r="N314" s="976" t="s">
        <v>2001</v>
      </c>
      <c r="O314" s="975" t="s">
        <v>1971</v>
      </c>
      <c r="P314" s="976" t="s">
        <v>999</v>
      </c>
      <c r="Q314" s="976" t="s">
        <v>1000</v>
      </c>
      <c r="R314" s="976" t="s">
        <v>1001</v>
      </c>
      <c r="S314" s="976" t="s">
        <v>1002</v>
      </c>
      <c r="T314" s="423" t="s">
        <v>1041</v>
      </c>
      <c r="U314" s="423" t="s">
        <v>1041</v>
      </c>
      <c r="V314" s="423" t="s">
        <v>1041</v>
      </c>
      <c r="W314" s="423" t="s">
        <v>1041</v>
      </c>
      <c r="X314" s="423" t="s">
        <v>1041</v>
      </c>
      <c r="Y314" s="423" t="s">
        <v>1041</v>
      </c>
      <c r="Z314" s="423" t="s">
        <v>1041</v>
      </c>
      <c r="AD314" s="423">
        <f>IF(ISNUMBER(MATCH(B314,'FICHA SOLIC'!$AB$26:$AB$376,0)),1,0)</f>
        <v>1</v>
      </c>
      <c r="AE314" s="423" t="str">
        <f t="shared" si="4"/>
        <v>CollipulliOGUC</v>
      </c>
    </row>
    <row r="315" spans="1:31" x14ac:dyDescent="0.25">
      <c r="A315" s="423">
        <v>314</v>
      </c>
      <c r="B315" s="423" t="s">
        <v>187</v>
      </c>
      <c r="C315" s="423" t="s">
        <v>1041</v>
      </c>
      <c r="D315" s="975" t="s">
        <v>990</v>
      </c>
      <c r="E315" s="976" t="s">
        <v>991</v>
      </c>
      <c r="F315" s="976" t="s">
        <v>992</v>
      </c>
      <c r="G315" s="976" t="s">
        <v>1997</v>
      </c>
      <c r="H315" s="976" t="s">
        <v>1998</v>
      </c>
      <c r="I315" s="976" t="s">
        <v>1999</v>
      </c>
      <c r="J315" s="975" t="s">
        <v>697</v>
      </c>
      <c r="K315" s="976" t="s">
        <v>995</v>
      </c>
      <c r="L315" s="976" t="s">
        <v>996</v>
      </c>
      <c r="M315" s="976" t="s">
        <v>2000</v>
      </c>
      <c r="N315" s="976" t="s">
        <v>2001</v>
      </c>
      <c r="O315" s="975" t="s">
        <v>1971</v>
      </c>
      <c r="P315" s="976" t="s">
        <v>999</v>
      </c>
      <c r="Q315" s="976" t="s">
        <v>1000</v>
      </c>
      <c r="R315" s="976" t="s">
        <v>1001</v>
      </c>
      <c r="S315" s="976" t="s">
        <v>1002</v>
      </c>
      <c r="T315" s="423" t="s">
        <v>1041</v>
      </c>
      <c r="U315" s="423" t="s">
        <v>1041</v>
      </c>
      <c r="V315" s="423" t="s">
        <v>1041</v>
      </c>
      <c r="W315" s="423" t="s">
        <v>1041</v>
      </c>
      <c r="X315" s="423" t="s">
        <v>1041</v>
      </c>
      <c r="Y315" s="423" t="s">
        <v>1041</v>
      </c>
      <c r="Z315" s="423" t="s">
        <v>1041</v>
      </c>
      <c r="AD315" s="423">
        <f>IF(ISNUMBER(MATCH(B315,'FICHA SOLIC'!$AB$26:$AB$376,0)),1,0)</f>
        <v>1</v>
      </c>
      <c r="AE315" s="423" t="str">
        <f t="shared" si="4"/>
        <v>ColtaucoOGUC</v>
      </c>
    </row>
    <row r="316" spans="1:31" x14ac:dyDescent="0.25">
      <c r="A316" s="423">
        <v>315</v>
      </c>
      <c r="B316" s="423" t="s">
        <v>248</v>
      </c>
      <c r="C316" s="423" t="s">
        <v>1566</v>
      </c>
      <c r="D316" s="428" t="s">
        <v>990</v>
      </c>
      <c r="E316" s="429" t="s">
        <v>991</v>
      </c>
      <c r="F316" s="429" t="s">
        <v>992</v>
      </c>
      <c r="G316" s="429" t="s">
        <v>993</v>
      </c>
      <c r="H316" s="430" t="s">
        <v>699</v>
      </c>
      <c r="I316" s="429" t="s">
        <v>994</v>
      </c>
      <c r="J316" s="428" t="s">
        <v>697</v>
      </c>
      <c r="K316" s="429" t="s">
        <v>995</v>
      </c>
      <c r="L316" s="429" t="s">
        <v>996</v>
      </c>
      <c r="M316" s="429" t="s">
        <v>997</v>
      </c>
      <c r="N316" s="429" t="s">
        <v>558</v>
      </c>
      <c r="O316" s="428" t="s">
        <v>998</v>
      </c>
      <c r="P316" s="429" t="s">
        <v>999</v>
      </c>
      <c r="Q316" s="429" t="s">
        <v>1000</v>
      </c>
      <c r="R316" s="429" t="s">
        <v>1001</v>
      </c>
      <c r="S316" s="429" t="s">
        <v>1002</v>
      </c>
      <c r="T316" s="423" t="s">
        <v>1097</v>
      </c>
      <c r="U316" s="423" t="s">
        <v>1097</v>
      </c>
      <c r="V316" s="423" t="s">
        <v>1097</v>
      </c>
      <c r="W316" s="423" t="s">
        <v>1097</v>
      </c>
      <c r="X316" s="423" t="s">
        <v>1097</v>
      </c>
      <c r="Y316" s="423" t="s">
        <v>1097</v>
      </c>
      <c r="Z316" s="423" t="s">
        <v>1097</v>
      </c>
      <c r="AD316" s="423">
        <f>IF(ISNUMBER(MATCH(B316,'FICHA SOLIC'!$AB$26:$AB$376,0)),1,0)</f>
        <v>1</v>
      </c>
      <c r="AE316" s="423" t="str">
        <f t="shared" si="4"/>
        <v>ConcepciónAV</v>
      </c>
    </row>
    <row r="317" spans="1:31" x14ac:dyDescent="0.25">
      <c r="A317" s="423">
        <v>316</v>
      </c>
      <c r="B317" s="423" t="s">
        <v>248</v>
      </c>
      <c r="C317" s="423" t="s">
        <v>1188</v>
      </c>
      <c r="D317" s="428" t="s">
        <v>990</v>
      </c>
      <c r="E317" s="429" t="s">
        <v>991</v>
      </c>
      <c r="F317" s="429" t="s">
        <v>992</v>
      </c>
      <c r="G317" s="429" t="s">
        <v>993</v>
      </c>
      <c r="H317" s="430" t="s">
        <v>699</v>
      </c>
      <c r="I317" s="429" t="s">
        <v>994</v>
      </c>
      <c r="J317" s="428" t="s">
        <v>697</v>
      </c>
      <c r="K317" s="429" t="s">
        <v>995</v>
      </c>
      <c r="L317" s="429" t="s">
        <v>996</v>
      </c>
      <c r="M317" s="429" t="s">
        <v>997</v>
      </c>
      <c r="N317" s="429" t="s">
        <v>558</v>
      </c>
      <c r="O317" s="428" t="s">
        <v>998</v>
      </c>
      <c r="P317" s="429" t="s">
        <v>999</v>
      </c>
      <c r="Q317" s="429" t="s">
        <v>1000</v>
      </c>
      <c r="R317" s="429" t="s">
        <v>1001</v>
      </c>
      <c r="S317" s="429" t="s">
        <v>1002</v>
      </c>
      <c r="T317" s="423">
        <v>700</v>
      </c>
      <c r="U317" s="423" t="s">
        <v>1041</v>
      </c>
      <c r="V317" s="423">
        <v>100</v>
      </c>
      <c r="W317" s="423">
        <v>10</v>
      </c>
      <c r="X317" s="423" t="s">
        <v>1571</v>
      </c>
      <c r="Y317" s="423" t="s">
        <v>1041</v>
      </c>
      <c r="Z317" s="423" t="s">
        <v>1150</v>
      </c>
      <c r="AD317" s="423">
        <f>IF(ISNUMBER(MATCH(B317,'FICHA SOLIC'!$AB$26:$AB$376,0)),1,0)</f>
        <v>1</v>
      </c>
      <c r="AE317" s="423" t="str">
        <f t="shared" si="4"/>
        <v>ConcepciónC1</v>
      </c>
    </row>
    <row r="318" spans="1:31" x14ac:dyDescent="0.25">
      <c r="A318" s="423">
        <v>317</v>
      </c>
      <c r="B318" s="423" t="s">
        <v>248</v>
      </c>
      <c r="C318" s="423" t="s">
        <v>1189</v>
      </c>
      <c r="D318" s="428" t="s">
        <v>990</v>
      </c>
      <c r="E318" s="429" t="s">
        <v>991</v>
      </c>
      <c r="F318" s="429" t="s">
        <v>992</v>
      </c>
      <c r="G318" s="429" t="s">
        <v>993</v>
      </c>
      <c r="H318" s="430" t="s">
        <v>699</v>
      </c>
      <c r="I318" s="429" t="s">
        <v>994</v>
      </c>
      <c r="J318" s="428" t="s">
        <v>697</v>
      </c>
      <c r="K318" s="429" t="s">
        <v>995</v>
      </c>
      <c r="L318" s="429" t="s">
        <v>996</v>
      </c>
      <c r="M318" s="429" t="s">
        <v>997</v>
      </c>
      <c r="N318" s="429" t="s">
        <v>558</v>
      </c>
      <c r="O318" s="428" t="s">
        <v>998</v>
      </c>
      <c r="P318" s="429" t="s">
        <v>999</v>
      </c>
      <c r="Q318" s="429" t="s">
        <v>1000</v>
      </c>
      <c r="R318" s="429" t="s">
        <v>1001</v>
      </c>
      <c r="S318" s="429" t="s">
        <v>1002</v>
      </c>
      <c r="T318" s="423">
        <v>700</v>
      </c>
      <c r="U318" s="423" t="s">
        <v>1041</v>
      </c>
      <c r="V318" s="423">
        <v>100</v>
      </c>
      <c r="W318" s="423">
        <v>10</v>
      </c>
      <c r="X318" s="423" t="s">
        <v>1571</v>
      </c>
      <c r="Y318" s="423" t="s">
        <v>1041</v>
      </c>
      <c r="Z318" s="423" t="s">
        <v>1150</v>
      </c>
      <c r="AD318" s="423">
        <f>IF(ISNUMBER(MATCH(B318,'FICHA SOLIC'!$AB$26:$AB$376,0)),1,0)</f>
        <v>1</v>
      </c>
      <c r="AE318" s="423" t="str">
        <f t="shared" si="4"/>
        <v>ConcepciónC2</v>
      </c>
    </row>
    <row r="319" spans="1:31" x14ac:dyDescent="0.25">
      <c r="A319" s="423">
        <v>318</v>
      </c>
      <c r="B319" s="423" t="s">
        <v>248</v>
      </c>
      <c r="C319" s="423" t="s">
        <v>1553</v>
      </c>
      <c r="D319" s="428" t="s">
        <v>990</v>
      </c>
      <c r="E319" s="429" t="s">
        <v>991</v>
      </c>
      <c r="F319" s="429" t="s">
        <v>992</v>
      </c>
      <c r="G319" s="429" t="s">
        <v>993</v>
      </c>
      <c r="H319" s="430" t="s">
        <v>699</v>
      </c>
      <c r="I319" s="429" t="s">
        <v>994</v>
      </c>
      <c r="J319" s="428" t="s">
        <v>697</v>
      </c>
      <c r="K319" s="429" t="s">
        <v>995</v>
      </c>
      <c r="L319" s="429" t="s">
        <v>996</v>
      </c>
      <c r="M319" s="429" t="s">
        <v>997</v>
      </c>
      <c r="N319" s="429" t="s">
        <v>558</v>
      </c>
      <c r="O319" s="428" t="s">
        <v>998</v>
      </c>
      <c r="P319" s="429" t="s">
        <v>999</v>
      </c>
      <c r="Q319" s="429" t="s">
        <v>1000</v>
      </c>
      <c r="R319" s="429" t="s">
        <v>1001</v>
      </c>
      <c r="S319" s="429" t="s">
        <v>1002</v>
      </c>
      <c r="T319" s="423">
        <v>700</v>
      </c>
      <c r="U319" s="423" t="s">
        <v>1041</v>
      </c>
      <c r="V319" s="423">
        <v>70</v>
      </c>
      <c r="W319" s="423">
        <v>7.5</v>
      </c>
      <c r="X319" s="423" t="s">
        <v>1571</v>
      </c>
      <c r="Y319" s="423" t="s">
        <v>1041</v>
      </c>
      <c r="Z319" s="423" t="s">
        <v>1059</v>
      </c>
      <c r="AD319" s="423">
        <f>IF(ISNUMBER(MATCH(B319,'FICHA SOLIC'!$AB$26:$AB$376,0)),1,0)</f>
        <v>1</v>
      </c>
      <c r="AE319" s="423" t="str">
        <f t="shared" si="4"/>
        <v>ConcepciónC3</v>
      </c>
    </row>
    <row r="320" spans="1:31" x14ac:dyDescent="0.25">
      <c r="A320" s="423">
        <v>319</v>
      </c>
      <c r="B320" s="423" t="s">
        <v>248</v>
      </c>
      <c r="C320" s="423" t="s">
        <v>1555</v>
      </c>
      <c r="D320" s="428" t="s">
        <v>990</v>
      </c>
      <c r="E320" s="429" t="s">
        <v>991</v>
      </c>
      <c r="F320" s="429" t="s">
        <v>992</v>
      </c>
      <c r="G320" s="429" t="s">
        <v>993</v>
      </c>
      <c r="H320" s="430" t="s">
        <v>699</v>
      </c>
      <c r="I320" s="429" t="s">
        <v>994</v>
      </c>
      <c r="J320" s="428" t="s">
        <v>697</v>
      </c>
      <c r="K320" s="429" t="s">
        <v>995</v>
      </c>
      <c r="L320" s="429" t="s">
        <v>996</v>
      </c>
      <c r="M320" s="429" t="s">
        <v>997</v>
      </c>
      <c r="N320" s="429" t="s">
        <v>558</v>
      </c>
      <c r="O320" s="428" t="s">
        <v>998</v>
      </c>
      <c r="P320" s="429" t="s">
        <v>999</v>
      </c>
      <c r="Q320" s="429" t="s">
        <v>1000</v>
      </c>
      <c r="R320" s="429" t="s">
        <v>1001</v>
      </c>
      <c r="S320" s="429" t="s">
        <v>1002</v>
      </c>
      <c r="T320" s="423">
        <v>1000</v>
      </c>
      <c r="U320" s="423" t="s">
        <v>1041</v>
      </c>
      <c r="V320" s="423">
        <v>60</v>
      </c>
      <c r="W320" s="423">
        <v>10</v>
      </c>
      <c r="X320" s="423" t="s">
        <v>1026</v>
      </c>
      <c r="Y320" s="423" t="s">
        <v>1041</v>
      </c>
      <c r="Z320" s="423" t="s">
        <v>1058</v>
      </c>
      <c r="AD320" s="423">
        <f>IF(ISNUMBER(MATCH(B320,'FICHA SOLIC'!$AB$26:$AB$376,0)),1,0)</f>
        <v>1</v>
      </c>
      <c r="AE320" s="423" t="str">
        <f t="shared" si="4"/>
        <v>ConcepciónCU1</v>
      </c>
    </row>
    <row r="321" spans="1:31" x14ac:dyDescent="0.25">
      <c r="A321" s="423">
        <v>320</v>
      </c>
      <c r="B321" s="423" t="s">
        <v>248</v>
      </c>
      <c r="C321" s="423" t="s">
        <v>1556</v>
      </c>
      <c r="D321" s="428" t="s">
        <v>990</v>
      </c>
      <c r="E321" s="429" t="s">
        <v>991</v>
      </c>
      <c r="F321" s="429" t="s">
        <v>992</v>
      </c>
      <c r="G321" s="429" t="s">
        <v>993</v>
      </c>
      <c r="H321" s="430" t="s">
        <v>699</v>
      </c>
      <c r="I321" s="429" t="s">
        <v>994</v>
      </c>
      <c r="J321" s="428" t="s">
        <v>697</v>
      </c>
      <c r="K321" s="429" t="s">
        <v>995</v>
      </c>
      <c r="L321" s="429" t="s">
        <v>996</v>
      </c>
      <c r="M321" s="429" t="s">
        <v>997</v>
      </c>
      <c r="N321" s="429" t="s">
        <v>558</v>
      </c>
      <c r="O321" s="428" t="s">
        <v>998</v>
      </c>
      <c r="P321" s="429" t="s">
        <v>999</v>
      </c>
      <c r="Q321" s="429" t="s">
        <v>1000</v>
      </c>
      <c r="R321" s="429" t="s">
        <v>1001</v>
      </c>
      <c r="S321" s="429" t="s">
        <v>1002</v>
      </c>
      <c r="T321" s="423">
        <v>450</v>
      </c>
      <c r="U321" s="423" t="s">
        <v>1041</v>
      </c>
      <c r="V321" s="423">
        <v>60</v>
      </c>
      <c r="W321" s="423">
        <v>10</v>
      </c>
      <c r="X321" s="423" t="s">
        <v>1026</v>
      </c>
      <c r="Y321" s="423" t="s">
        <v>1041</v>
      </c>
      <c r="Z321" s="423" t="s">
        <v>1573</v>
      </c>
      <c r="AD321" s="423">
        <f>IF(ISNUMBER(MATCH(B321,'FICHA SOLIC'!$AB$26:$AB$376,0)),1,0)</f>
        <v>1</v>
      </c>
      <c r="AE321" s="423" t="str">
        <f t="shared" si="4"/>
        <v>ConcepciónCU2</v>
      </c>
    </row>
    <row r="322" spans="1:31" x14ac:dyDescent="0.25">
      <c r="A322" s="423">
        <v>321</v>
      </c>
      <c r="B322" s="423" t="s">
        <v>248</v>
      </c>
      <c r="C322" s="423" t="s">
        <v>1557</v>
      </c>
      <c r="D322" s="428" t="s">
        <v>990</v>
      </c>
      <c r="E322" s="429" t="s">
        <v>991</v>
      </c>
      <c r="F322" s="429" t="s">
        <v>992</v>
      </c>
      <c r="G322" s="429" t="s">
        <v>993</v>
      </c>
      <c r="H322" s="430" t="s">
        <v>699</v>
      </c>
      <c r="I322" s="429" t="s">
        <v>994</v>
      </c>
      <c r="J322" s="428" t="s">
        <v>697</v>
      </c>
      <c r="K322" s="429" t="s">
        <v>995</v>
      </c>
      <c r="L322" s="429" t="s">
        <v>996</v>
      </c>
      <c r="M322" s="429" t="s">
        <v>997</v>
      </c>
      <c r="N322" s="429" t="s">
        <v>558</v>
      </c>
      <c r="O322" s="428" t="s">
        <v>998</v>
      </c>
      <c r="P322" s="429" t="s">
        <v>999</v>
      </c>
      <c r="Q322" s="429" t="s">
        <v>1000</v>
      </c>
      <c r="R322" s="429" t="s">
        <v>1001</v>
      </c>
      <c r="S322" s="429" t="s">
        <v>1002</v>
      </c>
      <c r="T322" s="423">
        <v>450</v>
      </c>
      <c r="U322" s="423" t="s">
        <v>1041</v>
      </c>
      <c r="V322" s="423">
        <v>100</v>
      </c>
      <c r="W322" s="423">
        <v>10</v>
      </c>
      <c r="X322" s="423" t="s">
        <v>1026</v>
      </c>
      <c r="Y322" s="423" t="s">
        <v>1041</v>
      </c>
      <c r="Z322" s="423" t="s">
        <v>1573</v>
      </c>
      <c r="AD322" s="423">
        <f>IF(ISNUMBER(MATCH(B322,'FICHA SOLIC'!$AB$26:$AB$376,0)),1,0)</f>
        <v>1</v>
      </c>
      <c r="AE322" s="423" t="str">
        <f t="shared" si="4"/>
        <v>ConcepciónCU3a</v>
      </c>
    </row>
    <row r="323" spans="1:31" x14ac:dyDescent="0.25">
      <c r="A323" s="423">
        <v>322</v>
      </c>
      <c r="B323" s="423" t="s">
        <v>248</v>
      </c>
      <c r="C323" s="423" t="s">
        <v>1558</v>
      </c>
      <c r="D323" s="428" t="s">
        <v>990</v>
      </c>
      <c r="E323" s="429" t="s">
        <v>991</v>
      </c>
      <c r="F323" s="429" t="s">
        <v>992</v>
      </c>
      <c r="G323" s="429" t="s">
        <v>993</v>
      </c>
      <c r="H323" s="430" t="s">
        <v>699</v>
      </c>
      <c r="I323" s="429" t="s">
        <v>994</v>
      </c>
      <c r="J323" s="428" t="s">
        <v>697</v>
      </c>
      <c r="K323" s="429" t="s">
        <v>995</v>
      </c>
      <c r="L323" s="429" t="s">
        <v>996</v>
      </c>
      <c r="M323" s="429" t="s">
        <v>997</v>
      </c>
      <c r="N323" s="429" t="s">
        <v>558</v>
      </c>
      <c r="O323" s="428" t="s">
        <v>998</v>
      </c>
      <c r="P323" s="429" t="s">
        <v>999</v>
      </c>
      <c r="Q323" s="429" t="s">
        <v>1000</v>
      </c>
      <c r="R323" s="429" t="s">
        <v>1001</v>
      </c>
      <c r="S323" s="429" t="s">
        <v>1002</v>
      </c>
      <c r="T323" s="423">
        <v>700</v>
      </c>
      <c r="U323" s="423" t="s">
        <v>1041</v>
      </c>
      <c r="V323" s="423">
        <v>80</v>
      </c>
      <c r="W323" s="423">
        <v>10</v>
      </c>
      <c r="X323" s="423" t="s">
        <v>1026</v>
      </c>
      <c r="Y323" s="423" t="s">
        <v>1041</v>
      </c>
      <c r="Z323" s="423" t="s">
        <v>1150</v>
      </c>
      <c r="AD323" s="423">
        <f>IF(ISNUMBER(MATCH(B323,'FICHA SOLIC'!$AB$26:$AB$376,0)),1,0)</f>
        <v>1</v>
      </c>
      <c r="AE323" s="423" t="str">
        <f t="shared" ref="AE323:AE386" si="5">B323&amp;C323</f>
        <v>ConcepciónCU3b</v>
      </c>
    </row>
    <row r="324" spans="1:31" x14ac:dyDescent="0.25">
      <c r="A324" s="423">
        <v>323</v>
      </c>
      <c r="B324" s="423" t="s">
        <v>248</v>
      </c>
      <c r="C324" s="423" t="s">
        <v>1559</v>
      </c>
      <c r="D324" s="428" t="s">
        <v>990</v>
      </c>
      <c r="E324" s="429" t="s">
        <v>991</v>
      </c>
      <c r="F324" s="429" t="s">
        <v>992</v>
      </c>
      <c r="G324" s="429" t="s">
        <v>993</v>
      </c>
      <c r="H324" s="430" t="s">
        <v>699</v>
      </c>
      <c r="I324" s="429" t="s">
        <v>994</v>
      </c>
      <c r="J324" s="428" t="s">
        <v>697</v>
      </c>
      <c r="K324" s="429" t="s">
        <v>995</v>
      </c>
      <c r="L324" s="429" t="s">
        <v>996</v>
      </c>
      <c r="M324" s="429" t="s">
        <v>997</v>
      </c>
      <c r="N324" s="429" t="s">
        <v>558</v>
      </c>
      <c r="O324" s="428" t="s">
        <v>998</v>
      </c>
      <c r="P324" s="429" t="s">
        <v>999</v>
      </c>
      <c r="Q324" s="429" t="s">
        <v>1000</v>
      </c>
      <c r="R324" s="429" t="s">
        <v>1001</v>
      </c>
      <c r="S324" s="429" t="s">
        <v>1002</v>
      </c>
      <c r="T324" s="423" t="s">
        <v>1574</v>
      </c>
      <c r="U324" s="423" t="s">
        <v>1041</v>
      </c>
      <c r="V324" s="423" t="s">
        <v>1574</v>
      </c>
      <c r="W324" s="423" t="s">
        <v>1026</v>
      </c>
      <c r="X324" s="423" t="s">
        <v>1026</v>
      </c>
      <c r="Y324" s="423" t="s">
        <v>1041</v>
      </c>
      <c r="Z324" s="423" t="s">
        <v>1574</v>
      </c>
      <c r="AD324" s="423">
        <f>IF(ISNUMBER(MATCH(B324,'FICHA SOLIC'!$AB$26:$AB$376,0)),1,0)</f>
        <v>1</v>
      </c>
      <c r="AE324" s="423" t="str">
        <f t="shared" si="5"/>
        <v>ConcepciónCU3c</v>
      </c>
    </row>
    <row r="325" spans="1:31" x14ac:dyDescent="0.25">
      <c r="A325" s="423">
        <v>324</v>
      </c>
      <c r="B325" s="423" t="s">
        <v>248</v>
      </c>
      <c r="C325" s="423" t="s">
        <v>1560</v>
      </c>
      <c r="D325" s="428" t="s">
        <v>990</v>
      </c>
      <c r="E325" s="429" t="s">
        <v>991</v>
      </c>
      <c r="F325" s="429" t="s">
        <v>992</v>
      </c>
      <c r="G325" s="429" t="s">
        <v>993</v>
      </c>
      <c r="H325" s="430" t="s">
        <v>699</v>
      </c>
      <c r="I325" s="429" t="s">
        <v>994</v>
      </c>
      <c r="J325" s="428" t="s">
        <v>697</v>
      </c>
      <c r="K325" s="429" t="s">
        <v>995</v>
      </c>
      <c r="L325" s="429" t="s">
        <v>996</v>
      </c>
      <c r="M325" s="429" t="s">
        <v>997</v>
      </c>
      <c r="N325" s="429" t="s">
        <v>558</v>
      </c>
      <c r="O325" s="428" t="s">
        <v>998</v>
      </c>
      <c r="P325" s="429" t="s">
        <v>999</v>
      </c>
      <c r="Q325" s="429" t="s">
        <v>1000</v>
      </c>
      <c r="R325" s="429" t="s">
        <v>1001</v>
      </c>
      <c r="S325" s="429" t="s">
        <v>1002</v>
      </c>
      <c r="T325" s="423">
        <v>450</v>
      </c>
      <c r="U325" s="423" t="s">
        <v>1041</v>
      </c>
      <c r="V325" s="423">
        <v>80</v>
      </c>
      <c r="W325" s="423">
        <v>10</v>
      </c>
      <c r="X325" s="423" t="s">
        <v>1026</v>
      </c>
      <c r="Y325" s="423" t="s">
        <v>1041</v>
      </c>
      <c r="Z325" s="423" t="s">
        <v>1059</v>
      </c>
      <c r="AD325" s="423">
        <f>IF(ISNUMBER(MATCH(B325,'FICHA SOLIC'!$AB$26:$AB$376,0)),1,0)</f>
        <v>1</v>
      </c>
      <c r="AE325" s="423" t="str">
        <f t="shared" si="5"/>
        <v>ConcepciónCU3d</v>
      </c>
    </row>
    <row r="326" spans="1:31" x14ac:dyDescent="0.25">
      <c r="A326" s="423">
        <v>325</v>
      </c>
      <c r="B326" s="423" t="s">
        <v>248</v>
      </c>
      <c r="C326" s="423" t="s">
        <v>1561</v>
      </c>
      <c r="D326" s="428" t="s">
        <v>990</v>
      </c>
      <c r="E326" s="429" t="s">
        <v>991</v>
      </c>
      <c r="F326" s="429" t="s">
        <v>992</v>
      </c>
      <c r="G326" s="429" t="s">
        <v>993</v>
      </c>
      <c r="H326" s="430" t="s">
        <v>699</v>
      </c>
      <c r="I326" s="429" t="s">
        <v>994</v>
      </c>
      <c r="J326" s="428" t="s">
        <v>697</v>
      </c>
      <c r="K326" s="429" t="s">
        <v>995</v>
      </c>
      <c r="L326" s="429" t="s">
        <v>996</v>
      </c>
      <c r="M326" s="429" t="s">
        <v>997</v>
      </c>
      <c r="N326" s="429" t="s">
        <v>558</v>
      </c>
      <c r="O326" s="428" t="s">
        <v>998</v>
      </c>
      <c r="P326" s="429" t="s">
        <v>999</v>
      </c>
      <c r="Q326" s="429" t="s">
        <v>1000</v>
      </c>
      <c r="R326" s="429" t="s">
        <v>1001</v>
      </c>
      <c r="S326" s="429" t="s">
        <v>1002</v>
      </c>
      <c r="T326" s="423">
        <v>700</v>
      </c>
      <c r="U326" s="423" t="s">
        <v>1041</v>
      </c>
      <c r="V326" s="423">
        <v>100</v>
      </c>
      <c r="W326" s="423">
        <v>10</v>
      </c>
      <c r="X326" s="423" t="s">
        <v>1026</v>
      </c>
      <c r="Y326" s="423" t="s">
        <v>1041</v>
      </c>
      <c r="Z326" s="423" t="s">
        <v>1059</v>
      </c>
      <c r="AD326" s="423">
        <f>IF(ISNUMBER(MATCH(B326,'FICHA SOLIC'!$AB$26:$AB$376,0)),1,0)</f>
        <v>1</v>
      </c>
      <c r="AE326" s="423" t="str">
        <f t="shared" si="5"/>
        <v>ConcepciónCU4a</v>
      </c>
    </row>
    <row r="327" spans="1:31" x14ac:dyDescent="0.25">
      <c r="A327" s="423">
        <v>326</v>
      </c>
      <c r="B327" s="423" t="s">
        <v>248</v>
      </c>
      <c r="C327" s="423" t="s">
        <v>1562</v>
      </c>
      <c r="D327" s="428" t="s">
        <v>990</v>
      </c>
      <c r="E327" s="429" t="s">
        <v>991</v>
      </c>
      <c r="F327" s="429" t="s">
        <v>992</v>
      </c>
      <c r="G327" s="429" t="s">
        <v>993</v>
      </c>
      <c r="H327" s="430" t="s">
        <v>699</v>
      </c>
      <c r="I327" s="429" t="s">
        <v>994</v>
      </c>
      <c r="J327" s="428" t="s">
        <v>697</v>
      </c>
      <c r="K327" s="429" t="s">
        <v>995</v>
      </c>
      <c r="L327" s="429" t="s">
        <v>996</v>
      </c>
      <c r="M327" s="429" t="s">
        <v>997</v>
      </c>
      <c r="N327" s="429" t="s">
        <v>558</v>
      </c>
      <c r="O327" s="428" t="s">
        <v>998</v>
      </c>
      <c r="P327" s="429" t="s">
        <v>999</v>
      </c>
      <c r="Q327" s="429" t="s">
        <v>1000</v>
      </c>
      <c r="R327" s="429" t="s">
        <v>1001</v>
      </c>
      <c r="S327" s="429" t="s">
        <v>1002</v>
      </c>
      <c r="T327" s="423">
        <v>700</v>
      </c>
      <c r="U327" s="423" t="s">
        <v>1041</v>
      </c>
      <c r="V327" s="423">
        <v>80</v>
      </c>
      <c r="W327" s="423">
        <v>10</v>
      </c>
      <c r="X327" s="423" t="s">
        <v>1026</v>
      </c>
      <c r="Y327" s="423" t="s">
        <v>1041</v>
      </c>
      <c r="Z327" s="423" t="s">
        <v>1059</v>
      </c>
      <c r="AD327" s="423">
        <f>IF(ISNUMBER(MATCH(B327,'FICHA SOLIC'!$AB$26:$AB$376,0)),1,0)</f>
        <v>1</v>
      </c>
      <c r="AE327" s="423" t="str">
        <f t="shared" si="5"/>
        <v>ConcepciónCU4b</v>
      </c>
    </row>
    <row r="328" spans="1:31" x14ac:dyDescent="0.25">
      <c r="A328" s="423">
        <v>327</v>
      </c>
      <c r="B328" s="423" t="s">
        <v>248</v>
      </c>
      <c r="C328" s="423" t="s">
        <v>1563</v>
      </c>
      <c r="D328" s="428" t="s">
        <v>990</v>
      </c>
      <c r="E328" s="429" t="s">
        <v>991</v>
      </c>
      <c r="F328" s="429" t="s">
        <v>992</v>
      </c>
      <c r="G328" s="429" t="s">
        <v>993</v>
      </c>
      <c r="H328" s="430" t="s">
        <v>699</v>
      </c>
      <c r="I328" s="429" t="s">
        <v>994</v>
      </c>
      <c r="J328" s="428" t="s">
        <v>697</v>
      </c>
      <c r="K328" s="429" t="s">
        <v>995</v>
      </c>
      <c r="L328" s="429" t="s">
        <v>996</v>
      </c>
      <c r="M328" s="429" t="s">
        <v>997</v>
      </c>
      <c r="N328" s="429" t="s">
        <v>558</v>
      </c>
      <c r="O328" s="428" t="s">
        <v>998</v>
      </c>
      <c r="P328" s="429" t="s">
        <v>999</v>
      </c>
      <c r="Q328" s="429" t="s">
        <v>1000</v>
      </c>
      <c r="R328" s="429" t="s">
        <v>1001</v>
      </c>
      <c r="S328" s="429" t="s">
        <v>1002</v>
      </c>
      <c r="T328" s="423">
        <v>700</v>
      </c>
      <c r="U328" s="423" t="s">
        <v>1041</v>
      </c>
      <c r="V328" s="423">
        <v>100</v>
      </c>
      <c r="W328" s="423">
        <v>10</v>
      </c>
      <c r="X328" s="423" t="s">
        <v>1026</v>
      </c>
      <c r="Y328" s="423" t="s">
        <v>1041</v>
      </c>
      <c r="Z328" s="423" t="s">
        <v>1150</v>
      </c>
      <c r="AD328" s="423">
        <f>IF(ISNUMBER(MATCH(B328,'FICHA SOLIC'!$AB$26:$AB$376,0)),1,0)</f>
        <v>1</v>
      </c>
      <c r="AE328" s="423" t="str">
        <f t="shared" si="5"/>
        <v>ConcepciónCU4c</v>
      </c>
    </row>
    <row r="329" spans="1:31" x14ac:dyDescent="0.25">
      <c r="A329" s="423">
        <v>328</v>
      </c>
      <c r="B329" s="423" t="s">
        <v>248</v>
      </c>
      <c r="C329" s="423" t="s">
        <v>1564</v>
      </c>
      <c r="D329" s="428" t="s">
        <v>990</v>
      </c>
      <c r="E329" s="429" t="s">
        <v>991</v>
      </c>
      <c r="F329" s="429" t="s">
        <v>992</v>
      </c>
      <c r="G329" s="429" t="s">
        <v>993</v>
      </c>
      <c r="H329" s="430" t="s">
        <v>699</v>
      </c>
      <c r="I329" s="429" t="s">
        <v>994</v>
      </c>
      <c r="J329" s="428" t="s">
        <v>697</v>
      </c>
      <c r="K329" s="429" t="s">
        <v>995</v>
      </c>
      <c r="L329" s="429" t="s">
        <v>996</v>
      </c>
      <c r="M329" s="429" t="s">
        <v>997</v>
      </c>
      <c r="N329" s="429" t="s">
        <v>558</v>
      </c>
      <c r="O329" s="428" t="s">
        <v>998</v>
      </c>
      <c r="P329" s="429" t="s">
        <v>999</v>
      </c>
      <c r="Q329" s="429" t="s">
        <v>1000</v>
      </c>
      <c r="R329" s="429" t="s">
        <v>1001</v>
      </c>
      <c r="S329" s="429" t="s">
        <v>1002</v>
      </c>
      <c r="T329" s="427" t="s">
        <v>1574</v>
      </c>
      <c r="U329" s="423" t="s">
        <v>1041</v>
      </c>
      <c r="V329" s="423" t="s">
        <v>1574</v>
      </c>
      <c r="W329" s="423">
        <v>10</v>
      </c>
      <c r="X329" s="423" t="s">
        <v>1026</v>
      </c>
      <c r="Y329" s="423" t="s">
        <v>1041</v>
      </c>
      <c r="Z329" s="423" t="s">
        <v>1574</v>
      </c>
      <c r="AD329" s="423">
        <f>IF(ISNUMBER(MATCH(B329,'FICHA SOLIC'!$AB$26:$AB$376,0)),1,0)</f>
        <v>1</v>
      </c>
      <c r="AE329" s="423" t="str">
        <f t="shared" si="5"/>
        <v>ConcepciónCU4d</v>
      </c>
    </row>
    <row r="330" spans="1:31" x14ac:dyDescent="0.25">
      <c r="A330" s="423">
        <v>329</v>
      </c>
      <c r="B330" s="423" t="s">
        <v>248</v>
      </c>
      <c r="C330" s="423" t="s">
        <v>1426</v>
      </c>
      <c r="D330" s="425" t="s">
        <v>990</v>
      </c>
      <c r="E330" s="425" t="s">
        <v>991</v>
      </c>
      <c r="F330" s="425" t="s">
        <v>992</v>
      </c>
      <c r="G330" s="425" t="s">
        <v>993</v>
      </c>
      <c r="H330" s="426" t="s">
        <v>699</v>
      </c>
      <c r="I330" s="425" t="s">
        <v>994</v>
      </c>
      <c r="J330" s="425" t="s">
        <v>697</v>
      </c>
      <c r="K330" s="425" t="s">
        <v>995</v>
      </c>
      <c r="L330" s="425" t="s">
        <v>996</v>
      </c>
      <c r="M330" s="425" t="s">
        <v>997</v>
      </c>
      <c r="N330" s="425" t="s">
        <v>558</v>
      </c>
      <c r="O330" s="425" t="s">
        <v>998</v>
      </c>
      <c r="P330" s="425" t="s">
        <v>999</v>
      </c>
      <c r="Q330" s="425" t="s">
        <v>1000</v>
      </c>
      <c r="R330" s="425" t="s">
        <v>1001</v>
      </c>
      <c r="S330" s="425" t="s">
        <v>1002</v>
      </c>
      <c r="T330" s="423">
        <v>1400</v>
      </c>
      <c r="U330" s="423" t="s">
        <v>1041</v>
      </c>
      <c r="V330" s="423">
        <v>50</v>
      </c>
      <c r="W330" s="423">
        <v>5</v>
      </c>
      <c r="X330" s="423" t="s">
        <v>1026</v>
      </c>
      <c r="Y330" s="423" t="s">
        <v>1041</v>
      </c>
      <c r="Z330" s="423" t="s">
        <v>1058</v>
      </c>
      <c r="AD330" s="423">
        <f>IF(ISNUMBER(MATCH(B330,'FICHA SOLIC'!$AB$26:$AB$376,0)),1,0)</f>
        <v>1</v>
      </c>
      <c r="AE330" s="423" t="str">
        <f t="shared" si="5"/>
        <v>ConcepciónE1</v>
      </c>
    </row>
    <row r="331" spans="1:31" x14ac:dyDescent="0.25">
      <c r="A331" s="423">
        <v>330</v>
      </c>
      <c r="B331" s="423" t="s">
        <v>248</v>
      </c>
      <c r="C331" s="423" t="s">
        <v>1565</v>
      </c>
      <c r="D331" s="424" t="s">
        <v>990</v>
      </c>
      <c r="E331" s="425" t="s">
        <v>991</v>
      </c>
      <c r="F331" s="425" t="s">
        <v>992</v>
      </c>
      <c r="G331" s="425" t="s">
        <v>993</v>
      </c>
      <c r="H331" s="426" t="s">
        <v>699</v>
      </c>
      <c r="I331" s="425" t="s">
        <v>994</v>
      </c>
      <c r="J331" s="424" t="s">
        <v>697</v>
      </c>
      <c r="K331" s="425" t="s">
        <v>995</v>
      </c>
      <c r="L331" s="425" t="s">
        <v>996</v>
      </c>
      <c r="M331" s="425" t="s">
        <v>997</v>
      </c>
      <c r="N331" s="425" t="s">
        <v>558</v>
      </c>
      <c r="O331" s="424" t="s">
        <v>998</v>
      </c>
      <c r="P331" s="425" t="s">
        <v>999</v>
      </c>
      <c r="Q331" s="425" t="s">
        <v>1000</v>
      </c>
      <c r="R331" s="425" t="s">
        <v>1001</v>
      </c>
      <c r="S331" s="425" t="s">
        <v>1002</v>
      </c>
      <c r="T331" s="423">
        <v>1400</v>
      </c>
      <c r="U331" s="423" t="s">
        <v>1041</v>
      </c>
      <c r="V331" s="423">
        <v>30</v>
      </c>
      <c r="W331" s="423">
        <v>5</v>
      </c>
      <c r="X331" s="423" t="s">
        <v>1026</v>
      </c>
      <c r="Y331" s="423" t="s">
        <v>1041</v>
      </c>
      <c r="Z331" s="423" t="s">
        <v>1058</v>
      </c>
      <c r="AD331" s="423">
        <f>IF(ISNUMBER(MATCH(B331,'FICHA SOLIC'!$AB$26:$AB$376,0)),1,0)</f>
        <v>1</v>
      </c>
      <c r="AE331" s="423" t="str">
        <f t="shared" si="5"/>
        <v>ConcepciónE2</v>
      </c>
    </row>
    <row r="332" spans="1:31" x14ac:dyDescent="0.25">
      <c r="A332" s="423">
        <v>331</v>
      </c>
      <c r="B332" s="423" t="s">
        <v>248</v>
      </c>
      <c r="C332" s="423" t="s">
        <v>1432</v>
      </c>
      <c r="D332" s="424" t="s">
        <v>990</v>
      </c>
      <c r="E332" s="425" t="s">
        <v>991</v>
      </c>
      <c r="F332" s="425" t="s">
        <v>992</v>
      </c>
      <c r="G332" s="425" t="s">
        <v>993</v>
      </c>
      <c r="H332" s="426" t="s">
        <v>699</v>
      </c>
      <c r="I332" s="425" t="s">
        <v>994</v>
      </c>
      <c r="J332" s="424" t="s">
        <v>697</v>
      </c>
      <c r="K332" s="425" t="s">
        <v>995</v>
      </c>
      <c r="L332" s="425" t="s">
        <v>996</v>
      </c>
      <c r="M332" s="425" t="s">
        <v>997</v>
      </c>
      <c r="N332" s="425" t="s">
        <v>558</v>
      </c>
      <c r="O332" s="424" t="s">
        <v>998</v>
      </c>
      <c r="P332" s="425" t="s">
        <v>999</v>
      </c>
      <c r="Q332" s="425" t="s">
        <v>1000</v>
      </c>
      <c r="R332" s="425" t="s">
        <v>1001</v>
      </c>
      <c r="S332" s="425" t="s">
        <v>1002</v>
      </c>
      <c r="T332" s="423">
        <v>1400</v>
      </c>
      <c r="U332" s="423" t="s">
        <v>1041</v>
      </c>
      <c r="V332" s="423">
        <v>50</v>
      </c>
      <c r="W332" s="423">
        <v>3</v>
      </c>
      <c r="X332" s="423" t="s">
        <v>1026</v>
      </c>
      <c r="Y332" s="423" t="s">
        <v>1041</v>
      </c>
      <c r="Z332" s="423" t="s">
        <v>1058</v>
      </c>
      <c r="AD332" s="423">
        <f>IF(ISNUMBER(MATCH(B332,'FICHA SOLIC'!$AB$26:$AB$376,0)),1,0)</f>
        <v>1</v>
      </c>
      <c r="AE332" s="423" t="str">
        <f t="shared" si="5"/>
        <v>ConcepciónE3</v>
      </c>
    </row>
    <row r="333" spans="1:31" x14ac:dyDescent="0.25">
      <c r="A333" s="423">
        <v>332</v>
      </c>
      <c r="B333" s="423" t="s">
        <v>248</v>
      </c>
      <c r="C333" s="423" t="s">
        <v>1433</v>
      </c>
      <c r="D333" s="424" t="s">
        <v>990</v>
      </c>
      <c r="E333" s="425" t="s">
        <v>991</v>
      </c>
      <c r="F333" s="425" t="s">
        <v>992</v>
      </c>
      <c r="G333" s="425" t="s">
        <v>993</v>
      </c>
      <c r="H333" s="426" t="s">
        <v>699</v>
      </c>
      <c r="I333" s="425" t="s">
        <v>994</v>
      </c>
      <c r="J333" s="424" t="s">
        <v>697</v>
      </c>
      <c r="K333" s="425" t="s">
        <v>995</v>
      </c>
      <c r="L333" s="425" t="s">
        <v>996</v>
      </c>
      <c r="M333" s="425" t="s">
        <v>997</v>
      </c>
      <c r="N333" s="425" t="s">
        <v>558</v>
      </c>
      <c r="O333" s="424" t="s">
        <v>998</v>
      </c>
      <c r="P333" s="425" t="s">
        <v>999</v>
      </c>
      <c r="Q333" s="425" t="s">
        <v>1000</v>
      </c>
      <c r="R333" s="425" t="s">
        <v>1001</v>
      </c>
      <c r="S333" s="425" t="s">
        <v>1002</v>
      </c>
      <c r="T333" s="423">
        <v>1400</v>
      </c>
      <c r="U333" s="423" t="s">
        <v>1041</v>
      </c>
      <c r="V333" s="423">
        <v>80</v>
      </c>
      <c r="W333" s="423">
        <v>10</v>
      </c>
      <c r="X333" s="423" t="s">
        <v>1026</v>
      </c>
      <c r="Y333" s="423" t="s">
        <v>1041</v>
      </c>
      <c r="Z333" s="423" t="s">
        <v>1058</v>
      </c>
      <c r="AD333" s="423">
        <f>IF(ISNUMBER(MATCH(B333,'FICHA SOLIC'!$AB$26:$AB$376,0)),1,0)</f>
        <v>1</v>
      </c>
      <c r="AE333" s="423" t="str">
        <f t="shared" si="5"/>
        <v>ConcepciónE4</v>
      </c>
    </row>
    <row r="334" spans="1:31" x14ac:dyDescent="0.25">
      <c r="A334" s="423">
        <v>333</v>
      </c>
      <c r="B334" s="423" t="s">
        <v>248</v>
      </c>
      <c r="C334" s="423" t="s">
        <v>1282</v>
      </c>
      <c r="D334" s="424" t="s">
        <v>990</v>
      </c>
      <c r="E334" s="425" t="s">
        <v>991</v>
      </c>
      <c r="F334" s="425" t="s">
        <v>992</v>
      </c>
      <c r="G334" s="425" t="s">
        <v>993</v>
      </c>
      <c r="H334" s="426" t="s">
        <v>699</v>
      </c>
      <c r="I334" s="425" t="s">
        <v>994</v>
      </c>
      <c r="J334" s="424" t="s">
        <v>697</v>
      </c>
      <c r="K334" s="425" t="s">
        <v>995</v>
      </c>
      <c r="L334" s="425" t="s">
        <v>996</v>
      </c>
      <c r="M334" s="425" t="s">
        <v>997</v>
      </c>
      <c r="N334" s="425" t="s">
        <v>558</v>
      </c>
      <c r="O334" s="424" t="s">
        <v>998</v>
      </c>
      <c r="P334" s="425" t="s">
        <v>999</v>
      </c>
      <c r="Q334" s="425" t="s">
        <v>1000</v>
      </c>
      <c r="R334" s="425" t="s">
        <v>1001</v>
      </c>
      <c r="S334" s="425" t="s">
        <v>1002</v>
      </c>
      <c r="T334" s="423">
        <v>400</v>
      </c>
      <c r="U334" s="423" t="s">
        <v>1041</v>
      </c>
      <c r="V334" s="423">
        <v>60</v>
      </c>
      <c r="W334" s="423">
        <v>3.25</v>
      </c>
      <c r="X334" s="423" t="s">
        <v>1569</v>
      </c>
      <c r="Y334" s="423" t="s">
        <v>1041</v>
      </c>
      <c r="Z334" s="423" t="s">
        <v>1059</v>
      </c>
      <c r="AD334" s="423">
        <f>IF(ISNUMBER(MATCH(B334,'FICHA SOLIC'!$AB$26:$AB$376,0)),1,0)</f>
        <v>1</v>
      </c>
      <c r="AE334" s="423" t="str">
        <f t="shared" si="5"/>
        <v>ConcepciónH1</v>
      </c>
    </row>
    <row r="335" spans="1:31" x14ac:dyDescent="0.25">
      <c r="A335" s="423">
        <v>334</v>
      </c>
      <c r="B335" s="423" t="s">
        <v>248</v>
      </c>
      <c r="C335" s="423" t="s">
        <v>1283</v>
      </c>
      <c r="D335" s="425" t="s">
        <v>990</v>
      </c>
      <c r="E335" s="425" t="s">
        <v>991</v>
      </c>
      <c r="F335" s="425" t="s">
        <v>992</v>
      </c>
      <c r="G335" s="425" t="s">
        <v>993</v>
      </c>
      <c r="H335" s="426" t="s">
        <v>699</v>
      </c>
      <c r="I335" s="425" t="s">
        <v>994</v>
      </c>
      <c r="J335" s="425" t="s">
        <v>697</v>
      </c>
      <c r="K335" s="425" t="s">
        <v>995</v>
      </c>
      <c r="L335" s="425" t="s">
        <v>996</v>
      </c>
      <c r="M335" s="425" t="s">
        <v>997</v>
      </c>
      <c r="N335" s="425" t="s">
        <v>558</v>
      </c>
      <c r="O335" s="425" t="s">
        <v>998</v>
      </c>
      <c r="P335" s="425" t="s">
        <v>999</v>
      </c>
      <c r="Q335" s="425" t="s">
        <v>1000</v>
      </c>
      <c r="R335" s="425" t="s">
        <v>1001</v>
      </c>
      <c r="S335" s="425" t="s">
        <v>1002</v>
      </c>
      <c r="T335" s="423">
        <v>200</v>
      </c>
      <c r="U335" s="423" t="s">
        <v>1041</v>
      </c>
      <c r="V335" s="423">
        <v>80</v>
      </c>
      <c r="W335" s="423">
        <v>3.5</v>
      </c>
      <c r="X335" s="423" t="s">
        <v>1569</v>
      </c>
      <c r="Y335" s="423" t="s">
        <v>1041</v>
      </c>
      <c r="Z335" s="423" t="s">
        <v>1059</v>
      </c>
      <c r="AD335" s="423">
        <f>IF(ISNUMBER(MATCH(B335,'FICHA SOLIC'!$AB$26:$AB$376,0)),1,0)</f>
        <v>1</v>
      </c>
      <c r="AE335" s="423" t="str">
        <f t="shared" si="5"/>
        <v>ConcepciónH2</v>
      </c>
    </row>
    <row r="336" spans="1:31" x14ac:dyDescent="0.25">
      <c r="A336" s="423">
        <v>335</v>
      </c>
      <c r="B336" s="423" t="s">
        <v>248</v>
      </c>
      <c r="C336" s="423" t="s">
        <v>1284</v>
      </c>
      <c r="D336" s="425" t="s">
        <v>990</v>
      </c>
      <c r="E336" s="425" t="s">
        <v>991</v>
      </c>
      <c r="F336" s="425" t="s">
        <v>992</v>
      </c>
      <c r="G336" s="425" t="s">
        <v>993</v>
      </c>
      <c r="H336" s="426" t="s">
        <v>699</v>
      </c>
      <c r="I336" s="425" t="s">
        <v>994</v>
      </c>
      <c r="J336" s="425" t="s">
        <v>697</v>
      </c>
      <c r="K336" s="425" t="s">
        <v>995</v>
      </c>
      <c r="L336" s="425" t="s">
        <v>996</v>
      </c>
      <c r="M336" s="425" t="s">
        <v>997</v>
      </c>
      <c r="N336" s="425" t="s">
        <v>558</v>
      </c>
      <c r="O336" s="425" t="s">
        <v>998</v>
      </c>
      <c r="P336" s="425" t="s">
        <v>999</v>
      </c>
      <c r="Q336" s="425" t="s">
        <v>1000</v>
      </c>
      <c r="R336" s="425" t="s">
        <v>1001</v>
      </c>
      <c r="S336" s="425" t="s">
        <v>1002</v>
      </c>
      <c r="T336" s="423">
        <v>180</v>
      </c>
      <c r="U336" s="423" t="s">
        <v>1041</v>
      </c>
      <c r="V336" s="423">
        <v>80</v>
      </c>
      <c r="W336" s="423">
        <v>3.5</v>
      </c>
      <c r="X336" s="423" t="s">
        <v>1569</v>
      </c>
      <c r="Y336" s="423" t="s">
        <v>1041</v>
      </c>
      <c r="Z336" s="423" t="s">
        <v>1059</v>
      </c>
      <c r="AD336" s="423">
        <f>IF(ISNUMBER(MATCH(B336,'FICHA SOLIC'!$AB$26:$AB$376,0)),1,0)</f>
        <v>1</v>
      </c>
      <c r="AE336" s="423" t="str">
        <f t="shared" si="5"/>
        <v>ConcepciónH3</v>
      </c>
    </row>
    <row r="337" spans="1:31" x14ac:dyDescent="0.25">
      <c r="A337" s="423">
        <v>336</v>
      </c>
      <c r="B337" s="423" t="s">
        <v>248</v>
      </c>
      <c r="C337" s="423" t="s">
        <v>1285</v>
      </c>
      <c r="D337" s="424" t="s">
        <v>990</v>
      </c>
      <c r="E337" s="425" t="s">
        <v>991</v>
      </c>
      <c r="F337" s="425" t="s">
        <v>992</v>
      </c>
      <c r="G337" s="425" t="s">
        <v>993</v>
      </c>
      <c r="H337" s="426" t="s">
        <v>699</v>
      </c>
      <c r="I337" s="425" t="s">
        <v>994</v>
      </c>
      <c r="J337" s="424" t="s">
        <v>697</v>
      </c>
      <c r="K337" s="425" t="s">
        <v>995</v>
      </c>
      <c r="L337" s="425" t="s">
        <v>996</v>
      </c>
      <c r="M337" s="425" t="s">
        <v>997</v>
      </c>
      <c r="N337" s="425" t="s">
        <v>558</v>
      </c>
      <c r="O337" s="424" t="s">
        <v>998</v>
      </c>
      <c r="P337" s="425" t="s">
        <v>999</v>
      </c>
      <c r="Q337" s="425" t="s">
        <v>1000</v>
      </c>
      <c r="R337" s="425" t="s">
        <v>1001</v>
      </c>
      <c r="S337" s="425" t="s">
        <v>1002</v>
      </c>
      <c r="T337" s="423">
        <v>200</v>
      </c>
      <c r="U337" s="423" t="s">
        <v>1041</v>
      </c>
      <c r="V337" s="423">
        <v>80</v>
      </c>
      <c r="W337" s="423">
        <v>3.5</v>
      </c>
      <c r="X337" s="423" t="s">
        <v>1569</v>
      </c>
      <c r="Y337" s="423" t="s">
        <v>1041</v>
      </c>
      <c r="Z337" s="423" t="s">
        <v>1059</v>
      </c>
      <c r="AD337" s="423">
        <f>IF(ISNUMBER(MATCH(B337,'FICHA SOLIC'!$AB$26:$AB$376,0)),1,0)</f>
        <v>1</v>
      </c>
      <c r="AE337" s="423" t="str">
        <f t="shared" si="5"/>
        <v>ConcepciónH4</v>
      </c>
    </row>
    <row r="338" spans="1:31" x14ac:dyDescent="0.25">
      <c r="A338" s="423">
        <v>337</v>
      </c>
      <c r="B338" s="423" t="s">
        <v>248</v>
      </c>
      <c r="C338" s="423" t="s">
        <v>1286</v>
      </c>
      <c r="D338" s="424" t="s">
        <v>990</v>
      </c>
      <c r="E338" s="425" t="s">
        <v>991</v>
      </c>
      <c r="F338" s="425" t="s">
        <v>992</v>
      </c>
      <c r="G338" s="425" t="s">
        <v>993</v>
      </c>
      <c r="H338" s="426" t="s">
        <v>699</v>
      </c>
      <c r="I338" s="425" t="s">
        <v>994</v>
      </c>
      <c r="J338" s="424" t="s">
        <v>697</v>
      </c>
      <c r="K338" s="425" t="s">
        <v>995</v>
      </c>
      <c r="L338" s="425" t="s">
        <v>996</v>
      </c>
      <c r="M338" s="425" t="s">
        <v>997</v>
      </c>
      <c r="N338" s="425" t="s">
        <v>558</v>
      </c>
      <c r="O338" s="424" t="s">
        <v>998</v>
      </c>
      <c r="P338" s="425" t="s">
        <v>999</v>
      </c>
      <c r="Q338" s="425" t="s">
        <v>1000</v>
      </c>
      <c r="R338" s="425" t="s">
        <v>1001</v>
      </c>
      <c r="S338" s="425" t="s">
        <v>1002</v>
      </c>
      <c r="T338" s="423">
        <v>200</v>
      </c>
      <c r="U338" s="423" t="s">
        <v>1041</v>
      </c>
      <c r="V338" s="423">
        <v>80</v>
      </c>
      <c r="W338" s="423">
        <v>6</v>
      </c>
      <c r="X338" s="423" t="s">
        <v>1570</v>
      </c>
      <c r="Y338" s="423" t="s">
        <v>1041</v>
      </c>
      <c r="Z338" s="423" t="s">
        <v>1059</v>
      </c>
      <c r="AD338" s="423">
        <f>IF(ISNUMBER(MATCH(B338,'FICHA SOLIC'!$AB$26:$AB$376,0)),1,0)</f>
        <v>1</v>
      </c>
      <c r="AE338" s="423" t="str">
        <f t="shared" si="5"/>
        <v>ConcepciónH5</v>
      </c>
    </row>
    <row r="339" spans="1:31" x14ac:dyDescent="0.25">
      <c r="A339" s="423">
        <v>338</v>
      </c>
      <c r="B339" s="423" t="s">
        <v>248</v>
      </c>
      <c r="C339" s="423" t="s">
        <v>1549</v>
      </c>
      <c r="D339" s="424" t="s">
        <v>990</v>
      </c>
      <c r="E339" s="425" t="s">
        <v>991</v>
      </c>
      <c r="F339" s="425" t="s">
        <v>992</v>
      </c>
      <c r="G339" s="425" t="s">
        <v>993</v>
      </c>
      <c r="H339" s="426" t="s">
        <v>699</v>
      </c>
      <c r="I339" s="425" t="s">
        <v>994</v>
      </c>
      <c r="J339" s="424" t="s">
        <v>697</v>
      </c>
      <c r="K339" s="425" t="s">
        <v>995</v>
      </c>
      <c r="L339" s="425" t="s">
        <v>996</v>
      </c>
      <c r="M339" s="425" t="s">
        <v>997</v>
      </c>
      <c r="N339" s="425" t="s">
        <v>558</v>
      </c>
      <c r="O339" s="424" t="s">
        <v>998</v>
      </c>
      <c r="P339" s="425" t="s">
        <v>999</v>
      </c>
      <c r="Q339" s="425" t="s">
        <v>1000</v>
      </c>
      <c r="R339" s="425" t="s">
        <v>1001</v>
      </c>
      <c r="S339" s="425" t="s">
        <v>1002</v>
      </c>
      <c r="T339" s="423">
        <v>700</v>
      </c>
      <c r="U339" s="423" t="s">
        <v>1041</v>
      </c>
      <c r="V339" s="423">
        <v>40</v>
      </c>
      <c r="W339" s="423">
        <v>2.8</v>
      </c>
      <c r="X339" s="423" t="s">
        <v>1572</v>
      </c>
      <c r="Y339" s="423" t="s">
        <v>1041</v>
      </c>
      <c r="Z339" s="423" t="s">
        <v>1057</v>
      </c>
      <c r="AD339" s="423">
        <f>IF(ISNUMBER(MATCH(B339,'FICHA SOLIC'!$AB$26:$AB$376,0)),1,0)</f>
        <v>1</v>
      </c>
      <c r="AE339" s="423" t="str">
        <f t="shared" si="5"/>
        <v>ConcepciónHE1</v>
      </c>
    </row>
    <row r="340" spans="1:31" x14ac:dyDescent="0.25">
      <c r="A340" s="423">
        <v>339</v>
      </c>
      <c r="B340" s="423" t="s">
        <v>248</v>
      </c>
      <c r="C340" s="423" t="s">
        <v>1550</v>
      </c>
      <c r="D340" s="424" t="s">
        <v>990</v>
      </c>
      <c r="E340" s="425" t="s">
        <v>991</v>
      </c>
      <c r="F340" s="425" t="s">
        <v>992</v>
      </c>
      <c r="G340" s="425" t="s">
        <v>993</v>
      </c>
      <c r="H340" s="426" t="s">
        <v>699</v>
      </c>
      <c r="I340" s="425" t="s">
        <v>994</v>
      </c>
      <c r="J340" s="424" t="s">
        <v>697</v>
      </c>
      <c r="K340" s="425" t="s">
        <v>995</v>
      </c>
      <c r="L340" s="425" t="s">
        <v>996</v>
      </c>
      <c r="M340" s="425" t="s">
        <v>997</v>
      </c>
      <c r="N340" s="425" t="s">
        <v>558</v>
      </c>
      <c r="O340" s="424" t="s">
        <v>998</v>
      </c>
      <c r="P340" s="425" t="s">
        <v>999</v>
      </c>
      <c r="Q340" s="425" t="s">
        <v>1000</v>
      </c>
      <c r="R340" s="425" t="s">
        <v>1001</v>
      </c>
      <c r="S340" s="425" t="s">
        <v>1002</v>
      </c>
      <c r="T340" s="423">
        <v>600</v>
      </c>
      <c r="U340" s="423" t="s">
        <v>1041</v>
      </c>
      <c r="V340" s="423">
        <v>50</v>
      </c>
      <c r="W340" s="423">
        <v>2.5</v>
      </c>
      <c r="X340" s="423" t="s">
        <v>1572</v>
      </c>
      <c r="Y340" s="423" t="s">
        <v>1041</v>
      </c>
      <c r="Z340" s="423" t="s">
        <v>1059</v>
      </c>
      <c r="AD340" s="423">
        <f>IF(ISNUMBER(MATCH(B340,'FICHA SOLIC'!$AB$26:$AB$376,0)),1,0)</f>
        <v>1</v>
      </c>
      <c r="AE340" s="423" t="str">
        <f t="shared" si="5"/>
        <v>ConcepciónHE2</v>
      </c>
    </row>
    <row r="341" spans="1:31" x14ac:dyDescent="0.25">
      <c r="A341" s="423">
        <v>340</v>
      </c>
      <c r="B341" s="423" t="s">
        <v>248</v>
      </c>
      <c r="C341" s="423" t="s">
        <v>1551</v>
      </c>
      <c r="D341" s="424" t="s">
        <v>990</v>
      </c>
      <c r="E341" s="425" t="s">
        <v>991</v>
      </c>
      <c r="F341" s="425" t="s">
        <v>992</v>
      </c>
      <c r="G341" s="425" t="s">
        <v>993</v>
      </c>
      <c r="H341" s="426" t="s">
        <v>699</v>
      </c>
      <c r="I341" s="425" t="s">
        <v>994</v>
      </c>
      <c r="J341" s="424" t="s">
        <v>697</v>
      </c>
      <c r="K341" s="425" t="s">
        <v>995</v>
      </c>
      <c r="L341" s="425" t="s">
        <v>996</v>
      </c>
      <c r="M341" s="425" t="s">
        <v>997</v>
      </c>
      <c r="N341" s="425" t="s">
        <v>558</v>
      </c>
      <c r="O341" s="424" t="s">
        <v>998</v>
      </c>
      <c r="P341" s="425" t="s">
        <v>999</v>
      </c>
      <c r="Q341" s="425" t="s">
        <v>1000</v>
      </c>
      <c r="R341" s="425" t="s">
        <v>1001</v>
      </c>
      <c r="S341" s="425" t="s">
        <v>1002</v>
      </c>
      <c r="T341" s="423">
        <v>315</v>
      </c>
      <c r="U341" s="423" t="s">
        <v>1041</v>
      </c>
      <c r="V341" s="423">
        <v>60</v>
      </c>
      <c r="W341" s="423">
        <v>3.5</v>
      </c>
      <c r="X341" s="423" t="s">
        <v>1569</v>
      </c>
      <c r="Y341" s="423" t="s">
        <v>1041</v>
      </c>
      <c r="Z341" s="423" t="s">
        <v>1059</v>
      </c>
      <c r="AD341" s="423">
        <f>IF(ISNUMBER(MATCH(B341,'FICHA SOLIC'!$AB$26:$AB$376,0)),1,0)</f>
        <v>1</v>
      </c>
      <c r="AE341" s="423" t="str">
        <f t="shared" si="5"/>
        <v>ConcepciónHE3</v>
      </c>
    </row>
    <row r="342" spans="1:31" x14ac:dyDescent="0.25">
      <c r="A342" s="423">
        <v>341</v>
      </c>
      <c r="B342" s="423" t="s">
        <v>248</v>
      </c>
      <c r="C342" s="423" t="s">
        <v>1552</v>
      </c>
      <c r="D342" s="424" t="s">
        <v>990</v>
      </c>
      <c r="E342" s="425" t="s">
        <v>991</v>
      </c>
      <c r="F342" s="425" t="s">
        <v>992</v>
      </c>
      <c r="G342" s="425" t="s">
        <v>993</v>
      </c>
      <c r="H342" s="426" t="s">
        <v>699</v>
      </c>
      <c r="I342" s="425" t="s">
        <v>994</v>
      </c>
      <c r="J342" s="424" t="s">
        <v>697</v>
      </c>
      <c r="K342" s="425" t="s">
        <v>995</v>
      </c>
      <c r="L342" s="425" t="s">
        <v>996</v>
      </c>
      <c r="M342" s="425" t="s">
        <v>997</v>
      </c>
      <c r="N342" s="425" t="s">
        <v>558</v>
      </c>
      <c r="O342" s="424" t="s">
        <v>998</v>
      </c>
      <c r="P342" s="425" t="s">
        <v>999</v>
      </c>
      <c r="Q342" s="425" t="s">
        <v>1000</v>
      </c>
      <c r="R342" s="425" t="s">
        <v>1001</v>
      </c>
      <c r="S342" s="425" t="s">
        <v>1002</v>
      </c>
      <c r="T342" s="423">
        <v>315</v>
      </c>
      <c r="U342" s="423" t="s">
        <v>1041</v>
      </c>
      <c r="V342" s="423">
        <v>60</v>
      </c>
      <c r="W342" s="423">
        <v>3</v>
      </c>
      <c r="X342" s="423" t="s">
        <v>1569</v>
      </c>
      <c r="Y342" s="423" t="s">
        <v>1041</v>
      </c>
      <c r="Z342" s="423" t="s">
        <v>1059</v>
      </c>
      <c r="AD342" s="423">
        <f>IF(ISNUMBER(MATCH(B342,'FICHA SOLIC'!$AB$26:$AB$376,0)),1,0)</f>
        <v>1</v>
      </c>
      <c r="AE342" s="423" t="str">
        <f t="shared" si="5"/>
        <v>ConcepciónHE4</v>
      </c>
    </row>
    <row r="343" spans="1:31" x14ac:dyDescent="0.25">
      <c r="A343" s="423">
        <v>342</v>
      </c>
      <c r="B343" s="423" t="s">
        <v>248</v>
      </c>
      <c r="C343" s="423" t="s">
        <v>1546</v>
      </c>
      <c r="D343" s="424" t="s">
        <v>990</v>
      </c>
      <c r="E343" s="425" t="s">
        <v>991</v>
      </c>
      <c r="F343" s="425" t="s">
        <v>992</v>
      </c>
      <c r="G343" s="425" t="s">
        <v>993</v>
      </c>
      <c r="H343" s="426" t="s">
        <v>699</v>
      </c>
      <c r="I343" s="425" t="s">
        <v>994</v>
      </c>
      <c r="J343" s="424" t="s">
        <v>697</v>
      </c>
      <c r="K343" s="425" t="s">
        <v>995</v>
      </c>
      <c r="L343" s="425" t="s">
        <v>996</v>
      </c>
      <c r="M343" s="425" t="s">
        <v>997</v>
      </c>
      <c r="N343" s="425" t="s">
        <v>558</v>
      </c>
      <c r="O343" s="424" t="s">
        <v>998</v>
      </c>
      <c r="P343" s="425" t="s">
        <v>999</v>
      </c>
      <c r="Q343" s="425" t="s">
        <v>1000</v>
      </c>
      <c r="R343" s="425" t="s">
        <v>1001</v>
      </c>
      <c r="S343" s="425" t="s">
        <v>1002</v>
      </c>
      <c r="T343" s="423">
        <v>700</v>
      </c>
      <c r="U343" s="423" t="s">
        <v>1041</v>
      </c>
      <c r="V343" s="423">
        <v>80</v>
      </c>
      <c r="W343" s="423">
        <v>8.5</v>
      </c>
      <c r="X343" s="423" t="s">
        <v>1571</v>
      </c>
      <c r="Y343" s="423" t="s">
        <v>1041</v>
      </c>
      <c r="Z343" s="423" t="s">
        <v>1150</v>
      </c>
      <c r="AD343" s="423">
        <f>IF(ISNUMBER(MATCH(B343,'FICHA SOLIC'!$AB$26:$AB$376,0)),1,0)</f>
        <v>1</v>
      </c>
      <c r="AE343" s="423" t="str">
        <f t="shared" si="5"/>
        <v>ConcepciónHR1</v>
      </c>
    </row>
    <row r="344" spans="1:31" x14ac:dyDescent="0.25">
      <c r="A344" s="423">
        <v>343</v>
      </c>
      <c r="B344" s="423" t="s">
        <v>248</v>
      </c>
      <c r="C344" s="423" t="s">
        <v>1547</v>
      </c>
      <c r="D344" s="424" t="s">
        <v>990</v>
      </c>
      <c r="E344" s="425" t="s">
        <v>991</v>
      </c>
      <c r="F344" s="425" t="s">
        <v>992</v>
      </c>
      <c r="G344" s="425" t="s">
        <v>993</v>
      </c>
      <c r="H344" s="426" t="s">
        <v>699</v>
      </c>
      <c r="I344" s="425" t="s">
        <v>994</v>
      </c>
      <c r="J344" s="424" t="s">
        <v>697</v>
      </c>
      <c r="K344" s="425" t="s">
        <v>995</v>
      </c>
      <c r="L344" s="425" t="s">
        <v>996</v>
      </c>
      <c r="M344" s="425" t="s">
        <v>997</v>
      </c>
      <c r="N344" s="425" t="s">
        <v>558</v>
      </c>
      <c r="O344" s="424" t="s">
        <v>998</v>
      </c>
      <c r="P344" s="425" t="s">
        <v>999</v>
      </c>
      <c r="Q344" s="425" t="s">
        <v>1000</v>
      </c>
      <c r="R344" s="425" t="s">
        <v>1001</v>
      </c>
      <c r="S344" s="425" t="s">
        <v>1002</v>
      </c>
      <c r="T344" s="423">
        <v>700</v>
      </c>
      <c r="U344" s="423" t="s">
        <v>1041</v>
      </c>
      <c r="V344" s="423">
        <v>80</v>
      </c>
      <c r="W344" s="423">
        <v>8</v>
      </c>
      <c r="X344" s="423" t="s">
        <v>1571</v>
      </c>
      <c r="Y344" s="423" t="s">
        <v>1041</v>
      </c>
      <c r="Z344" s="423" t="s">
        <v>1059</v>
      </c>
      <c r="AD344" s="423">
        <f>IF(ISNUMBER(MATCH(B344,'FICHA SOLIC'!$AB$26:$AB$376,0)),1,0)</f>
        <v>1</v>
      </c>
      <c r="AE344" s="423" t="str">
        <f t="shared" si="5"/>
        <v>ConcepciónHR2</v>
      </c>
    </row>
    <row r="345" spans="1:31" x14ac:dyDescent="0.25">
      <c r="A345" s="423">
        <v>344</v>
      </c>
      <c r="B345" s="423" t="s">
        <v>248</v>
      </c>
      <c r="C345" s="423" t="s">
        <v>1548</v>
      </c>
      <c r="D345" s="424" t="s">
        <v>990</v>
      </c>
      <c r="E345" s="425" t="s">
        <v>991</v>
      </c>
      <c r="F345" s="425" t="s">
        <v>992</v>
      </c>
      <c r="G345" s="425" t="s">
        <v>993</v>
      </c>
      <c r="H345" s="426" t="s">
        <v>699</v>
      </c>
      <c r="I345" s="425" t="s">
        <v>994</v>
      </c>
      <c r="J345" s="424" t="s">
        <v>697</v>
      </c>
      <c r="K345" s="425" t="s">
        <v>995</v>
      </c>
      <c r="L345" s="425" t="s">
        <v>996</v>
      </c>
      <c r="M345" s="425" t="s">
        <v>997</v>
      </c>
      <c r="N345" s="425" t="s">
        <v>558</v>
      </c>
      <c r="O345" s="424" t="s">
        <v>998</v>
      </c>
      <c r="P345" s="425" t="s">
        <v>999</v>
      </c>
      <c r="Q345" s="425" t="s">
        <v>1000</v>
      </c>
      <c r="R345" s="425" t="s">
        <v>1001</v>
      </c>
      <c r="S345" s="425" t="s">
        <v>1002</v>
      </c>
      <c r="T345" s="423">
        <v>200</v>
      </c>
      <c r="U345" s="423" t="s">
        <v>1041</v>
      </c>
      <c r="V345" s="423">
        <v>80</v>
      </c>
      <c r="W345" s="423">
        <v>6</v>
      </c>
      <c r="X345" s="423" t="s">
        <v>1571</v>
      </c>
      <c r="Y345" s="423" t="s">
        <v>1041</v>
      </c>
      <c r="Z345" s="423" t="s">
        <v>1059</v>
      </c>
      <c r="AD345" s="423">
        <f>IF(ISNUMBER(MATCH(B345,'FICHA SOLIC'!$AB$26:$AB$376,0)),1,0)</f>
        <v>1</v>
      </c>
      <c r="AE345" s="423" t="str">
        <f t="shared" si="5"/>
        <v>ConcepciónHR3</v>
      </c>
    </row>
    <row r="346" spans="1:31" x14ac:dyDescent="0.25">
      <c r="A346" s="423">
        <v>345</v>
      </c>
      <c r="B346" s="423" t="s">
        <v>248</v>
      </c>
      <c r="C346" s="423" t="s">
        <v>1554</v>
      </c>
      <c r="D346" s="425" t="s">
        <v>990</v>
      </c>
      <c r="E346" s="425" t="s">
        <v>991</v>
      </c>
      <c r="F346" s="425" t="s">
        <v>992</v>
      </c>
      <c r="G346" s="425" t="s">
        <v>993</v>
      </c>
      <c r="H346" s="426" t="s">
        <v>699</v>
      </c>
      <c r="I346" s="425" t="s">
        <v>994</v>
      </c>
      <c r="J346" s="425" t="s">
        <v>697</v>
      </c>
      <c r="K346" s="425" t="s">
        <v>995</v>
      </c>
      <c r="L346" s="425" t="s">
        <v>996</v>
      </c>
      <c r="M346" s="425" t="s">
        <v>997</v>
      </c>
      <c r="N346" s="425" t="s">
        <v>558</v>
      </c>
      <c r="O346" s="425" t="s">
        <v>998</v>
      </c>
      <c r="P346" s="425" t="s">
        <v>999</v>
      </c>
      <c r="Q346" s="425" t="s">
        <v>1000</v>
      </c>
      <c r="R346" s="425" t="s">
        <v>1001</v>
      </c>
      <c r="S346" s="425" t="s">
        <v>1002</v>
      </c>
      <c r="T346" s="423" t="s">
        <v>1041</v>
      </c>
      <c r="U346" s="423" t="s">
        <v>1041</v>
      </c>
      <c r="V346" s="423" t="s">
        <v>1041</v>
      </c>
      <c r="W346" s="423" t="s">
        <v>1041</v>
      </c>
      <c r="X346" s="423" t="s">
        <v>1041</v>
      </c>
      <c r="Y346" s="423" t="s">
        <v>1041</v>
      </c>
      <c r="Z346" s="423" t="s">
        <v>1041</v>
      </c>
      <c r="AD346" s="423">
        <f>IF(ISNUMBER(MATCH(B346,'FICHA SOLIC'!$AB$26:$AB$376,0)),1,0)</f>
        <v>1</v>
      </c>
      <c r="AE346" s="423" t="str">
        <f t="shared" si="5"/>
        <v>ConcepciónMC</v>
      </c>
    </row>
    <row r="347" spans="1:31" x14ac:dyDescent="0.25">
      <c r="A347" s="423">
        <v>346</v>
      </c>
      <c r="B347" s="423" t="s">
        <v>248</v>
      </c>
      <c r="C347" s="423" t="s">
        <v>1259</v>
      </c>
      <c r="D347" s="429" t="s">
        <v>990</v>
      </c>
      <c r="E347" s="429" t="s">
        <v>991</v>
      </c>
      <c r="F347" s="429" t="s">
        <v>992</v>
      </c>
      <c r="G347" s="429" t="s">
        <v>993</v>
      </c>
      <c r="H347" s="430" t="s">
        <v>699</v>
      </c>
      <c r="I347" s="429" t="s">
        <v>994</v>
      </c>
      <c r="J347" s="429" t="s">
        <v>697</v>
      </c>
      <c r="K347" s="429" t="s">
        <v>995</v>
      </c>
      <c r="L347" s="429" t="s">
        <v>996</v>
      </c>
      <c r="M347" s="429" t="s">
        <v>997</v>
      </c>
      <c r="N347" s="429" t="s">
        <v>558</v>
      </c>
      <c r="O347" s="429" t="s">
        <v>998</v>
      </c>
      <c r="P347" s="429" t="s">
        <v>999</v>
      </c>
      <c r="Q347" s="429" t="s">
        <v>1000</v>
      </c>
      <c r="R347" s="429" t="s">
        <v>1001</v>
      </c>
      <c r="S347" s="429" t="s">
        <v>1002</v>
      </c>
      <c r="T347" s="423">
        <v>700</v>
      </c>
      <c r="U347" s="423" t="s">
        <v>1041</v>
      </c>
      <c r="V347" s="423">
        <v>60</v>
      </c>
      <c r="W347" s="423">
        <v>2.5</v>
      </c>
      <c r="X347" s="423" t="s">
        <v>1026</v>
      </c>
      <c r="Y347" s="423" t="s">
        <v>1041</v>
      </c>
      <c r="Z347" s="423" t="s">
        <v>1059</v>
      </c>
      <c r="AD347" s="423">
        <f>IF(ISNUMBER(MATCH(B347,'FICHA SOLIC'!$AB$26:$AB$376,0)),1,0)</f>
        <v>1</v>
      </c>
      <c r="AE347" s="423" t="str">
        <f t="shared" si="5"/>
        <v>ConcepciónP</v>
      </c>
    </row>
    <row r="348" spans="1:31" x14ac:dyDescent="0.25">
      <c r="A348" s="423">
        <v>347</v>
      </c>
      <c r="B348" s="423" t="s">
        <v>248</v>
      </c>
      <c r="C348" s="423" t="s">
        <v>1568</v>
      </c>
      <c r="D348" s="428" t="s">
        <v>990</v>
      </c>
      <c r="E348" s="429" t="s">
        <v>991</v>
      </c>
      <c r="F348" s="429" t="s">
        <v>992</v>
      </c>
      <c r="G348" s="429" t="s">
        <v>993</v>
      </c>
      <c r="H348" s="430" t="s">
        <v>699</v>
      </c>
      <c r="I348" s="429" t="s">
        <v>994</v>
      </c>
      <c r="J348" s="428" t="s">
        <v>697</v>
      </c>
      <c r="K348" s="429" t="s">
        <v>995</v>
      </c>
      <c r="L348" s="429" t="s">
        <v>996</v>
      </c>
      <c r="M348" s="429" t="s">
        <v>997</v>
      </c>
      <c r="N348" s="429" t="s">
        <v>558</v>
      </c>
      <c r="O348" s="428" t="s">
        <v>998</v>
      </c>
      <c r="P348" s="429" t="s">
        <v>999</v>
      </c>
      <c r="Q348" s="429" t="s">
        <v>1000</v>
      </c>
      <c r="R348" s="429" t="s">
        <v>1001</v>
      </c>
      <c r="S348" s="429" t="s">
        <v>1002</v>
      </c>
      <c r="T348" s="423">
        <v>1750</v>
      </c>
      <c r="U348" s="423" t="s">
        <v>1041</v>
      </c>
      <c r="V348" s="423">
        <v>20</v>
      </c>
      <c r="W348" s="423">
        <v>0.1</v>
      </c>
      <c r="X348" s="423" t="s">
        <v>1097</v>
      </c>
      <c r="Y348" s="423" t="s">
        <v>1041</v>
      </c>
      <c r="Z348" s="423" t="s">
        <v>1097</v>
      </c>
      <c r="AD348" s="423">
        <f>IF(ISNUMBER(MATCH(B348,'FICHA SOLIC'!$AB$26:$AB$376,0)),1,0)</f>
        <v>1</v>
      </c>
      <c r="AE348" s="423" t="str">
        <f t="shared" si="5"/>
        <v>ConcepciónPE</v>
      </c>
    </row>
    <row r="349" spans="1:31" x14ac:dyDescent="0.25">
      <c r="A349" s="423">
        <v>348</v>
      </c>
      <c r="B349" s="427" t="s">
        <v>248</v>
      </c>
      <c r="C349" s="427" t="s">
        <v>1164</v>
      </c>
      <c r="D349" s="428" t="s">
        <v>990</v>
      </c>
      <c r="E349" s="429" t="s">
        <v>991</v>
      </c>
      <c r="F349" s="429" t="s">
        <v>992</v>
      </c>
      <c r="G349" s="429" t="s">
        <v>993</v>
      </c>
      <c r="H349" s="430" t="s">
        <v>699</v>
      </c>
      <c r="I349" s="429" t="s">
        <v>994</v>
      </c>
      <c r="J349" s="428" t="s">
        <v>697</v>
      </c>
      <c r="K349" s="429" t="s">
        <v>995</v>
      </c>
      <c r="L349" s="429" t="s">
        <v>996</v>
      </c>
      <c r="M349" s="429" t="s">
        <v>997</v>
      </c>
      <c r="N349" s="429" t="s">
        <v>558</v>
      </c>
      <c r="O349" s="428" t="s">
        <v>998</v>
      </c>
      <c r="P349" s="429" t="s">
        <v>999</v>
      </c>
      <c r="Q349" s="429" t="s">
        <v>1000</v>
      </c>
      <c r="R349" s="429" t="s">
        <v>1001</v>
      </c>
      <c r="S349" s="429" t="s">
        <v>1002</v>
      </c>
      <c r="T349" s="427">
        <v>1400</v>
      </c>
      <c r="U349" s="427" t="s">
        <v>1041</v>
      </c>
      <c r="V349" s="427">
        <v>40</v>
      </c>
      <c r="W349" s="427">
        <v>0.4</v>
      </c>
      <c r="X349" s="427" t="s">
        <v>1026</v>
      </c>
      <c r="Y349" s="427" t="s">
        <v>1041</v>
      </c>
      <c r="Z349" s="427" t="s">
        <v>1058</v>
      </c>
      <c r="AD349" s="423">
        <f>IF(ISNUMBER(MATCH(B349,'FICHA SOLIC'!$AB$26:$AB$376,0)),1,0)</f>
        <v>1</v>
      </c>
      <c r="AE349" s="423" t="str">
        <f t="shared" si="5"/>
        <v>ConcepciónPI</v>
      </c>
    </row>
    <row r="350" spans="1:31" x14ac:dyDescent="0.25">
      <c r="A350" s="423">
        <v>349</v>
      </c>
      <c r="B350" s="423" t="s">
        <v>248</v>
      </c>
      <c r="C350" s="423" t="s">
        <v>1567</v>
      </c>
      <c r="D350" s="428" t="s">
        <v>990</v>
      </c>
      <c r="E350" s="429" t="s">
        <v>991</v>
      </c>
      <c r="F350" s="429" t="s">
        <v>992</v>
      </c>
      <c r="G350" s="429" t="s">
        <v>993</v>
      </c>
      <c r="H350" s="430" t="s">
        <v>699</v>
      </c>
      <c r="I350" s="429" t="s">
        <v>994</v>
      </c>
      <c r="J350" s="428" t="s">
        <v>697</v>
      </c>
      <c r="K350" s="429" t="s">
        <v>995</v>
      </c>
      <c r="L350" s="429" t="s">
        <v>996</v>
      </c>
      <c r="M350" s="429" t="s">
        <v>997</v>
      </c>
      <c r="N350" s="429" t="s">
        <v>558</v>
      </c>
      <c r="O350" s="428" t="s">
        <v>998</v>
      </c>
      <c r="P350" s="429" t="s">
        <v>999</v>
      </c>
      <c r="Q350" s="429" t="s">
        <v>1000</v>
      </c>
      <c r="R350" s="429" t="s">
        <v>1001</v>
      </c>
      <c r="S350" s="429" t="s">
        <v>1002</v>
      </c>
      <c r="T350" s="423">
        <v>1400</v>
      </c>
      <c r="U350" s="423" t="s">
        <v>1041</v>
      </c>
      <c r="V350" s="423">
        <v>20</v>
      </c>
      <c r="W350" s="423">
        <v>1</v>
      </c>
      <c r="X350" s="423" t="s">
        <v>1575</v>
      </c>
      <c r="Y350" s="423" t="s">
        <v>1041</v>
      </c>
      <c r="Z350" s="423" t="s">
        <v>1058</v>
      </c>
      <c r="AD350" s="423">
        <f>IF(ISNUMBER(MATCH(B350,'FICHA SOLIC'!$AB$26:$AB$376,0)),1,0)</f>
        <v>1</v>
      </c>
      <c r="AE350" s="423" t="str">
        <f t="shared" si="5"/>
        <v>ConcepciónPP</v>
      </c>
    </row>
    <row r="351" spans="1:31" x14ac:dyDescent="0.25">
      <c r="A351" s="423">
        <v>350</v>
      </c>
      <c r="B351" s="423" t="s">
        <v>406</v>
      </c>
      <c r="C351" s="423" t="s">
        <v>1455</v>
      </c>
      <c r="D351" s="429" t="s">
        <v>990</v>
      </c>
      <c r="E351" s="429" t="s">
        <v>991</v>
      </c>
      <c r="F351" s="429" t="s">
        <v>992</v>
      </c>
      <c r="G351" s="429" t="s">
        <v>993</v>
      </c>
      <c r="H351" s="430" t="s">
        <v>699</v>
      </c>
      <c r="I351" s="429" t="s">
        <v>994</v>
      </c>
      <c r="J351" s="429" t="s">
        <v>697</v>
      </c>
      <c r="K351" s="429" t="s">
        <v>995</v>
      </c>
      <c r="L351" s="429" t="s">
        <v>996</v>
      </c>
      <c r="M351" s="429" t="s">
        <v>997</v>
      </c>
      <c r="N351" s="429" t="s">
        <v>558</v>
      </c>
      <c r="O351" s="429" t="s">
        <v>998</v>
      </c>
      <c r="P351" s="429" t="s">
        <v>999</v>
      </c>
      <c r="Q351" s="429" t="s">
        <v>1000</v>
      </c>
      <c r="R351" s="429" t="s">
        <v>1001</v>
      </c>
      <c r="S351" s="429" t="s">
        <v>1002</v>
      </c>
      <c r="T351" s="423" t="s">
        <v>2032</v>
      </c>
      <c r="U351" s="423" t="s">
        <v>2032</v>
      </c>
      <c r="V351" s="423" t="s">
        <v>2032</v>
      </c>
      <c r="W351" s="423" t="s">
        <v>2032</v>
      </c>
      <c r="X351" s="423" t="s">
        <v>2032</v>
      </c>
      <c r="Y351" s="423" t="s">
        <v>2032</v>
      </c>
      <c r="Z351" s="423" t="s">
        <v>2032</v>
      </c>
      <c r="AD351" s="423">
        <f>IF(ISNUMBER(MATCH(B351,'FICHA SOLIC'!$AB$26:$AB$376,0)),1,0)</f>
        <v>1</v>
      </c>
      <c r="AE351" s="423" t="str">
        <f t="shared" si="5"/>
        <v>ConchalíERD</v>
      </c>
    </row>
    <row r="352" spans="1:31" x14ac:dyDescent="0.25">
      <c r="A352" s="423">
        <v>351</v>
      </c>
      <c r="B352" s="423" t="s">
        <v>406</v>
      </c>
      <c r="C352" s="423" t="s">
        <v>1458</v>
      </c>
      <c r="D352" s="428" t="s">
        <v>990</v>
      </c>
      <c r="E352" s="429" t="s">
        <v>991</v>
      </c>
      <c r="F352" s="429" t="s">
        <v>992</v>
      </c>
      <c r="G352" s="429" t="s">
        <v>993</v>
      </c>
      <c r="H352" s="430" t="s">
        <v>699</v>
      </c>
      <c r="I352" s="429" t="s">
        <v>994</v>
      </c>
      <c r="J352" s="428" t="s">
        <v>697</v>
      </c>
      <c r="K352" s="429" t="s">
        <v>995</v>
      </c>
      <c r="L352" s="429" t="s">
        <v>996</v>
      </c>
      <c r="M352" s="429" t="s">
        <v>997</v>
      </c>
      <c r="N352" s="429" t="s">
        <v>558</v>
      </c>
      <c r="O352" s="428" t="s">
        <v>998</v>
      </c>
      <c r="P352" s="429" t="s">
        <v>999</v>
      </c>
      <c r="Q352" s="429" t="s">
        <v>1000</v>
      </c>
      <c r="R352" s="429" t="s">
        <v>1001</v>
      </c>
      <c r="S352" s="429" t="s">
        <v>1002</v>
      </c>
      <c r="T352" s="423" t="s">
        <v>1041</v>
      </c>
      <c r="U352" s="423" t="s">
        <v>1041</v>
      </c>
      <c r="V352" s="423" t="s">
        <v>1041</v>
      </c>
      <c r="W352" s="423" t="s">
        <v>1041</v>
      </c>
      <c r="X352" s="423" t="s">
        <v>1041</v>
      </c>
      <c r="Y352" s="423" t="s">
        <v>1041</v>
      </c>
      <c r="Z352" s="423" t="s">
        <v>1041</v>
      </c>
      <c r="AD352" s="423">
        <f>IF(ISNUMBER(MATCH(B352,'FICHA SOLIC'!$AB$26:$AB$376,0)),1,0)</f>
        <v>1</v>
      </c>
      <c r="AE352" s="423" t="str">
        <f t="shared" si="5"/>
        <v>ConchalíZ2</v>
      </c>
    </row>
    <row r="353" spans="1:31" x14ac:dyDescent="0.25">
      <c r="A353" s="423">
        <v>352</v>
      </c>
      <c r="B353" s="423" t="s">
        <v>406</v>
      </c>
      <c r="C353" s="423" t="s">
        <v>1459</v>
      </c>
      <c r="D353" s="428" t="s">
        <v>990</v>
      </c>
      <c r="E353" s="429" t="s">
        <v>991</v>
      </c>
      <c r="F353" s="429" t="s">
        <v>992</v>
      </c>
      <c r="G353" s="429" t="s">
        <v>993</v>
      </c>
      <c r="H353" s="430" t="s">
        <v>699</v>
      </c>
      <c r="I353" s="429" t="s">
        <v>994</v>
      </c>
      <c r="J353" s="428" t="s">
        <v>697</v>
      </c>
      <c r="K353" s="429" t="s">
        <v>995</v>
      </c>
      <c r="L353" s="429" t="s">
        <v>996</v>
      </c>
      <c r="M353" s="429" t="s">
        <v>997</v>
      </c>
      <c r="N353" s="429" t="s">
        <v>558</v>
      </c>
      <c r="O353" s="428" t="s">
        <v>998</v>
      </c>
      <c r="P353" s="429" t="s">
        <v>999</v>
      </c>
      <c r="Q353" s="429" t="s">
        <v>1000</v>
      </c>
      <c r="R353" s="429" t="s">
        <v>1001</v>
      </c>
      <c r="S353" s="429" t="s">
        <v>1002</v>
      </c>
      <c r="T353" s="423" t="s">
        <v>1041</v>
      </c>
      <c r="U353" s="423" t="s">
        <v>1041</v>
      </c>
      <c r="V353" s="423" t="s">
        <v>1041</v>
      </c>
      <c r="W353" s="423" t="s">
        <v>1041</v>
      </c>
      <c r="X353" s="423" t="s">
        <v>1041</v>
      </c>
      <c r="Y353" s="423" t="s">
        <v>1041</v>
      </c>
      <c r="Z353" s="423" t="s">
        <v>1041</v>
      </c>
      <c r="AD353" s="423">
        <f>IF(ISNUMBER(MATCH(B353,'FICHA SOLIC'!$AB$26:$AB$376,0)),1,0)</f>
        <v>1</v>
      </c>
      <c r="AE353" s="423" t="str">
        <f t="shared" si="5"/>
        <v>ConchalíZAV</v>
      </c>
    </row>
    <row r="354" spans="1:31" x14ac:dyDescent="0.25">
      <c r="A354" s="423">
        <v>353</v>
      </c>
      <c r="B354" s="423" t="s">
        <v>406</v>
      </c>
      <c r="C354" s="423" t="s">
        <v>1456</v>
      </c>
      <c r="D354" s="428" t="s">
        <v>990</v>
      </c>
      <c r="E354" s="429" t="s">
        <v>991</v>
      </c>
      <c r="F354" s="429" t="s">
        <v>992</v>
      </c>
      <c r="G354" s="429" t="s">
        <v>993</v>
      </c>
      <c r="H354" s="430" t="s">
        <v>699</v>
      </c>
      <c r="I354" s="429" t="s">
        <v>994</v>
      </c>
      <c r="J354" s="428" t="s">
        <v>697</v>
      </c>
      <c r="K354" s="429" t="s">
        <v>995</v>
      </c>
      <c r="L354" s="429" t="s">
        <v>996</v>
      </c>
      <c r="M354" s="429" t="s">
        <v>997</v>
      </c>
      <c r="N354" s="429" t="s">
        <v>558</v>
      </c>
      <c r="O354" s="428" t="s">
        <v>998</v>
      </c>
      <c r="P354" s="429" t="s">
        <v>999</v>
      </c>
      <c r="Q354" s="429" t="s">
        <v>1000</v>
      </c>
      <c r="R354" s="429" t="s">
        <v>1001</v>
      </c>
      <c r="S354" s="429" t="s">
        <v>1002</v>
      </c>
      <c r="T354" s="423" t="s">
        <v>1576</v>
      </c>
      <c r="U354" s="423" t="s">
        <v>1097</v>
      </c>
      <c r="V354" s="423" t="s">
        <v>1097</v>
      </c>
      <c r="W354" s="423" t="s">
        <v>1097</v>
      </c>
      <c r="X354" s="423" t="s">
        <v>1097</v>
      </c>
      <c r="Y354" s="423" t="s">
        <v>1097</v>
      </c>
      <c r="Z354" s="423" t="s">
        <v>1097</v>
      </c>
      <c r="AD354" s="423">
        <f>IF(ISNUMBER(MATCH(B354,'FICHA SOLIC'!$AB$26:$AB$376,0)),1,0)</f>
        <v>1</v>
      </c>
      <c r="AE354" s="423" t="str">
        <f t="shared" si="5"/>
        <v>ConchalíZCH</v>
      </c>
    </row>
    <row r="355" spans="1:31" x14ac:dyDescent="0.25">
      <c r="A355" s="423">
        <v>354</v>
      </c>
      <c r="B355" s="423" t="s">
        <v>406</v>
      </c>
      <c r="C355" s="423" t="s">
        <v>1454</v>
      </c>
      <c r="D355" s="428" t="s">
        <v>990</v>
      </c>
      <c r="E355" s="429" t="s">
        <v>991</v>
      </c>
      <c r="F355" s="429" t="s">
        <v>992</v>
      </c>
      <c r="G355" s="429" t="s">
        <v>993</v>
      </c>
      <c r="H355" s="430" t="s">
        <v>699</v>
      </c>
      <c r="I355" s="429" t="s">
        <v>994</v>
      </c>
      <c r="J355" s="428" t="s">
        <v>697</v>
      </c>
      <c r="K355" s="429" t="s">
        <v>995</v>
      </c>
      <c r="L355" s="429" t="s">
        <v>996</v>
      </c>
      <c r="M355" s="429" t="s">
        <v>997</v>
      </c>
      <c r="N355" s="429" t="s">
        <v>558</v>
      </c>
      <c r="O355" s="428" t="s">
        <v>998</v>
      </c>
      <c r="P355" s="429" t="s">
        <v>999</v>
      </c>
      <c r="Q355" s="429" t="s">
        <v>1000</v>
      </c>
      <c r="R355" s="429" t="s">
        <v>1001</v>
      </c>
      <c r="S355" s="429" t="s">
        <v>1002</v>
      </c>
      <c r="T355" s="423">
        <v>400</v>
      </c>
      <c r="U355" s="423" t="s">
        <v>1041</v>
      </c>
      <c r="V355" s="423">
        <v>50</v>
      </c>
      <c r="W355" s="423">
        <v>1.8</v>
      </c>
      <c r="X355" s="423" t="s">
        <v>1447</v>
      </c>
      <c r="Z355" s="423" t="s">
        <v>1059</v>
      </c>
      <c r="AD355" s="423">
        <f>IF(ISNUMBER(MATCH(B355,'FICHA SOLIC'!$AB$26:$AB$376,0)),1,0)</f>
        <v>1</v>
      </c>
      <c r="AE355" s="423" t="str">
        <f t="shared" si="5"/>
        <v>ConchalíZE-1</v>
      </c>
    </row>
    <row r="356" spans="1:31" x14ac:dyDescent="0.25">
      <c r="A356" s="423">
        <v>355</v>
      </c>
      <c r="B356" s="423" t="s">
        <v>406</v>
      </c>
      <c r="C356" s="423" t="s">
        <v>1577</v>
      </c>
      <c r="D356" s="428" t="s">
        <v>990</v>
      </c>
      <c r="E356" s="429" t="s">
        <v>991</v>
      </c>
      <c r="F356" s="429" t="s">
        <v>992</v>
      </c>
      <c r="G356" s="429" t="s">
        <v>993</v>
      </c>
      <c r="H356" s="430" t="s">
        <v>699</v>
      </c>
      <c r="I356" s="429" t="s">
        <v>994</v>
      </c>
      <c r="J356" s="428" t="s">
        <v>697</v>
      </c>
      <c r="K356" s="429" t="s">
        <v>995</v>
      </c>
      <c r="L356" s="429" t="s">
        <v>996</v>
      </c>
      <c r="M356" s="429" t="s">
        <v>997</v>
      </c>
      <c r="N356" s="429" t="s">
        <v>558</v>
      </c>
      <c r="O356" s="428" t="s">
        <v>998</v>
      </c>
      <c r="P356" s="429" t="s">
        <v>999</v>
      </c>
      <c r="Q356" s="429" t="s">
        <v>1000</v>
      </c>
      <c r="R356" s="429" t="s">
        <v>1001</v>
      </c>
      <c r="S356" s="429" t="s">
        <v>1002</v>
      </c>
      <c r="T356" s="423">
        <v>160</v>
      </c>
      <c r="U356" s="423" t="s">
        <v>1041</v>
      </c>
      <c r="V356" s="423">
        <v>60</v>
      </c>
      <c r="W356" s="423">
        <v>1.8</v>
      </c>
      <c r="X356" s="423">
        <v>11</v>
      </c>
      <c r="Y356" s="423" t="s">
        <v>1041</v>
      </c>
      <c r="Z356" s="423" t="s">
        <v>1059</v>
      </c>
      <c r="AD356" s="423">
        <f>IF(ISNUMBER(MATCH(B356,'FICHA SOLIC'!$AB$26:$AB$376,0)),1,0)</f>
        <v>1</v>
      </c>
      <c r="AE356" s="423" t="str">
        <f t="shared" si="5"/>
        <v>ConchalíZES-1</v>
      </c>
    </row>
    <row r="357" spans="1:31" x14ac:dyDescent="0.25">
      <c r="A357" s="423">
        <v>356</v>
      </c>
      <c r="B357" s="423" t="s">
        <v>406</v>
      </c>
      <c r="C357" s="423" t="s">
        <v>1578</v>
      </c>
      <c r="D357" s="428" t="s">
        <v>990</v>
      </c>
      <c r="E357" s="429" t="s">
        <v>991</v>
      </c>
      <c r="F357" s="429" t="s">
        <v>992</v>
      </c>
      <c r="G357" s="429" t="s">
        <v>993</v>
      </c>
      <c r="H357" s="430" t="s">
        <v>699</v>
      </c>
      <c r="I357" s="429" t="s">
        <v>994</v>
      </c>
      <c r="J357" s="428" t="s">
        <v>697</v>
      </c>
      <c r="K357" s="429" t="s">
        <v>995</v>
      </c>
      <c r="L357" s="429" t="s">
        <v>996</v>
      </c>
      <c r="M357" s="429" t="s">
        <v>997</v>
      </c>
      <c r="N357" s="429" t="s">
        <v>558</v>
      </c>
      <c r="O357" s="428" t="s">
        <v>998</v>
      </c>
      <c r="P357" s="429" t="s">
        <v>999</v>
      </c>
      <c r="Q357" s="429" t="s">
        <v>1000</v>
      </c>
      <c r="R357" s="429" t="s">
        <v>1001</v>
      </c>
      <c r="S357" s="429" t="s">
        <v>1002</v>
      </c>
      <c r="T357" s="423" t="s">
        <v>1041</v>
      </c>
      <c r="U357" s="423" t="s">
        <v>1041</v>
      </c>
      <c r="V357" s="423" t="s">
        <v>1041</v>
      </c>
      <c r="W357" s="423" t="s">
        <v>1041</v>
      </c>
      <c r="X357" s="423" t="s">
        <v>1041</v>
      </c>
      <c r="Y357" s="423" t="s">
        <v>1041</v>
      </c>
      <c r="Z357" s="423" t="s">
        <v>1041</v>
      </c>
      <c r="AD357" s="423">
        <f>IF(ISNUMBER(MATCH(B357,'FICHA SOLIC'!$AB$26:$AB$376,0)),1,0)</f>
        <v>1</v>
      </c>
      <c r="AE357" s="423" t="str">
        <f t="shared" si="5"/>
        <v>ConchalíZES-2</v>
      </c>
    </row>
    <row r="358" spans="1:31" x14ac:dyDescent="0.25">
      <c r="A358" s="423">
        <v>357</v>
      </c>
      <c r="B358" s="423" t="s">
        <v>406</v>
      </c>
      <c r="C358" s="423" t="s">
        <v>1457</v>
      </c>
      <c r="D358" s="428" t="s">
        <v>990</v>
      </c>
      <c r="E358" s="429" t="s">
        <v>991</v>
      </c>
      <c r="F358" s="429" t="s">
        <v>992</v>
      </c>
      <c r="G358" s="429" t="s">
        <v>993</v>
      </c>
      <c r="H358" s="430" t="s">
        <v>699</v>
      </c>
      <c r="I358" s="429" t="s">
        <v>994</v>
      </c>
      <c r="J358" s="428" t="s">
        <v>697</v>
      </c>
      <c r="K358" s="429" t="s">
        <v>995</v>
      </c>
      <c r="L358" s="429" t="s">
        <v>996</v>
      </c>
      <c r="M358" s="429" t="s">
        <v>997</v>
      </c>
      <c r="N358" s="429" t="s">
        <v>558</v>
      </c>
      <c r="O358" s="428" t="s">
        <v>998</v>
      </c>
      <c r="P358" s="429" t="s">
        <v>999</v>
      </c>
      <c r="Q358" s="429" t="s">
        <v>1000</v>
      </c>
      <c r="R358" s="429" t="s">
        <v>1001</v>
      </c>
      <c r="S358" s="429" t="s">
        <v>1002</v>
      </c>
      <c r="T358" s="423">
        <v>500</v>
      </c>
      <c r="V358" s="423">
        <v>70</v>
      </c>
      <c r="W358" s="423">
        <v>1</v>
      </c>
      <c r="X358" s="423" t="s">
        <v>1026</v>
      </c>
      <c r="Y358" s="423">
        <v>5</v>
      </c>
      <c r="Z358" s="423" t="s">
        <v>1058</v>
      </c>
      <c r="AD358" s="423">
        <f>IF(ISNUMBER(MATCH(B358,'FICHA SOLIC'!$AB$26:$AB$376,0)),1,0)</f>
        <v>1</v>
      </c>
      <c r="AE358" s="423" t="str">
        <f t="shared" si="5"/>
        <v>ConchalíZI-1</v>
      </c>
    </row>
    <row r="359" spans="1:31" x14ac:dyDescent="0.25">
      <c r="A359" s="423">
        <v>358</v>
      </c>
      <c r="B359" s="423" t="s">
        <v>406</v>
      </c>
      <c r="C359" s="423" t="s">
        <v>1153</v>
      </c>
      <c r="D359" s="428" t="s">
        <v>990</v>
      </c>
      <c r="E359" s="429" t="s">
        <v>991</v>
      </c>
      <c r="F359" s="429" t="s">
        <v>992</v>
      </c>
      <c r="G359" s="429" t="s">
        <v>993</v>
      </c>
      <c r="H359" s="430" t="s">
        <v>699</v>
      </c>
      <c r="I359" s="429" t="s">
        <v>994</v>
      </c>
      <c r="J359" s="428" t="s">
        <v>697</v>
      </c>
      <c r="K359" s="429" t="s">
        <v>995</v>
      </c>
      <c r="L359" s="429" t="s">
        <v>996</v>
      </c>
      <c r="M359" s="429" t="s">
        <v>997</v>
      </c>
      <c r="N359" s="429" t="s">
        <v>558</v>
      </c>
      <c r="O359" s="428" t="s">
        <v>998</v>
      </c>
      <c r="P359" s="429" t="s">
        <v>999</v>
      </c>
      <c r="Q359" s="429" t="s">
        <v>1000</v>
      </c>
      <c r="R359" s="429" t="s">
        <v>1001</v>
      </c>
      <c r="S359" s="429" t="s">
        <v>1002</v>
      </c>
      <c r="T359" s="423">
        <v>500</v>
      </c>
      <c r="U359" s="423" t="s">
        <v>1041</v>
      </c>
      <c r="V359" s="423">
        <v>60</v>
      </c>
      <c r="W359" s="423">
        <v>3</v>
      </c>
      <c r="X359" s="423">
        <v>53</v>
      </c>
      <c r="Z359" s="423" t="s">
        <v>1059</v>
      </c>
      <c r="AD359" s="423">
        <f>IF(ISNUMBER(MATCH(B359,'FICHA SOLIC'!$AB$26:$AB$376,0)),1,0)</f>
        <v>1</v>
      </c>
      <c r="AE359" s="423" t="str">
        <f t="shared" si="5"/>
        <v>ConchalíZM-1</v>
      </c>
    </row>
    <row r="360" spans="1:31" x14ac:dyDescent="0.25">
      <c r="A360" s="423">
        <v>359</v>
      </c>
      <c r="B360" s="423" t="s">
        <v>406</v>
      </c>
      <c r="C360" s="423" t="s">
        <v>1154</v>
      </c>
      <c r="D360" s="428" t="s">
        <v>990</v>
      </c>
      <c r="E360" s="429" t="s">
        <v>991</v>
      </c>
      <c r="F360" s="429" t="s">
        <v>992</v>
      </c>
      <c r="G360" s="429" t="s">
        <v>993</v>
      </c>
      <c r="H360" s="430" t="s">
        <v>699</v>
      </c>
      <c r="I360" s="429" t="s">
        <v>994</v>
      </c>
      <c r="J360" s="428" t="s">
        <v>697</v>
      </c>
      <c r="K360" s="429" t="s">
        <v>995</v>
      </c>
      <c r="L360" s="429" t="s">
        <v>996</v>
      </c>
      <c r="M360" s="429" t="s">
        <v>997</v>
      </c>
      <c r="N360" s="429" t="s">
        <v>558</v>
      </c>
      <c r="O360" s="428" t="s">
        <v>998</v>
      </c>
      <c r="P360" s="429" t="s">
        <v>999</v>
      </c>
      <c r="Q360" s="429" t="s">
        <v>1000</v>
      </c>
      <c r="R360" s="429" t="s">
        <v>1001</v>
      </c>
      <c r="S360" s="429" t="s">
        <v>1002</v>
      </c>
      <c r="T360" s="423">
        <v>400</v>
      </c>
      <c r="U360" s="423" t="s">
        <v>1041</v>
      </c>
      <c r="V360" s="423">
        <v>100</v>
      </c>
      <c r="W360" s="423">
        <v>3</v>
      </c>
      <c r="X360" s="423">
        <v>42</v>
      </c>
      <c r="Z360" s="423" t="s">
        <v>1059</v>
      </c>
      <c r="AD360" s="423">
        <f>IF(ISNUMBER(MATCH(B360,'FICHA SOLIC'!$AB$26:$AB$376,0)),1,0)</f>
        <v>1</v>
      </c>
      <c r="AE360" s="423" t="str">
        <f t="shared" si="5"/>
        <v>ConchalíZM-2</v>
      </c>
    </row>
    <row r="361" spans="1:31" x14ac:dyDescent="0.25">
      <c r="A361" s="423">
        <v>360</v>
      </c>
      <c r="B361" s="423" t="s">
        <v>406</v>
      </c>
      <c r="C361" s="423" t="s">
        <v>1155</v>
      </c>
      <c r="D361" s="428" t="s">
        <v>990</v>
      </c>
      <c r="E361" s="429" t="s">
        <v>991</v>
      </c>
      <c r="F361" s="429" t="s">
        <v>992</v>
      </c>
      <c r="G361" s="429" t="s">
        <v>993</v>
      </c>
      <c r="H361" s="430" t="s">
        <v>699</v>
      </c>
      <c r="I361" s="429" t="s">
        <v>994</v>
      </c>
      <c r="J361" s="428" t="s">
        <v>697</v>
      </c>
      <c r="K361" s="429" t="s">
        <v>995</v>
      </c>
      <c r="L361" s="429" t="s">
        <v>996</v>
      </c>
      <c r="M361" s="429" t="s">
        <v>997</v>
      </c>
      <c r="N361" s="429" t="s">
        <v>558</v>
      </c>
      <c r="O361" s="428" t="s">
        <v>998</v>
      </c>
      <c r="P361" s="429" t="s">
        <v>999</v>
      </c>
      <c r="Q361" s="429" t="s">
        <v>1000</v>
      </c>
      <c r="R361" s="429" t="s">
        <v>1001</v>
      </c>
      <c r="S361" s="429" t="s">
        <v>1002</v>
      </c>
      <c r="T361" s="423">
        <v>300</v>
      </c>
      <c r="U361" s="423" t="s">
        <v>1041</v>
      </c>
      <c r="V361" s="423">
        <v>60</v>
      </c>
      <c r="W361" s="423">
        <v>2.8</v>
      </c>
      <c r="X361" s="423">
        <v>28</v>
      </c>
      <c r="Z361" s="423" t="s">
        <v>1059</v>
      </c>
      <c r="AD361" s="423">
        <f>IF(ISNUMBER(MATCH(B361,'FICHA SOLIC'!$AB$26:$AB$376,0)),1,0)</f>
        <v>1</v>
      </c>
      <c r="AE361" s="423" t="str">
        <f t="shared" si="5"/>
        <v>ConchalíZM-3</v>
      </c>
    </row>
    <row r="362" spans="1:31" x14ac:dyDescent="0.25">
      <c r="A362" s="423">
        <v>361</v>
      </c>
      <c r="B362" s="423" t="s">
        <v>406</v>
      </c>
      <c r="C362" s="423" t="s">
        <v>1156</v>
      </c>
      <c r="D362" s="428" t="s">
        <v>990</v>
      </c>
      <c r="E362" s="429" t="s">
        <v>991</v>
      </c>
      <c r="F362" s="429" t="s">
        <v>992</v>
      </c>
      <c r="G362" s="429" t="s">
        <v>993</v>
      </c>
      <c r="H362" s="430" t="s">
        <v>699</v>
      </c>
      <c r="I362" s="429" t="s">
        <v>994</v>
      </c>
      <c r="J362" s="428" t="s">
        <v>697</v>
      </c>
      <c r="K362" s="429" t="s">
        <v>995</v>
      </c>
      <c r="L362" s="429" t="s">
        <v>996</v>
      </c>
      <c r="M362" s="429" t="s">
        <v>997</v>
      </c>
      <c r="N362" s="429" t="s">
        <v>558</v>
      </c>
      <c r="O362" s="428" t="s">
        <v>998</v>
      </c>
      <c r="P362" s="429" t="s">
        <v>999</v>
      </c>
      <c r="Q362" s="429" t="s">
        <v>1000</v>
      </c>
      <c r="R362" s="429" t="s">
        <v>1001</v>
      </c>
      <c r="S362" s="429" t="s">
        <v>1002</v>
      </c>
      <c r="T362" s="423">
        <v>160</v>
      </c>
      <c r="U362" s="423" t="s">
        <v>1041</v>
      </c>
      <c r="V362" s="423">
        <v>60</v>
      </c>
      <c r="W362" s="423">
        <v>3</v>
      </c>
      <c r="X362" s="423">
        <v>42</v>
      </c>
      <c r="Z362" s="423" t="s">
        <v>1059</v>
      </c>
      <c r="AD362" s="423">
        <f>IF(ISNUMBER(MATCH(B362,'FICHA SOLIC'!$AB$26:$AB$376,0)),1,0)</f>
        <v>1</v>
      </c>
      <c r="AE362" s="423" t="str">
        <f t="shared" si="5"/>
        <v>ConchalíZM-4</v>
      </c>
    </row>
    <row r="363" spans="1:31" x14ac:dyDescent="0.25">
      <c r="A363" s="423">
        <v>362</v>
      </c>
      <c r="B363" s="423" t="s">
        <v>406</v>
      </c>
      <c r="C363" s="423" t="s">
        <v>1157</v>
      </c>
      <c r="D363" s="428" t="s">
        <v>990</v>
      </c>
      <c r="E363" s="429" t="s">
        <v>991</v>
      </c>
      <c r="F363" s="429" t="s">
        <v>992</v>
      </c>
      <c r="G363" s="429" t="s">
        <v>993</v>
      </c>
      <c r="H363" s="430" t="s">
        <v>699</v>
      </c>
      <c r="I363" s="429" t="s">
        <v>994</v>
      </c>
      <c r="J363" s="428" t="s">
        <v>697</v>
      </c>
      <c r="K363" s="429" t="s">
        <v>995</v>
      </c>
      <c r="L363" s="429" t="s">
        <v>996</v>
      </c>
      <c r="M363" s="429" t="s">
        <v>997</v>
      </c>
      <c r="N363" s="429" t="s">
        <v>558</v>
      </c>
      <c r="O363" s="428" t="s">
        <v>998</v>
      </c>
      <c r="P363" s="429" t="s">
        <v>999</v>
      </c>
      <c r="Q363" s="429" t="s">
        <v>1000</v>
      </c>
      <c r="R363" s="429" t="s">
        <v>1001</v>
      </c>
      <c r="S363" s="429" t="s">
        <v>1002</v>
      </c>
      <c r="T363" s="423">
        <v>160</v>
      </c>
      <c r="U363" s="423" t="s">
        <v>1041</v>
      </c>
      <c r="V363" s="423">
        <v>60</v>
      </c>
      <c r="W363" s="423">
        <v>2.4</v>
      </c>
      <c r="X363" s="423">
        <v>22</v>
      </c>
      <c r="Z363" s="423" t="s">
        <v>1150</v>
      </c>
      <c r="AD363" s="423">
        <f>IF(ISNUMBER(MATCH(B363,'FICHA SOLIC'!$AB$26:$AB$376,0)),1,0)</f>
        <v>1</v>
      </c>
      <c r="AE363" s="423" t="str">
        <f t="shared" si="5"/>
        <v>ConchalíZM-5</v>
      </c>
    </row>
    <row r="364" spans="1:31" x14ac:dyDescent="0.25">
      <c r="A364" s="423">
        <v>363</v>
      </c>
      <c r="B364" s="423" t="s">
        <v>406</v>
      </c>
      <c r="C364" s="423" t="s">
        <v>1450</v>
      </c>
      <c r="D364" s="424" t="s">
        <v>990</v>
      </c>
      <c r="E364" s="425" t="s">
        <v>991</v>
      </c>
      <c r="F364" s="425" t="s">
        <v>992</v>
      </c>
      <c r="G364" s="425" t="s">
        <v>993</v>
      </c>
      <c r="H364" s="426" t="s">
        <v>699</v>
      </c>
      <c r="I364" s="425" t="s">
        <v>994</v>
      </c>
      <c r="J364" s="424" t="s">
        <v>697</v>
      </c>
      <c r="K364" s="425" t="s">
        <v>995</v>
      </c>
      <c r="L364" s="425" t="s">
        <v>996</v>
      </c>
      <c r="M364" s="425" t="s">
        <v>997</v>
      </c>
      <c r="N364" s="425" t="s">
        <v>558</v>
      </c>
      <c r="O364" s="424" t="s">
        <v>998</v>
      </c>
      <c r="P364" s="425" t="s">
        <v>999</v>
      </c>
      <c r="Q364" s="425" t="s">
        <v>1000</v>
      </c>
      <c r="R364" s="425" t="s">
        <v>1001</v>
      </c>
      <c r="S364" s="425" t="s">
        <v>1002</v>
      </c>
      <c r="T364" s="423">
        <v>250</v>
      </c>
      <c r="U364" s="423" t="s">
        <v>1041</v>
      </c>
      <c r="V364" s="423">
        <v>60</v>
      </c>
      <c r="W364" s="423">
        <v>2.4</v>
      </c>
      <c r="X364" s="423">
        <v>28</v>
      </c>
      <c r="Z364" s="423" t="s">
        <v>1059</v>
      </c>
      <c r="AD364" s="423">
        <f>IF(ISNUMBER(MATCH(B364,'FICHA SOLIC'!$AB$26:$AB$376,0)),1,0)</f>
        <v>1</v>
      </c>
      <c r="AE364" s="423" t="str">
        <f t="shared" si="5"/>
        <v>ConchalíZM-6</v>
      </c>
    </row>
    <row r="365" spans="1:31" x14ac:dyDescent="0.25">
      <c r="A365" s="423">
        <v>364</v>
      </c>
      <c r="B365" s="423" t="s">
        <v>406</v>
      </c>
      <c r="C365" s="423" t="s">
        <v>1451</v>
      </c>
      <c r="D365" s="425" t="s">
        <v>990</v>
      </c>
      <c r="E365" s="425" t="s">
        <v>991</v>
      </c>
      <c r="F365" s="425" t="s">
        <v>992</v>
      </c>
      <c r="G365" s="425" t="s">
        <v>993</v>
      </c>
      <c r="H365" s="426" t="s">
        <v>699</v>
      </c>
      <c r="I365" s="425" t="s">
        <v>994</v>
      </c>
      <c r="J365" s="425" t="s">
        <v>697</v>
      </c>
      <c r="K365" s="425" t="s">
        <v>995</v>
      </c>
      <c r="L365" s="425" t="s">
        <v>996</v>
      </c>
      <c r="M365" s="425" t="s">
        <v>997</v>
      </c>
      <c r="N365" s="425" t="s">
        <v>558</v>
      </c>
      <c r="O365" s="425" t="s">
        <v>998</v>
      </c>
      <c r="P365" s="425" t="s">
        <v>999</v>
      </c>
      <c r="Q365" s="425" t="s">
        <v>1000</v>
      </c>
      <c r="R365" s="425" t="s">
        <v>1001</v>
      </c>
      <c r="S365" s="425" t="s">
        <v>1002</v>
      </c>
      <c r="T365" s="423">
        <v>1000</v>
      </c>
      <c r="U365" s="423" t="s">
        <v>1041</v>
      </c>
      <c r="V365" s="423">
        <v>40</v>
      </c>
      <c r="W365" s="423">
        <v>3</v>
      </c>
      <c r="X365" s="423" t="s">
        <v>1041</v>
      </c>
      <c r="Z365" s="423" t="s">
        <v>1058</v>
      </c>
      <c r="AD365" s="423">
        <f>IF(ISNUMBER(MATCH(B365,'FICHA SOLIC'!$AB$26:$AB$376,0)),1,0)</f>
        <v>1</v>
      </c>
      <c r="AE365" s="423" t="str">
        <f t="shared" si="5"/>
        <v>ConchalíZM-7</v>
      </c>
    </row>
    <row r="366" spans="1:31" x14ac:dyDescent="0.25">
      <c r="A366" s="423">
        <v>365</v>
      </c>
      <c r="B366" s="423" t="s">
        <v>406</v>
      </c>
      <c r="C366" s="423" t="s">
        <v>1452</v>
      </c>
      <c r="D366" s="425" t="s">
        <v>990</v>
      </c>
      <c r="E366" s="425" t="s">
        <v>991</v>
      </c>
      <c r="F366" s="425" t="s">
        <v>992</v>
      </c>
      <c r="G366" s="425" t="s">
        <v>993</v>
      </c>
      <c r="H366" s="426" t="s">
        <v>699</v>
      </c>
      <c r="I366" s="425" t="s">
        <v>994</v>
      </c>
      <c r="J366" s="425" t="s">
        <v>697</v>
      </c>
      <c r="K366" s="425" t="s">
        <v>995</v>
      </c>
      <c r="L366" s="425" t="s">
        <v>996</v>
      </c>
      <c r="M366" s="425" t="s">
        <v>997</v>
      </c>
      <c r="N366" s="425" t="s">
        <v>558</v>
      </c>
      <c r="O366" s="425" t="s">
        <v>998</v>
      </c>
      <c r="P366" s="425" t="s">
        <v>999</v>
      </c>
      <c r="Q366" s="425" t="s">
        <v>1000</v>
      </c>
      <c r="R366" s="425" t="s">
        <v>1001</v>
      </c>
      <c r="S366" s="425" t="s">
        <v>1002</v>
      </c>
      <c r="T366" s="423">
        <v>250</v>
      </c>
      <c r="U366" s="423" t="s">
        <v>1041</v>
      </c>
      <c r="V366" s="423">
        <v>60</v>
      </c>
      <c r="W366" s="423">
        <v>2.4</v>
      </c>
      <c r="X366" s="423">
        <v>18</v>
      </c>
      <c r="Z366" s="423" t="s">
        <v>1059</v>
      </c>
      <c r="AD366" s="423">
        <f>IF(ISNUMBER(MATCH(B366,'FICHA SOLIC'!$AB$26:$AB$376,0)),1,0)</f>
        <v>1</v>
      </c>
      <c r="AE366" s="423" t="str">
        <f t="shared" si="5"/>
        <v>ConchalíZR-1</v>
      </c>
    </row>
    <row r="367" spans="1:31" x14ac:dyDescent="0.25">
      <c r="A367" s="423">
        <v>366</v>
      </c>
      <c r="B367" s="423" t="s">
        <v>406</v>
      </c>
      <c r="C367" s="423" t="s">
        <v>1453</v>
      </c>
      <c r="D367" s="425" t="s">
        <v>990</v>
      </c>
      <c r="E367" s="425" t="s">
        <v>991</v>
      </c>
      <c r="F367" s="425" t="s">
        <v>992</v>
      </c>
      <c r="G367" s="425" t="s">
        <v>993</v>
      </c>
      <c r="H367" s="426" t="s">
        <v>699</v>
      </c>
      <c r="I367" s="425" t="s">
        <v>994</v>
      </c>
      <c r="J367" s="425" t="s">
        <v>697</v>
      </c>
      <c r="K367" s="425" t="s">
        <v>995</v>
      </c>
      <c r="L367" s="425" t="s">
        <v>996</v>
      </c>
      <c r="M367" s="425" t="s">
        <v>997</v>
      </c>
      <c r="N367" s="425" t="s">
        <v>558</v>
      </c>
      <c r="O367" s="425" t="s">
        <v>998</v>
      </c>
      <c r="P367" s="425" t="s">
        <v>999</v>
      </c>
      <c r="Q367" s="425" t="s">
        <v>1000</v>
      </c>
      <c r="R367" s="425" t="s">
        <v>1001</v>
      </c>
      <c r="S367" s="425" t="s">
        <v>1002</v>
      </c>
      <c r="T367" s="423">
        <v>160</v>
      </c>
      <c r="U367" s="423" t="s">
        <v>1041</v>
      </c>
      <c r="V367" s="423">
        <v>60</v>
      </c>
      <c r="W367" s="423">
        <v>1.8</v>
      </c>
      <c r="X367" s="423">
        <v>14</v>
      </c>
      <c r="Z367" s="423" t="s">
        <v>1059</v>
      </c>
      <c r="AD367" s="423">
        <f>IF(ISNUMBER(MATCH(B367,'FICHA SOLIC'!$AB$26:$AB$376,0)),1,0)</f>
        <v>1</v>
      </c>
      <c r="AE367" s="423" t="str">
        <f t="shared" si="5"/>
        <v>ConchalíZR-2</v>
      </c>
    </row>
    <row r="368" spans="1:31" x14ac:dyDescent="0.25">
      <c r="A368" s="423">
        <v>367</v>
      </c>
      <c r="B368" s="423" t="s">
        <v>147</v>
      </c>
      <c r="C368" s="423" t="s">
        <v>2194</v>
      </c>
      <c r="D368" s="973" t="s">
        <v>990</v>
      </c>
      <c r="E368" s="973" t="s">
        <v>991</v>
      </c>
      <c r="F368" s="973" t="s">
        <v>992</v>
      </c>
      <c r="G368" s="973" t="s">
        <v>1997</v>
      </c>
      <c r="H368" s="973" t="s">
        <v>1998</v>
      </c>
      <c r="I368" s="973" t="s">
        <v>1999</v>
      </c>
      <c r="J368" s="973" t="s">
        <v>697</v>
      </c>
      <c r="K368" s="973" t="s">
        <v>995</v>
      </c>
      <c r="L368" s="973" t="s">
        <v>996</v>
      </c>
      <c r="M368" s="973" t="s">
        <v>2000</v>
      </c>
      <c r="N368" s="973" t="s">
        <v>2001</v>
      </c>
      <c r="O368" s="973" t="s">
        <v>1971</v>
      </c>
      <c r="P368" s="973" t="s">
        <v>999</v>
      </c>
      <c r="Q368" s="973" t="s">
        <v>1000</v>
      </c>
      <c r="R368" s="973" t="s">
        <v>1001</v>
      </c>
      <c r="S368" s="973" t="s">
        <v>1002</v>
      </c>
      <c r="T368" s="423">
        <v>1000</v>
      </c>
      <c r="U368" s="423" t="s">
        <v>1041</v>
      </c>
      <c r="V368" s="423">
        <v>30</v>
      </c>
      <c r="W368" s="423">
        <v>0.4</v>
      </c>
      <c r="X368" s="423">
        <v>7</v>
      </c>
      <c r="Y368" s="423" t="s">
        <v>1041</v>
      </c>
      <c r="Z368" s="423" t="s">
        <v>1058</v>
      </c>
      <c r="AD368" s="423">
        <f>IF(ISNUMBER(MATCH(B368,'FICHA SOLIC'!$AB$26:$AB$376,0)),1,0)</f>
        <v>1</v>
      </c>
      <c r="AE368" s="423" t="str">
        <f t="shared" si="5"/>
        <v>ConcónV10</v>
      </c>
    </row>
    <row r="369" spans="1:31" x14ac:dyDescent="0.25">
      <c r="A369" s="423">
        <v>368</v>
      </c>
      <c r="B369" s="423" t="s">
        <v>147</v>
      </c>
      <c r="C369" s="423" t="s">
        <v>2195</v>
      </c>
      <c r="D369" s="973" t="s">
        <v>990</v>
      </c>
      <c r="E369" s="973" t="s">
        <v>991</v>
      </c>
      <c r="F369" s="973" t="s">
        <v>992</v>
      </c>
      <c r="G369" s="973" t="s">
        <v>1997</v>
      </c>
      <c r="H369" s="973" t="s">
        <v>1998</v>
      </c>
      <c r="I369" s="973" t="s">
        <v>1999</v>
      </c>
      <c r="J369" s="973" t="s">
        <v>697</v>
      </c>
      <c r="K369" s="973" t="s">
        <v>995</v>
      </c>
      <c r="L369" s="973" t="s">
        <v>996</v>
      </c>
      <c r="M369" s="973" t="s">
        <v>2000</v>
      </c>
      <c r="N369" s="973" t="s">
        <v>2001</v>
      </c>
      <c r="O369" s="973" t="s">
        <v>1971</v>
      </c>
      <c r="P369" s="973" t="s">
        <v>999</v>
      </c>
      <c r="Q369" s="973" t="s">
        <v>1000</v>
      </c>
      <c r="R369" s="973" t="s">
        <v>1001</v>
      </c>
      <c r="S369" s="973" t="s">
        <v>1002</v>
      </c>
      <c r="T369" s="423">
        <v>2000</v>
      </c>
      <c r="U369" s="423" t="s">
        <v>1041</v>
      </c>
      <c r="V369" s="423">
        <v>30</v>
      </c>
      <c r="W369" s="423">
        <v>0.8</v>
      </c>
      <c r="X369" s="423">
        <v>14</v>
      </c>
      <c r="Y369" s="423" t="s">
        <v>1041</v>
      </c>
      <c r="Z369" s="423" t="s">
        <v>1058</v>
      </c>
      <c r="AD369" s="423">
        <f>IF(ISNUMBER(MATCH(B369,'FICHA SOLIC'!$AB$26:$AB$376,0)),1,0)</f>
        <v>1</v>
      </c>
      <c r="AE369" s="423" t="str">
        <f t="shared" si="5"/>
        <v>ConcónV11</v>
      </c>
    </row>
    <row r="370" spans="1:31" x14ac:dyDescent="0.25">
      <c r="A370" s="423">
        <v>369</v>
      </c>
      <c r="B370" s="423" t="s">
        <v>147</v>
      </c>
      <c r="C370" s="423" t="s">
        <v>2196</v>
      </c>
      <c r="D370" s="973" t="s">
        <v>990</v>
      </c>
      <c r="E370" s="973" t="s">
        <v>991</v>
      </c>
      <c r="F370" s="973" t="s">
        <v>992</v>
      </c>
      <c r="G370" s="973" t="s">
        <v>1997</v>
      </c>
      <c r="H370" s="973" t="s">
        <v>1998</v>
      </c>
      <c r="I370" s="973" t="s">
        <v>1999</v>
      </c>
      <c r="J370" s="973" t="s">
        <v>697</v>
      </c>
      <c r="K370" s="973" t="s">
        <v>995</v>
      </c>
      <c r="L370" s="973" t="s">
        <v>996</v>
      </c>
      <c r="M370" s="973" t="s">
        <v>2000</v>
      </c>
      <c r="N370" s="973" t="s">
        <v>2001</v>
      </c>
      <c r="O370" s="973" t="s">
        <v>1971</v>
      </c>
      <c r="P370" s="973" t="s">
        <v>999</v>
      </c>
      <c r="Q370" s="973" t="s">
        <v>1000</v>
      </c>
      <c r="R370" s="973" t="s">
        <v>1001</v>
      </c>
      <c r="S370" s="973" t="s">
        <v>1002</v>
      </c>
      <c r="T370" s="423">
        <v>2500</v>
      </c>
      <c r="U370" s="423" t="s">
        <v>1041</v>
      </c>
      <c r="V370" s="423">
        <v>30</v>
      </c>
      <c r="W370" s="423">
        <v>1.2</v>
      </c>
      <c r="X370" s="423">
        <v>14</v>
      </c>
      <c r="Y370" s="423" t="s">
        <v>1041</v>
      </c>
      <c r="Z370" s="423" t="s">
        <v>1058</v>
      </c>
      <c r="AD370" s="423">
        <f>IF(ISNUMBER(MATCH(B370,'FICHA SOLIC'!$AB$26:$AB$376,0)),1,0)</f>
        <v>1</v>
      </c>
      <c r="AE370" s="423" t="str">
        <f t="shared" si="5"/>
        <v>ConcónV12</v>
      </c>
    </row>
    <row r="371" spans="1:31" x14ac:dyDescent="0.25">
      <c r="A371" s="423">
        <v>370</v>
      </c>
      <c r="B371" s="423" t="s">
        <v>147</v>
      </c>
      <c r="C371" s="423" t="s">
        <v>2197</v>
      </c>
      <c r="D371" s="973" t="s">
        <v>990</v>
      </c>
      <c r="E371" s="973" t="s">
        <v>991</v>
      </c>
      <c r="F371" s="973" t="s">
        <v>992</v>
      </c>
      <c r="G371" s="973" t="s">
        <v>1997</v>
      </c>
      <c r="H371" s="973" t="s">
        <v>1998</v>
      </c>
      <c r="I371" s="973" t="s">
        <v>1999</v>
      </c>
      <c r="J371" s="973" t="s">
        <v>697</v>
      </c>
      <c r="K371" s="973" t="s">
        <v>995</v>
      </c>
      <c r="L371" s="973" t="s">
        <v>996</v>
      </c>
      <c r="M371" s="973" t="s">
        <v>2000</v>
      </c>
      <c r="N371" s="973" t="s">
        <v>2001</v>
      </c>
      <c r="O371" s="973" t="s">
        <v>1971</v>
      </c>
      <c r="P371" s="973" t="s">
        <v>999</v>
      </c>
      <c r="Q371" s="973" t="s">
        <v>1000</v>
      </c>
      <c r="R371" s="973" t="s">
        <v>1001</v>
      </c>
      <c r="S371" s="973" t="s">
        <v>1002</v>
      </c>
      <c r="T371" s="423">
        <v>800</v>
      </c>
      <c r="U371" s="423" t="s">
        <v>1041</v>
      </c>
      <c r="V371" s="423">
        <v>60</v>
      </c>
      <c r="W371" s="423">
        <v>2</v>
      </c>
      <c r="X371" s="423">
        <v>70</v>
      </c>
      <c r="Y371" s="423" t="s">
        <v>1041</v>
      </c>
      <c r="Z371" s="423" t="s">
        <v>1058</v>
      </c>
      <c r="AD371" s="423">
        <f>IF(ISNUMBER(MATCH(B371,'FICHA SOLIC'!$AB$26:$AB$376,0)),1,0)</f>
        <v>1</v>
      </c>
      <c r="AE371" s="423" t="str">
        <f t="shared" si="5"/>
        <v>ConcónV13</v>
      </c>
    </row>
    <row r="372" spans="1:31" x14ac:dyDescent="0.25">
      <c r="A372" s="423">
        <v>371</v>
      </c>
      <c r="B372" s="423" t="s">
        <v>147</v>
      </c>
      <c r="C372" s="423" t="s">
        <v>2198</v>
      </c>
      <c r="D372" s="973" t="s">
        <v>990</v>
      </c>
      <c r="E372" s="973" t="s">
        <v>991</v>
      </c>
      <c r="F372" s="973" t="s">
        <v>992</v>
      </c>
      <c r="G372" s="973" t="s">
        <v>1997</v>
      </c>
      <c r="H372" s="973" t="s">
        <v>1998</v>
      </c>
      <c r="I372" s="973" t="s">
        <v>1999</v>
      </c>
      <c r="J372" s="973" t="s">
        <v>697</v>
      </c>
      <c r="K372" s="973" t="s">
        <v>995</v>
      </c>
      <c r="L372" s="973" t="s">
        <v>996</v>
      </c>
      <c r="M372" s="973" t="s">
        <v>2000</v>
      </c>
      <c r="N372" s="973" t="s">
        <v>2001</v>
      </c>
      <c r="O372" s="973" t="s">
        <v>1971</v>
      </c>
      <c r="P372" s="973" t="s">
        <v>999</v>
      </c>
      <c r="Q372" s="973" t="s">
        <v>1000</v>
      </c>
      <c r="R372" s="973" t="s">
        <v>1001</v>
      </c>
      <c r="S372" s="973" t="s">
        <v>1002</v>
      </c>
      <c r="T372" s="423">
        <v>300</v>
      </c>
      <c r="U372" s="423" t="s">
        <v>1041</v>
      </c>
      <c r="V372" s="423">
        <v>50</v>
      </c>
      <c r="W372" s="423">
        <v>2.4</v>
      </c>
      <c r="X372" s="423">
        <v>15</v>
      </c>
      <c r="Y372" s="423" t="s">
        <v>1041</v>
      </c>
      <c r="Z372" s="423" t="s">
        <v>1057</v>
      </c>
      <c r="AD372" s="423">
        <f>IF(ISNUMBER(MATCH(B372,'FICHA SOLIC'!$AB$26:$AB$376,0)),1,0)</f>
        <v>1</v>
      </c>
      <c r="AE372" s="423" t="str">
        <f t="shared" si="5"/>
        <v>ConcónV5E</v>
      </c>
    </row>
    <row r="373" spans="1:31" x14ac:dyDescent="0.25">
      <c r="A373" s="423">
        <v>372</v>
      </c>
      <c r="B373" s="423" t="s">
        <v>147</v>
      </c>
      <c r="C373" s="423" t="s">
        <v>2199</v>
      </c>
      <c r="D373" s="973" t="s">
        <v>990</v>
      </c>
      <c r="E373" s="973" t="s">
        <v>991</v>
      </c>
      <c r="F373" s="973" t="s">
        <v>992</v>
      </c>
      <c r="G373" s="973" t="s">
        <v>1997</v>
      </c>
      <c r="H373" s="973" t="s">
        <v>1998</v>
      </c>
      <c r="I373" s="973" t="s">
        <v>1999</v>
      </c>
      <c r="J373" s="973" t="s">
        <v>697</v>
      </c>
      <c r="K373" s="973" t="s">
        <v>995</v>
      </c>
      <c r="L373" s="973" t="s">
        <v>996</v>
      </c>
      <c r="M373" s="973" t="s">
        <v>2000</v>
      </c>
      <c r="N373" s="973" t="s">
        <v>2001</v>
      </c>
      <c r="O373" s="973" t="s">
        <v>1971</v>
      </c>
      <c r="P373" s="973" t="s">
        <v>999</v>
      </c>
      <c r="Q373" s="973" t="s">
        <v>1000</v>
      </c>
      <c r="R373" s="973" t="s">
        <v>1001</v>
      </c>
      <c r="S373" s="973" t="s">
        <v>1002</v>
      </c>
      <c r="T373" s="423">
        <v>1000</v>
      </c>
      <c r="U373" s="423" t="s">
        <v>1041</v>
      </c>
      <c r="V373" s="423">
        <v>30</v>
      </c>
      <c r="W373" s="423">
        <v>0.4</v>
      </c>
      <c r="X373" s="423">
        <v>7</v>
      </c>
      <c r="Y373" s="423" t="s">
        <v>1041</v>
      </c>
      <c r="Z373" s="423" t="s">
        <v>1058</v>
      </c>
      <c r="AD373" s="423">
        <f>IF(ISNUMBER(MATCH(B373,'FICHA SOLIC'!$AB$26:$AB$376,0)),1,0)</f>
        <v>1</v>
      </c>
      <c r="AE373" s="423" t="str">
        <f t="shared" si="5"/>
        <v>ConcónV6</v>
      </c>
    </row>
    <row r="374" spans="1:31" x14ac:dyDescent="0.25">
      <c r="A374" s="423">
        <v>373</v>
      </c>
      <c r="B374" s="423" t="s">
        <v>147</v>
      </c>
      <c r="C374" s="423" t="s">
        <v>2200</v>
      </c>
      <c r="D374" s="975" t="s">
        <v>990</v>
      </c>
      <c r="E374" s="976" t="s">
        <v>991</v>
      </c>
      <c r="F374" s="976" t="s">
        <v>992</v>
      </c>
      <c r="G374" s="976" t="s">
        <v>1997</v>
      </c>
      <c r="H374" s="976" t="s">
        <v>1998</v>
      </c>
      <c r="I374" s="976" t="s">
        <v>1999</v>
      </c>
      <c r="J374" s="975" t="s">
        <v>697</v>
      </c>
      <c r="K374" s="976" t="s">
        <v>995</v>
      </c>
      <c r="L374" s="976" t="s">
        <v>996</v>
      </c>
      <c r="M374" s="976" t="s">
        <v>2000</v>
      </c>
      <c r="N374" s="976" t="s">
        <v>2001</v>
      </c>
      <c r="O374" s="975" t="s">
        <v>1971</v>
      </c>
      <c r="P374" s="976" t="s">
        <v>999</v>
      </c>
      <c r="Q374" s="976" t="s">
        <v>1000</v>
      </c>
      <c r="R374" s="976" t="s">
        <v>1001</v>
      </c>
      <c r="S374" s="976" t="s">
        <v>1002</v>
      </c>
      <c r="T374" s="423">
        <v>1000</v>
      </c>
      <c r="U374" s="423" t="s">
        <v>1041</v>
      </c>
      <c r="V374" s="423">
        <v>30</v>
      </c>
      <c r="W374" s="423">
        <v>0.4</v>
      </c>
      <c r="X374" s="423">
        <v>7</v>
      </c>
      <c r="Y374" s="423" t="s">
        <v>1041</v>
      </c>
      <c r="Z374" s="423" t="s">
        <v>1058</v>
      </c>
      <c r="AD374" s="423">
        <f>IF(ISNUMBER(MATCH(B374,'FICHA SOLIC'!$AB$26:$AB$376,0)),1,0)</f>
        <v>1</v>
      </c>
      <c r="AE374" s="423" t="str">
        <f t="shared" si="5"/>
        <v>ConcónV7</v>
      </c>
    </row>
    <row r="375" spans="1:31" x14ac:dyDescent="0.25">
      <c r="A375" s="423">
        <v>374</v>
      </c>
      <c r="B375" s="423" t="s">
        <v>147</v>
      </c>
      <c r="C375" s="423" t="s">
        <v>2201</v>
      </c>
      <c r="D375" s="975" t="s">
        <v>990</v>
      </c>
      <c r="E375" s="976" t="s">
        <v>991</v>
      </c>
      <c r="F375" s="976" t="s">
        <v>992</v>
      </c>
      <c r="G375" s="976" t="s">
        <v>1997</v>
      </c>
      <c r="H375" s="976" t="s">
        <v>1998</v>
      </c>
      <c r="I375" s="976" t="s">
        <v>1999</v>
      </c>
      <c r="J375" s="975" t="s">
        <v>697</v>
      </c>
      <c r="K375" s="976" t="s">
        <v>995</v>
      </c>
      <c r="L375" s="976" t="s">
        <v>996</v>
      </c>
      <c r="M375" s="976" t="s">
        <v>2000</v>
      </c>
      <c r="N375" s="976" t="s">
        <v>2001</v>
      </c>
      <c r="O375" s="975" t="s">
        <v>1971</v>
      </c>
      <c r="P375" s="976" t="s">
        <v>999</v>
      </c>
      <c r="Q375" s="976" t="s">
        <v>1000</v>
      </c>
      <c r="R375" s="976" t="s">
        <v>1001</v>
      </c>
      <c r="S375" s="976" t="s">
        <v>1002</v>
      </c>
      <c r="T375" s="423">
        <v>1000</v>
      </c>
      <c r="U375" s="423" t="s">
        <v>1041</v>
      </c>
      <c r="V375" s="423">
        <v>30</v>
      </c>
      <c r="W375" s="423">
        <v>0.4</v>
      </c>
      <c r="X375" s="423">
        <v>12</v>
      </c>
      <c r="Y375" s="423" t="s">
        <v>1041</v>
      </c>
      <c r="Z375" s="423" t="s">
        <v>1057</v>
      </c>
      <c r="AD375" s="423">
        <f>IF(ISNUMBER(MATCH(B375,'FICHA SOLIC'!$AB$26:$AB$376,0)),1,0)</f>
        <v>1</v>
      </c>
      <c r="AE375" s="423" t="str">
        <f t="shared" si="5"/>
        <v>ConcónV8</v>
      </c>
    </row>
    <row r="376" spans="1:31" x14ac:dyDescent="0.25">
      <c r="A376" s="423">
        <v>375</v>
      </c>
      <c r="B376" s="423" t="s">
        <v>147</v>
      </c>
      <c r="C376" s="423" t="s">
        <v>2202</v>
      </c>
      <c r="D376" s="975" t="s">
        <v>990</v>
      </c>
      <c r="E376" s="976" t="s">
        <v>991</v>
      </c>
      <c r="F376" s="976" t="s">
        <v>992</v>
      </c>
      <c r="G376" s="976" t="s">
        <v>1997</v>
      </c>
      <c r="H376" s="976" t="s">
        <v>1998</v>
      </c>
      <c r="I376" s="976" t="s">
        <v>1999</v>
      </c>
      <c r="J376" s="975" t="s">
        <v>697</v>
      </c>
      <c r="K376" s="976" t="s">
        <v>995</v>
      </c>
      <c r="L376" s="976" t="s">
        <v>996</v>
      </c>
      <c r="M376" s="976" t="s">
        <v>2000</v>
      </c>
      <c r="N376" s="976" t="s">
        <v>2001</v>
      </c>
      <c r="O376" s="975" t="s">
        <v>1971</v>
      </c>
      <c r="P376" s="976" t="s">
        <v>999</v>
      </c>
      <c r="Q376" s="976" t="s">
        <v>1000</v>
      </c>
      <c r="R376" s="976" t="s">
        <v>1001</v>
      </c>
      <c r="S376" s="976" t="s">
        <v>1002</v>
      </c>
      <c r="T376" s="423">
        <v>1000</v>
      </c>
      <c r="U376" s="423" t="s">
        <v>1041</v>
      </c>
      <c r="V376" s="423">
        <v>30</v>
      </c>
      <c r="W376" s="423">
        <v>1.5</v>
      </c>
      <c r="X376" s="423">
        <v>32</v>
      </c>
      <c r="Y376" s="423" t="s">
        <v>1041</v>
      </c>
      <c r="Z376" s="423" t="s">
        <v>1058</v>
      </c>
      <c r="AD376" s="423">
        <f>IF(ISNUMBER(MATCH(B376,'FICHA SOLIC'!$AB$26:$AB$376,0)),1,0)</f>
        <v>1</v>
      </c>
      <c r="AE376" s="423" t="str">
        <f t="shared" si="5"/>
        <v>ConcónV9</v>
      </c>
    </row>
    <row r="377" spans="1:31" x14ac:dyDescent="0.25">
      <c r="A377" s="423">
        <v>376</v>
      </c>
      <c r="B377" s="423" t="s">
        <v>147</v>
      </c>
      <c r="C377" s="423" t="s">
        <v>2203</v>
      </c>
      <c r="D377" s="975" t="s">
        <v>990</v>
      </c>
      <c r="E377" s="976" t="s">
        <v>991</v>
      </c>
      <c r="F377" s="976" t="s">
        <v>992</v>
      </c>
      <c r="G377" s="976" t="s">
        <v>1997</v>
      </c>
      <c r="H377" s="976" t="s">
        <v>1998</v>
      </c>
      <c r="I377" s="976" t="s">
        <v>1999</v>
      </c>
      <c r="J377" s="975" t="s">
        <v>697</v>
      </c>
      <c r="K377" s="976" t="s">
        <v>995</v>
      </c>
      <c r="L377" s="976" t="s">
        <v>996</v>
      </c>
      <c r="M377" s="976" t="s">
        <v>2000</v>
      </c>
      <c r="N377" s="976" t="s">
        <v>2001</v>
      </c>
      <c r="O377" s="975" t="s">
        <v>1971</v>
      </c>
      <c r="P377" s="976" t="s">
        <v>999</v>
      </c>
      <c r="Q377" s="976" t="s">
        <v>1000</v>
      </c>
      <c r="R377" s="976" t="s">
        <v>1001</v>
      </c>
      <c r="S377" s="976" t="s">
        <v>1002</v>
      </c>
      <c r="T377" s="423">
        <v>500</v>
      </c>
      <c r="U377" s="423" t="s">
        <v>1041</v>
      </c>
      <c r="V377" s="423">
        <v>80</v>
      </c>
      <c r="W377" s="423">
        <v>2</v>
      </c>
      <c r="X377" s="423">
        <v>15</v>
      </c>
      <c r="Y377" s="423" t="s">
        <v>1041</v>
      </c>
      <c r="Z377" s="423" t="s">
        <v>1058</v>
      </c>
      <c r="AD377" s="423">
        <f>IF(ISNUMBER(MATCH(B377,'FICHA SOLIC'!$AB$26:$AB$376,0)),1,0)</f>
        <v>1</v>
      </c>
      <c r="AE377" s="423" t="str">
        <f t="shared" si="5"/>
        <v>ConcónZCS</v>
      </c>
    </row>
    <row r="378" spans="1:31" x14ac:dyDescent="0.25">
      <c r="A378" s="423">
        <v>377</v>
      </c>
      <c r="B378" s="423" t="s">
        <v>147</v>
      </c>
      <c r="C378" s="423" t="s">
        <v>2204</v>
      </c>
      <c r="D378" s="975" t="s">
        <v>990</v>
      </c>
      <c r="E378" s="976" t="s">
        <v>991</v>
      </c>
      <c r="F378" s="976" t="s">
        <v>992</v>
      </c>
      <c r="G378" s="976" t="s">
        <v>1997</v>
      </c>
      <c r="H378" s="976" t="s">
        <v>1998</v>
      </c>
      <c r="I378" s="976" t="s">
        <v>1999</v>
      </c>
      <c r="J378" s="975" t="s">
        <v>697</v>
      </c>
      <c r="K378" s="976" t="s">
        <v>995</v>
      </c>
      <c r="L378" s="976" t="s">
        <v>996</v>
      </c>
      <c r="M378" s="976" t="s">
        <v>2000</v>
      </c>
      <c r="N378" s="976" t="s">
        <v>2001</v>
      </c>
      <c r="O378" s="975" t="s">
        <v>1971</v>
      </c>
      <c r="P378" s="976" t="s">
        <v>999</v>
      </c>
      <c r="Q378" s="976" t="s">
        <v>1000</v>
      </c>
      <c r="R378" s="976" t="s">
        <v>1001</v>
      </c>
      <c r="S378" s="976" t="s">
        <v>1002</v>
      </c>
      <c r="T378" s="423">
        <v>500</v>
      </c>
      <c r="U378" s="423" t="s">
        <v>1041</v>
      </c>
      <c r="V378" s="423">
        <v>70</v>
      </c>
      <c r="W378" s="423">
        <v>3.6</v>
      </c>
      <c r="X378" s="423">
        <v>21</v>
      </c>
      <c r="Y378" s="423" t="s">
        <v>1041</v>
      </c>
      <c r="Z378" s="423" t="s">
        <v>1057</v>
      </c>
      <c r="AD378" s="423">
        <f>IF(ISNUMBER(MATCH(B378,'FICHA SOLIC'!$AB$26:$AB$376,0)),1,0)</f>
        <v>1</v>
      </c>
      <c r="AE378" s="423" t="str">
        <f t="shared" si="5"/>
        <v>ConcónZCS-1</v>
      </c>
    </row>
    <row r="379" spans="1:31" x14ac:dyDescent="0.25">
      <c r="A379" s="423">
        <v>378</v>
      </c>
      <c r="B379" s="423" t="s">
        <v>147</v>
      </c>
      <c r="C379" s="423" t="s">
        <v>2205</v>
      </c>
      <c r="D379" s="975" t="s">
        <v>990</v>
      </c>
      <c r="E379" s="976" t="s">
        <v>991</v>
      </c>
      <c r="F379" s="976" t="s">
        <v>992</v>
      </c>
      <c r="G379" s="976" t="s">
        <v>1997</v>
      </c>
      <c r="H379" s="976" t="s">
        <v>1998</v>
      </c>
      <c r="I379" s="976" t="s">
        <v>1999</v>
      </c>
      <c r="J379" s="975" t="s">
        <v>697</v>
      </c>
      <c r="K379" s="976" t="s">
        <v>995</v>
      </c>
      <c r="L379" s="976" t="s">
        <v>996</v>
      </c>
      <c r="M379" s="976" t="s">
        <v>2000</v>
      </c>
      <c r="N379" s="976" t="s">
        <v>2001</v>
      </c>
      <c r="O379" s="975" t="s">
        <v>1971</v>
      </c>
      <c r="P379" s="976" t="s">
        <v>999</v>
      </c>
      <c r="Q379" s="976" t="s">
        <v>1000</v>
      </c>
      <c r="R379" s="976" t="s">
        <v>1001</v>
      </c>
      <c r="S379" s="976" t="s">
        <v>1002</v>
      </c>
      <c r="T379" s="423">
        <v>600</v>
      </c>
      <c r="U379" s="423" t="s">
        <v>1041</v>
      </c>
      <c r="V379" s="423">
        <v>60</v>
      </c>
      <c r="W379" s="423">
        <v>0.8</v>
      </c>
      <c r="X379" s="423">
        <v>14</v>
      </c>
      <c r="Y379" s="423" t="s">
        <v>1041</v>
      </c>
      <c r="Z379" s="423" t="s">
        <v>1058</v>
      </c>
      <c r="AD379" s="423">
        <f>IF(ISNUMBER(MATCH(B379,'FICHA SOLIC'!$AB$26:$AB$376,0)),1,0)</f>
        <v>1</v>
      </c>
      <c r="AE379" s="423" t="str">
        <f t="shared" si="5"/>
        <v>ConcónZCS1-V1</v>
      </c>
    </row>
    <row r="380" spans="1:31" x14ac:dyDescent="0.25">
      <c r="A380" s="423">
        <v>379</v>
      </c>
      <c r="B380" s="423" t="s">
        <v>147</v>
      </c>
      <c r="C380" s="423" t="s">
        <v>2206</v>
      </c>
      <c r="D380" s="975" t="s">
        <v>990</v>
      </c>
      <c r="E380" s="976" t="s">
        <v>991</v>
      </c>
      <c r="F380" s="976" t="s">
        <v>992</v>
      </c>
      <c r="G380" s="976" t="s">
        <v>1997</v>
      </c>
      <c r="H380" s="976" t="s">
        <v>1998</v>
      </c>
      <c r="I380" s="976" t="s">
        <v>1999</v>
      </c>
      <c r="J380" s="975" t="s">
        <v>697</v>
      </c>
      <c r="K380" s="976" t="s">
        <v>995</v>
      </c>
      <c r="L380" s="976" t="s">
        <v>996</v>
      </c>
      <c r="M380" s="976" t="s">
        <v>2000</v>
      </c>
      <c r="N380" s="976" t="s">
        <v>2001</v>
      </c>
      <c r="O380" s="975" t="s">
        <v>1971</v>
      </c>
      <c r="P380" s="976" t="s">
        <v>999</v>
      </c>
      <c r="Q380" s="976" t="s">
        <v>1000</v>
      </c>
      <c r="R380" s="976" t="s">
        <v>1001</v>
      </c>
      <c r="S380" s="976" t="s">
        <v>1002</v>
      </c>
      <c r="T380" s="423">
        <v>250</v>
      </c>
      <c r="U380" s="423" t="s">
        <v>1041</v>
      </c>
      <c r="V380" s="423">
        <v>80</v>
      </c>
      <c r="W380" s="423">
        <v>2</v>
      </c>
      <c r="X380" s="423">
        <v>14</v>
      </c>
      <c r="Y380" s="423" t="s">
        <v>1041</v>
      </c>
      <c r="Z380" s="423" t="s">
        <v>1058</v>
      </c>
      <c r="AD380" s="423">
        <f>IF(ISNUMBER(MATCH(B380,'FICHA SOLIC'!$AB$26:$AB$376,0)),1,0)</f>
        <v>1</v>
      </c>
      <c r="AE380" s="423" t="str">
        <f t="shared" si="5"/>
        <v>ConcónZCS-2</v>
      </c>
    </row>
    <row r="381" spans="1:31" x14ac:dyDescent="0.25">
      <c r="A381" s="423">
        <v>380</v>
      </c>
      <c r="B381" s="423" t="s">
        <v>147</v>
      </c>
      <c r="C381" s="423" t="s">
        <v>2207</v>
      </c>
      <c r="D381" s="975" t="s">
        <v>990</v>
      </c>
      <c r="E381" s="976" t="s">
        <v>991</v>
      </c>
      <c r="F381" s="976" t="s">
        <v>992</v>
      </c>
      <c r="G381" s="976" t="s">
        <v>1997</v>
      </c>
      <c r="H381" s="976" t="s">
        <v>1998</v>
      </c>
      <c r="I381" s="976" t="s">
        <v>1999</v>
      </c>
      <c r="J381" s="975" t="s">
        <v>697</v>
      </c>
      <c r="K381" s="976" t="s">
        <v>995</v>
      </c>
      <c r="L381" s="976" t="s">
        <v>996</v>
      </c>
      <c r="M381" s="976" t="s">
        <v>2000</v>
      </c>
      <c r="N381" s="976" t="s">
        <v>2001</v>
      </c>
      <c r="O381" s="975" t="s">
        <v>1971</v>
      </c>
      <c r="P381" s="976" t="s">
        <v>999</v>
      </c>
      <c r="Q381" s="976" t="s">
        <v>1000</v>
      </c>
      <c r="R381" s="976" t="s">
        <v>1001</v>
      </c>
      <c r="S381" s="976" t="s">
        <v>1002</v>
      </c>
      <c r="T381" s="423">
        <v>500</v>
      </c>
      <c r="U381" s="423" t="s">
        <v>1041</v>
      </c>
      <c r="V381" s="423">
        <v>40</v>
      </c>
      <c r="W381" s="423">
        <v>0.6</v>
      </c>
      <c r="X381" s="423">
        <v>7</v>
      </c>
      <c r="Y381" s="423" t="s">
        <v>1041</v>
      </c>
      <c r="Z381" s="423" t="s">
        <v>1058</v>
      </c>
      <c r="AD381" s="423">
        <f>IF(ISNUMBER(MATCH(B381,'FICHA SOLIC'!$AB$26:$AB$376,0)),1,0)</f>
        <v>1</v>
      </c>
      <c r="AE381" s="423" t="str">
        <f t="shared" si="5"/>
        <v>ConcónZDRM</v>
      </c>
    </row>
    <row r="382" spans="1:31" x14ac:dyDescent="0.25">
      <c r="A382" s="423">
        <v>381</v>
      </c>
      <c r="B382" s="423" t="s">
        <v>147</v>
      </c>
      <c r="C382" s="423" t="s">
        <v>2208</v>
      </c>
      <c r="D382" s="975" t="s">
        <v>990</v>
      </c>
      <c r="E382" s="976" t="s">
        <v>991</v>
      </c>
      <c r="F382" s="976" t="s">
        <v>992</v>
      </c>
      <c r="G382" s="976" t="s">
        <v>1997</v>
      </c>
      <c r="H382" s="976" t="s">
        <v>1998</v>
      </c>
      <c r="I382" s="976" t="s">
        <v>1999</v>
      </c>
      <c r="J382" s="975" t="s">
        <v>697</v>
      </c>
      <c r="K382" s="976" t="s">
        <v>995</v>
      </c>
      <c r="L382" s="976" t="s">
        <v>996</v>
      </c>
      <c r="M382" s="976" t="s">
        <v>2000</v>
      </c>
      <c r="N382" s="976" t="s">
        <v>2001</v>
      </c>
      <c r="O382" s="975" t="s">
        <v>1971</v>
      </c>
      <c r="P382" s="976" t="s">
        <v>999</v>
      </c>
      <c r="Q382" s="976" t="s">
        <v>1000</v>
      </c>
      <c r="R382" s="976" t="s">
        <v>1001</v>
      </c>
      <c r="S382" s="976" t="s">
        <v>1002</v>
      </c>
      <c r="T382" s="423">
        <v>480</v>
      </c>
      <c r="U382" s="423" t="s">
        <v>1041</v>
      </c>
      <c r="V382" s="423">
        <v>50</v>
      </c>
      <c r="W382" s="423">
        <v>1</v>
      </c>
      <c r="X382" s="423">
        <v>14</v>
      </c>
      <c r="Y382" s="423" t="s">
        <v>1041</v>
      </c>
      <c r="Z382" s="423" t="s">
        <v>1058</v>
      </c>
      <c r="AD382" s="423">
        <f>IF(ISNUMBER(MATCH(B382,'FICHA SOLIC'!$AB$26:$AB$376,0)),1,0)</f>
        <v>1</v>
      </c>
      <c r="AE382" s="423" t="str">
        <f t="shared" si="5"/>
        <v>ConcónZDTR</v>
      </c>
    </row>
    <row r="383" spans="1:31" x14ac:dyDescent="0.25">
      <c r="A383" s="423">
        <v>382</v>
      </c>
      <c r="B383" s="423" t="s">
        <v>147</v>
      </c>
      <c r="C383" s="423" t="s">
        <v>1797</v>
      </c>
      <c r="D383" s="975" t="s">
        <v>990</v>
      </c>
      <c r="E383" s="976" t="s">
        <v>991</v>
      </c>
      <c r="F383" s="976" t="s">
        <v>992</v>
      </c>
      <c r="G383" s="976" t="s">
        <v>1997</v>
      </c>
      <c r="H383" s="976" t="s">
        <v>1998</v>
      </c>
      <c r="I383" s="976" t="s">
        <v>1999</v>
      </c>
      <c r="J383" s="975" t="s">
        <v>697</v>
      </c>
      <c r="K383" s="976" t="s">
        <v>995</v>
      </c>
      <c r="L383" s="976" t="s">
        <v>996</v>
      </c>
      <c r="M383" s="976" t="s">
        <v>2000</v>
      </c>
      <c r="N383" s="976" t="s">
        <v>2001</v>
      </c>
      <c r="O383" s="975" t="s">
        <v>1971</v>
      </c>
      <c r="P383" s="976" t="s">
        <v>999</v>
      </c>
      <c r="Q383" s="976" t="s">
        <v>1000</v>
      </c>
      <c r="R383" s="976" t="s">
        <v>1001</v>
      </c>
      <c r="S383" s="976" t="s">
        <v>1002</v>
      </c>
      <c r="T383" s="423">
        <v>500</v>
      </c>
      <c r="U383" s="423" t="s">
        <v>1041</v>
      </c>
      <c r="V383" s="423">
        <v>60</v>
      </c>
      <c r="W383" s="423">
        <v>1.8</v>
      </c>
      <c r="X383" s="423">
        <v>10.5</v>
      </c>
      <c r="Y383" s="423" t="s">
        <v>1041</v>
      </c>
      <c r="Z383" s="423" t="s">
        <v>1058</v>
      </c>
      <c r="AD383" s="423">
        <f>IF(ISNUMBER(MATCH(B383,'FICHA SOLIC'!$AB$26:$AB$376,0)),1,0)</f>
        <v>1</v>
      </c>
      <c r="AE383" s="423" t="str">
        <f t="shared" si="5"/>
        <v>ConcónZE</v>
      </c>
    </row>
    <row r="384" spans="1:31" x14ac:dyDescent="0.25">
      <c r="A384" s="423">
        <v>383</v>
      </c>
      <c r="B384" s="423" t="s">
        <v>147</v>
      </c>
      <c r="C384" s="423" t="s">
        <v>2209</v>
      </c>
      <c r="D384" s="975" t="s">
        <v>990</v>
      </c>
      <c r="E384" s="976" t="s">
        <v>991</v>
      </c>
      <c r="F384" s="976" t="s">
        <v>992</v>
      </c>
      <c r="G384" s="976" t="s">
        <v>1997</v>
      </c>
      <c r="H384" s="976" t="s">
        <v>1998</v>
      </c>
      <c r="I384" s="976" t="s">
        <v>1999</v>
      </c>
      <c r="J384" s="975" t="s">
        <v>697</v>
      </c>
      <c r="K384" s="976" t="s">
        <v>995</v>
      </c>
      <c r="L384" s="976" t="s">
        <v>996</v>
      </c>
      <c r="M384" s="976" t="s">
        <v>2000</v>
      </c>
      <c r="N384" s="976" t="s">
        <v>2001</v>
      </c>
      <c r="O384" s="975" t="s">
        <v>1971</v>
      </c>
      <c r="P384" s="976" t="s">
        <v>999</v>
      </c>
      <c r="Q384" s="976" t="s">
        <v>1000</v>
      </c>
      <c r="R384" s="976" t="s">
        <v>1001</v>
      </c>
      <c r="S384" s="976" t="s">
        <v>1002</v>
      </c>
      <c r="T384" s="423">
        <v>5000</v>
      </c>
      <c r="U384" s="423" t="s">
        <v>1041</v>
      </c>
      <c r="V384" s="423">
        <v>70</v>
      </c>
      <c r="W384" s="423">
        <v>1</v>
      </c>
      <c r="X384" s="423" t="s">
        <v>1173</v>
      </c>
      <c r="Y384" s="423" t="s">
        <v>1041</v>
      </c>
      <c r="Z384" s="423" t="s">
        <v>1058</v>
      </c>
      <c r="AD384" s="423">
        <f>IF(ISNUMBER(MATCH(B384,'FICHA SOLIC'!$AB$26:$AB$376,0)),1,0)</f>
        <v>1</v>
      </c>
      <c r="AE384" s="423" t="str">
        <f t="shared" si="5"/>
        <v>ConcónZEU-PM</v>
      </c>
    </row>
    <row r="385" spans="1:31" x14ac:dyDescent="0.25">
      <c r="A385" s="423">
        <v>384</v>
      </c>
      <c r="B385" s="423" t="s">
        <v>147</v>
      </c>
      <c r="C385" s="423" t="s">
        <v>2210</v>
      </c>
      <c r="D385" s="975" t="s">
        <v>990</v>
      </c>
      <c r="E385" s="976" t="s">
        <v>991</v>
      </c>
      <c r="F385" s="976" t="s">
        <v>992</v>
      </c>
      <c r="G385" s="976" t="s">
        <v>1997</v>
      </c>
      <c r="H385" s="976" t="s">
        <v>1998</v>
      </c>
      <c r="I385" s="976" t="s">
        <v>1999</v>
      </c>
      <c r="J385" s="975" t="s">
        <v>697</v>
      </c>
      <c r="K385" s="976" t="s">
        <v>995</v>
      </c>
      <c r="L385" s="976" t="s">
        <v>996</v>
      </c>
      <c r="M385" s="976" t="s">
        <v>2000</v>
      </c>
      <c r="N385" s="976" t="s">
        <v>2001</v>
      </c>
      <c r="O385" s="975" t="s">
        <v>1971</v>
      </c>
      <c r="P385" s="976" t="s">
        <v>999</v>
      </c>
      <c r="Q385" s="976" t="s">
        <v>1000</v>
      </c>
      <c r="R385" s="976" t="s">
        <v>1001</v>
      </c>
      <c r="S385" s="976" t="s">
        <v>1002</v>
      </c>
      <c r="T385" s="423">
        <v>2500</v>
      </c>
      <c r="U385" s="423" t="s">
        <v>1041</v>
      </c>
      <c r="V385" s="423">
        <v>10</v>
      </c>
      <c r="W385" s="423">
        <v>0.1</v>
      </c>
      <c r="X385" s="423">
        <v>4</v>
      </c>
      <c r="Y385" s="423" t="s">
        <v>1041</v>
      </c>
      <c r="Z385" s="423" t="s">
        <v>1058</v>
      </c>
      <c r="AD385" s="423">
        <f>IF(ISNUMBER(MATCH(B385,'FICHA SOLIC'!$AB$26:$AB$376,0)),1,0)</f>
        <v>1</v>
      </c>
      <c r="AE385" s="423" t="str">
        <f t="shared" si="5"/>
        <v>ConcónZLM-1</v>
      </c>
    </row>
    <row r="386" spans="1:31" x14ac:dyDescent="0.25">
      <c r="A386" s="423">
        <v>385</v>
      </c>
      <c r="B386" s="423" t="s">
        <v>147</v>
      </c>
      <c r="C386" s="423" t="s">
        <v>2211</v>
      </c>
      <c r="D386" s="975" t="s">
        <v>990</v>
      </c>
      <c r="E386" s="976" t="s">
        <v>991</v>
      </c>
      <c r="F386" s="976" t="s">
        <v>992</v>
      </c>
      <c r="G386" s="976" t="s">
        <v>1997</v>
      </c>
      <c r="H386" s="976" t="s">
        <v>1998</v>
      </c>
      <c r="I386" s="976" t="s">
        <v>1999</v>
      </c>
      <c r="J386" s="975" t="s">
        <v>697</v>
      </c>
      <c r="K386" s="976" t="s">
        <v>995</v>
      </c>
      <c r="L386" s="976" t="s">
        <v>996</v>
      </c>
      <c r="M386" s="976" t="s">
        <v>2000</v>
      </c>
      <c r="N386" s="976" t="s">
        <v>2001</v>
      </c>
      <c r="O386" s="975" t="s">
        <v>1971</v>
      </c>
      <c r="P386" s="976" t="s">
        <v>999</v>
      </c>
      <c r="Q386" s="976" t="s">
        <v>1000</v>
      </c>
      <c r="R386" s="976" t="s">
        <v>1001</v>
      </c>
      <c r="S386" s="976" t="s">
        <v>1002</v>
      </c>
      <c r="T386" s="423">
        <v>250</v>
      </c>
      <c r="U386" s="423" t="s">
        <v>1041</v>
      </c>
      <c r="V386" s="423">
        <v>40</v>
      </c>
      <c r="W386" s="423">
        <v>1.2</v>
      </c>
      <c r="X386" s="423">
        <v>7</v>
      </c>
      <c r="Y386" s="423" t="s">
        <v>1041</v>
      </c>
      <c r="Z386" s="423" t="s">
        <v>1058</v>
      </c>
      <c r="AD386" s="423">
        <f>IF(ISNUMBER(MATCH(B386,'FICHA SOLIC'!$AB$26:$AB$376,0)),1,0)</f>
        <v>1</v>
      </c>
      <c r="AE386" s="423" t="str">
        <f t="shared" si="5"/>
        <v>ConcónZLM-2</v>
      </c>
    </row>
    <row r="387" spans="1:31" x14ac:dyDescent="0.25">
      <c r="A387" s="423">
        <v>386</v>
      </c>
      <c r="B387" s="423" t="s">
        <v>147</v>
      </c>
      <c r="C387" s="423" t="s">
        <v>2212</v>
      </c>
      <c r="D387" s="975" t="s">
        <v>990</v>
      </c>
      <c r="E387" s="976" t="s">
        <v>991</v>
      </c>
      <c r="F387" s="976" t="s">
        <v>992</v>
      </c>
      <c r="G387" s="976" t="s">
        <v>1997</v>
      </c>
      <c r="H387" s="976" t="s">
        <v>1998</v>
      </c>
      <c r="I387" s="976" t="s">
        <v>1999</v>
      </c>
      <c r="J387" s="975" t="s">
        <v>697</v>
      </c>
      <c r="K387" s="976" t="s">
        <v>995</v>
      </c>
      <c r="L387" s="976" t="s">
        <v>996</v>
      </c>
      <c r="M387" s="976" t="s">
        <v>2000</v>
      </c>
      <c r="N387" s="976" t="s">
        <v>2001</v>
      </c>
      <c r="O387" s="975" t="s">
        <v>1971</v>
      </c>
      <c r="P387" s="976" t="s">
        <v>999</v>
      </c>
      <c r="Q387" s="976" t="s">
        <v>1000</v>
      </c>
      <c r="R387" s="976" t="s">
        <v>1001</v>
      </c>
      <c r="S387" s="976" t="s">
        <v>1002</v>
      </c>
      <c r="T387" s="423">
        <v>600</v>
      </c>
      <c r="U387" s="423" t="s">
        <v>1041</v>
      </c>
      <c r="V387" s="423">
        <v>50</v>
      </c>
      <c r="W387" s="423">
        <v>0.5</v>
      </c>
      <c r="X387" s="423">
        <v>7</v>
      </c>
      <c r="Y387" s="423" t="s">
        <v>1041</v>
      </c>
      <c r="Z387" s="423" t="s">
        <v>1057</v>
      </c>
      <c r="AD387" s="423">
        <f>IF(ISNUMBER(MATCH(B387,'FICHA SOLIC'!$AB$26:$AB$376,0)),1,0)</f>
        <v>1</v>
      </c>
      <c r="AE387" s="423" t="str">
        <f t="shared" ref="AE387:AE450" si="6">B387&amp;C387</f>
        <v>ConcónZR1-V1</v>
      </c>
    </row>
    <row r="388" spans="1:31" x14ac:dyDescent="0.25">
      <c r="A388" s="423">
        <v>387</v>
      </c>
      <c r="B388" s="423" t="s">
        <v>147</v>
      </c>
      <c r="C388" s="423" t="s">
        <v>2213</v>
      </c>
      <c r="D388" s="975" t="s">
        <v>990</v>
      </c>
      <c r="E388" s="976" t="s">
        <v>991</v>
      </c>
      <c r="F388" s="976" t="s">
        <v>992</v>
      </c>
      <c r="G388" s="976" t="s">
        <v>1997</v>
      </c>
      <c r="H388" s="976" t="s">
        <v>1998</v>
      </c>
      <c r="I388" s="976" t="s">
        <v>1999</v>
      </c>
      <c r="J388" s="975" t="s">
        <v>697</v>
      </c>
      <c r="K388" s="976" t="s">
        <v>995</v>
      </c>
      <c r="L388" s="976" t="s">
        <v>996</v>
      </c>
      <c r="M388" s="976" t="s">
        <v>2000</v>
      </c>
      <c r="N388" s="976" t="s">
        <v>2001</v>
      </c>
      <c r="O388" s="975" t="s">
        <v>1971</v>
      </c>
      <c r="P388" s="976" t="s">
        <v>999</v>
      </c>
      <c r="Q388" s="976" t="s">
        <v>1000</v>
      </c>
      <c r="R388" s="976" t="s">
        <v>1001</v>
      </c>
      <c r="S388" s="976" t="s">
        <v>1002</v>
      </c>
      <c r="T388" s="423">
        <v>200</v>
      </c>
      <c r="U388" s="423" t="s">
        <v>1041</v>
      </c>
      <c r="V388" s="423">
        <v>60</v>
      </c>
      <c r="W388" s="423">
        <v>0.8</v>
      </c>
      <c r="X388" s="423">
        <v>7</v>
      </c>
      <c r="Y388" s="423" t="s">
        <v>1041</v>
      </c>
      <c r="Z388" s="423" t="s">
        <v>1057</v>
      </c>
      <c r="AD388" s="423">
        <f>IF(ISNUMBER(MATCH(B388,'FICHA SOLIC'!$AB$26:$AB$376,0)),1,0)</f>
        <v>1</v>
      </c>
      <c r="AE388" s="423" t="str">
        <f t="shared" si="6"/>
        <v>ConcónZR1-V2</v>
      </c>
    </row>
    <row r="389" spans="1:31" x14ac:dyDescent="0.25">
      <c r="A389" s="423">
        <v>388</v>
      </c>
      <c r="B389" s="423" t="s">
        <v>147</v>
      </c>
      <c r="C389" s="423" t="s">
        <v>2214</v>
      </c>
      <c r="D389" s="975" t="s">
        <v>990</v>
      </c>
      <c r="E389" s="976" t="s">
        <v>991</v>
      </c>
      <c r="F389" s="976" t="s">
        <v>992</v>
      </c>
      <c r="G389" s="976" t="s">
        <v>1997</v>
      </c>
      <c r="H389" s="976" t="s">
        <v>1998</v>
      </c>
      <c r="I389" s="976" t="s">
        <v>1999</v>
      </c>
      <c r="J389" s="975" t="s">
        <v>697</v>
      </c>
      <c r="K389" s="976" t="s">
        <v>995</v>
      </c>
      <c r="L389" s="976" t="s">
        <v>996</v>
      </c>
      <c r="M389" s="976" t="s">
        <v>2000</v>
      </c>
      <c r="N389" s="976" t="s">
        <v>2001</v>
      </c>
      <c r="O389" s="975" t="s">
        <v>1971</v>
      </c>
      <c r="P389" s="976" t="s">
        <v>999</v>
      </c>
      <c r="Q389" s="976" t="s">
        <v>1000</v>
      </c>
      <c r="R389" s="976" t="s">
        <v>1001</v>
      </c>
      <c r="S389" s="976" t="s">
        <v>1002</v>
      </c>
      <c r="T389" s="423">
        <v>300</v>
      </c>
      <c r="U389" s="423" t="s">
        <v>1041</v>
      </c>
      <c r="V389" s="423">
        <v>50</v>
      </c>
      <c r="W389" s="423">
        <v>0.6</v>
      </c>
      <c r="X389" s="423">
        <v>7</v>
      </c>
      <c r="Y389" s="423" t="s">
        <v>1041</v>
      </c>
      <c r="Z389" s="423" t="s">
        <v>1059</v>
      </c>
      <c r="AD389" s="423">
        <f>IF(ISNUMBER(MATCH(B389,'FICHA SOLIC'!$AB$26:$AB$376,0)),1,0)</f>
        <v>1</v>
      </c>
      <c r="AE389" s="423" t="str">
        <f t="shared" si="6"/>
        <v>ConcónZR1-V3</v>
      </c>
    </row>
    <row r="390" spans="1:31" x14ac:dyDescent="0.25">
      <c r="A390" s="423">
        <v>389</v>
      </c>
      <c r="B390" s="423" t="s">
        <v>147</v>
      </c>
      <c r="C390" s="423" t="s">
        <v>2215</v>
      </c>
      <c r="D390" s="975" t="s">
        <v>990</v>
      </c>
      <c r="E390" s="976" t="s">
        <v>991</v>
      </c>
      <c r="F390" s="976" t="s">
        <v>992</v>
      </c>
      <c r="G390" s="976" t="s">
        <v>1997</v>
      </c>
      <c r="H390" s="976" t="s">
        <v>1998</v>
      </c>
      <c r="I390" s="976" t="s">
        <v>1999</v>
      </c>
      <c r="J390" s="975" t="s">
        <v>697</v>
      </c>
      <c r="K390" s="976" t="s">
        <v>995</v>
      </c>
      <c r="L390" s="976" t="s">
        <v>996</v>
      </c>
      <c r="M390" s="976" t="s">
        <v>2000</v>
      </c>
      <c r="N390" s="976" t="s">
        <v>2001</v>
      </c>
      <c r="O390" s="975" t="s">
        <v>1971</v>
      </c>
      <c r="P390" s="976" t="s">
        <v>999</v>
      </c>
      <c r="Q390" s="976" t="s">
        <v>1000</v>
      </c>
      <c r="R390" s="976" t="s">
        <v>1001</v>
      </c>
      <c r="S390" s="976" t="s">
        <v>1002</v>
      </c>
      <c r="T390" s="423">
        <v>800</v>
      </c>
      <c r="U390" s="423" t="s">
        <v>1041</v>
      </c>
      <c r="V390" s="423">
        <v>60</v>
      </c>
      <c r="W390" s="423">
        <v>1.2</v>
      </c>
      <c r="X390" s="423">
        <v>21</v>
      </c>
      <c r="Y390" s="423" t="s">
        <v>1041</v>
      </c>
      <c r="Z390" s="423" t="s">
        <v>1059</v>
      </c>
      <c r="AD390" s="423">
        <f>IF(ISNUMBER(MATCH(B390,'FICHA SOLIC'!$AB$26:$AB$376,0)),1,0)</f>
        <v>1</v>
      </c>
      <c r="AE390" s="423" t="str">
        <f t="shared" si="6"/>
        <v>ConcónZR1-V3-2</v>
      </c>
    </row>
    <row r="391" spans="1:31" x14ac:dyDescent="0.25">
      <c r="A391" s="423">
        <v>390</v>
      </c>
      <c r="B391" s="423" t="s">
        <v>147</v>
      </c>
      <c r="C391" s="423" t="s">
        <v>2216</v>
      </c>
      <c r="D391" s="975" t="s">
        <v>990</v>
      </c>
      <c r="E391" s="976" t="s">
        <v>991</v>
      </c>
      <c r="F391" s="976" t="s">
        <v>992</v>
      </c>
      <c r="G391" s="976" t="s">
        <v>1997</v>
      </c>
      <c r="H391" s="976" t="s">
        <v>1998</v>
      </c>
      <c r="I391" s="976" t="s">
        <v>1999</v>
      </c>
      <c r="J391" s="975" t="s">
        <v>697</v>
      </c>
      <c r="K391" s="976" t="s">
        <v>995</v>
      </c>
      <c r="L391" s="976" t="s">
        <v>996</v>
      </c>
      <c r="M391" s="976" t="s">
        <v>2000</v>
      </c>
      <c r="N391" s="976" t="s">
        <v>2001</v>
      </c>
      <c r="O391" s="975" t="s">
        <v>1971</v>
      </c>
      <c r="P391" s="976" t="s">
        <v>999</v>
      </c>
      <c r="Q391" s="976" t="s">
        <v>1000</v>
      </c>
      <c r="R391" s="976" t="s">
        <v>1001</v>
      </c>
      <c r="S391" s="976" t="s">
        <v>1002</v>
      </c>
      <c r="T391" s="423">
        <v>300</v>
      </c>
      <c r="U391" s="423" t="s">
        <v>1041</v>
      </c>
      <c r="V391" s="423">
        <v>50</v>
      </c>
      <c r="W391" s="423">
        <v>0.6</v>
      </c>
      <c r="X391" s="423">
        <v>7</v>
      </c>
      <c r="Y391" s="423" t="s">
        <v>1041</v>
      </c>
      <c r="Z391" s="423" t="s">
        <v>1057</v>
      </c>
      <c r="AD391" s="423">
        <f>IF(ISNUMBER(MATCH(B391,'FICHA SOLIC'!$AB$26:$AB$376,0)),1,0)</f>
        <v>1</v>
      </c>
      <c r="AE391" s="423" t="str">
        <f t="shared" si="6"/>
        <v>ConcónZR2-V4</v>
      </c>
    </row>
    <row r="392" spans="1:31" x14ac:dyDescent="0.25">
      <c r="A392" s="423">
        <v>391</v>
      </c>
      <c r="B392" s="423" t="s">
        <v>147</v>
      </c>
      <c r="C392" s="423" t="s">
        <v>2217</v>
      </c>
      <c r="D392" s="975" t="s">
        <v>990</v>
      </c>
      <c r="E392" s="976" t="s">
        <v>991</v>
      </c>
      <c r="F392" s="976" t="s">
        <v>992</v>
      </c>
      <c r="G392" s="976" t="s">
        <v>1997</v>
      </c>
      <c r="H392" s="976" t="s">
        <v>1998</v>
      </c>
      <c r="I392" s="976" t="s">
        <v>1999</v>
      </c>
      <c r="J392" s="975" t="s">
        <v>697</v>
      </c>
      <c r="K392" s="976" t="s">
        <v>995</v>
      </c>
      <c r="L392" s="976" t="s">
        <v>996</v>
      </c>
      <c r="M392" s="976" t="s">
        <v>2000</v>
      </c>
      <c r="N392" s="976" t="s">
        <v>2001</v>
      </c>
      <c r="O392" s="975" t="s">
        <v>1971</v>
      </c>
      <c r="P392" s="976" t="s">
        <v>999</v>
      </c>
      <c r="Q392" s="976" t="s">
        <v>1000</v>
      </c>
      <c r="R392" s="976" t="s">
        <v>1001</v>
      </c>
      <c r="S392" s="976" t="s">
        <v>1002</v>
      </c>
      <c r="T392" s="423">
        <v>1000</v>
      </c>
      <c r="U392" s="423" t="s">
        <v>1041</v>
      </c>
      <c r="V392" s="423">
        <v>30</v>
      </c>
      <c r="W392" s="423">
        <v>0.4</v>
      </c>
      <c r="X392" s="423">
        <v>7</v>
      </c>
      <c r="Y392" s="423" t="s">
        <v>1041</v>
      </c>
      <c r="Z392" s="423" t="s">
        <v>1058</v>
      </c>
      <c r="AD392" s="423">
        <f>IF(ISNUMBER(MATCH(B392,'FICHA SOLIC'!$AB$26:$AB$376,0)),1,0)</f>
        <v>1</v>
      </c>
      <c r="AE392" s="423" t="str">
        <f t="shared" si="6"/>
        <v>ConcónZR3-V5</v>
      </c>
    </row>
    <row r="393" spans="1:31" x14ac:dyDescent="0.25">
      <c r="A393" s="423">
        <v>392</v>
      </c>
      <c r="B393" s="423" t="s">
        <v>147</v>
      </c>
      <c r="C393" s="423" t="s">
        <v>2218</v>
      </c>
      <c r="D393" s="975" t="s">
        <v>990</v>
      </c>
      <c r="E393" s="976" t="s">
        <v>991</v>
      </c>
      <c r="F393" s="976" t="s">
        <v>992</v>
      </c>
      <c r="G393" s="976" t="s">
        <v>1997</v>
      </c>
      <c r="H393" s="976" t="s">
        <v>1998</v>
      </c>
      <c r="I393" s="976" t="s">
        <v>1999</v>
      </c>
      <c r="J393" s="975" t="s">
        <v>697</v>
      </c>
      <c r="K393" s="976" t="s">
        <v>995</v>
      </c>
      <c r="L393" s="976" t="s">
        <v>996</v>
      </c>
      <c r="M393" s="976" t="s">
        <v>2000</v>
      </c>
      <c r="N393" s="976" t="s">
        <v>2001</v>
      </c>
      <c r="O393" s="975" t="s">
        <v>1971</v>
      </c>
      <c r="P393" s="976" t="s">
        <v>999</v>
      </c>
      <c r="Q393" s="976" t="s">
        <v>1000</v>
      </c>
      <c r="R393" s="976" t="s">
        <v>1001</v>
      </c>
      <c r="S393" s="976" t="s">
        <v>1002</v>
      </c>
      <c r="T393" s="423">
        <v>500</v>
      </c>
      <c r="U393" s="423" t="s">
        <v>1041</v>
      </c>
      <c r="V393" s="423">
        <v>30</v>
      </c>
      <c r="W393" s="423">
        <v>0.6</v>
      </c>
      <c r="X393" s="423">
        <v>8</v>
      </c>
      <c r="Y393" s="423" t="s">
        <v>1041</v>
      </c>
      <c r="Z393" s="423" t="s">
        <v>1057</v>
      </c>
      <c r="AD393" s="423">
        <f>IF(ISNUMBER(MATCH(B393,'FICHA SOLIC'!$AB$26:$AB$376,0)),1,0)</f>
        <v>1</v>
      </c>
      <c r="AE393" s="423" t="str">
        <f t="shared" si="6"/>
        <v>ConcónZRAN</v>
      </c>
    </row>
    <row r="394" spans="1:31" x14ac:dyDescent="0.25">
      <c r="A394" s="423">
        <v>393</v>
      </c>
      <c r="B394" s="423" t="s">
        <v>147</v>
      </c>
      <c r="C394" s="423" t="s">
        <v>2219</v>
      </c>
      <c r="D394" s="975" t="s">
        <v>990</v>
      </c>
      <c r="E394" s="976" t="s">
        <v>991</v>
      </c>
      <c r="F394" s="976" t="s">
        <v>992</v>
      </c>
      <c r="G394" s="976" t="s">
        <v>1997</v>
      </c>
      <c r="H394" s="976" t="s">
        <v>1998</v>
      </c>
      <c r="I394" s="976" t="s">
        <v>1999</v>
      </c>
      <c r="J394" s="975" t="s">
        <v>697</v>
      </c>
      <c r="K394" s="976" t="s">
        <v>995</v>
      </c>
      <c r="L394" s="976" t="s">
        <v>996</v>
      </c>
      <c r="M394" s="976" t="s">
        <v>2000</v>
      </c>
      <c r="N394" s="976" t="s">
        <v>2001</v>
      </c>
      <c r="O394" s="975" t="s">
        <v>1971</v>
      </c>
      <c r="P394" s="976" t="s">
        <v>999</v>
      </c>
      <c r="Q394" s="976" t="s">
        <v>1000</v>
      </c>
      <c r="R394" s="976" t="s">
        <v>1001</v>
      </c>
      <c r="S394" s="976" t="s">
        <v>1002</v>
      </c>
      <c r="T394" s="423">
        <v>350</v>
      </c>
      <c r="U394" s="423" t="s">
        <v>1041</v>
      </c>
      <c r="V394" s="423">
        <v>40</v>
      </c>
      <c r="W394" s="423">
        <v>1.6</v>
      </c>
      <c r="X394" s="423" t="s">
        <v>1041</v>
      </c>
      <c r="Y394" s="423" t="s">
        <v>1041</v>
      </c>
      <c r="Z394" s="423" t="s">
        <v>1057</v>
      </c>
      <c r="AD394" s="423">
        <f>IF(ISNUMBER(MATCH(B394,'FICHA SOLIC'!$AB$26:$AB$376,0)),1,0)</f>
        <v>1</v>
      </c>
      <c r="AE394" s="423" t="str">
        <f t="shared" si="6"/>
        <v>ConcónZRAS</v>
      </c>
    </row>
    <row r="395" spans="1:31" x14ac:dyDescent="0.25">
      <c r="A395" s="423">
        <v>394</v>
      </c>
      <c r="B395" s="423" t="s">
        <v>147</v>
      </c>
      <c r="C395" s="423" t="s">
        <v>2220</v>
      </c>
      <c r="D395" s="975" t="s">
        <v>990</v>
      </c>
      <c r="E395" s="976" t="s">
        <v>991</v>
      </c>
      <c r="F395" s="976" t="s">
        <v>992</v>
      </c>
      <c r="G395" s="976" t="s">
        <v>1997</v>
      </c>
      <c r="H395" s="976" t="s">
        <v>1998</v>
      </c>
      <c r="I395" s="976" t="s">
        <v>1999</v>
      </c>
      <c r="J395" s="975" t="s">
        <v>697</v>
      </c>
      <c r="K395" s="976" t="s">
        <v>995</v>
      </c>
      <c r="L395" s="976" t="s">
        <v>996</v>
      </c>
      <c r="M395" s="976" t="s">
        <v>2000</v>
      </c>
      <c r="N395" s="976" t="s">
        <v>2001</v>
      </c>
      <c r="O395" s="975" t="s">
        <v>1971</v>
      </c>
      <c r="P395" s="976" t="s">
        <v>999</v>
      </c>
      <c r="Q395" s="976" t="s">
        <v>1000</v>
      </c>
      <c r="R395" s="976" t="s">
        <v>1001</v>
      </c>
      <c r="S395" s="976" t="s">
        <v>1002</v>
      </c>
      <c r="T395" s="423">
        <v>800</v>
      </c>
      <c r="U395" s="423" t="s">
        <v>1041</v>
      </c>
      <c r="V395" s="423">
        <v>40</v>
      </c>
      <c r="W395" s="423">
        <v>0.6</v>
      </c>
      <c r="X395" s="423">
        <v>7</v>
      </c>
      <c r="Y395" s="423" t="s">
        <v>1041</v>
      </c>
      <c r="Z395" s="423" t="s">
        <v>1058</v>
      </c>
      <c r="AD395" s="423">
        <f>IF(ISNUMBER(MATCH(B395,'FICHA SOLIC'!$AB$26:$AB$376,0)),1,0)</f>
        <v>1</v>
      </c>
      <c r="AE395" s="423" t="str">
        <f t="shared" si="6"/>
        <v>ConcónZRDB</v>
      </c>
    </row>
    <row r="396" spans="1:31" x14ac:dyDescent="0.25">
      <c r="A396" s="423">
        <v>395</v>
      </c>
      <c r="B396" s="423" t="s">
        <v>147</v>
      </c>
      <c r="C396" s="423" t="s">
        <v>2221</v>
      </c>
      <c r="D396" s="975" t="s">
        <v>990</v>
      </c>
      <c r="E396" s="976" t="s">
        <v>991</v>
      </c>
      <c r="F396" s="976" t="s">
        <v>992</v>
      </c>
      <c r="G396" s="976" t="s">
        <v>1997</v>
      </c>
      <c r="H396" s="976" t="s">
        <v>1998</v>
      </c>
      <c r="I396" s="976" t="s">
        <v>1999</v>
      </c>
      <c r="J396" s="975" t="s">
        <v>697</v>
      </c>
      <c r="K396" s="976" t="s">
        <v>995</v>
      </c>
      <c r="L396" s="976" t="s">
        <v>996</v>
      </c>
      <c r="M396" s="976" t="s">
        <v>2000</v>
      </c>
      <c r="N396" s="976" t="s">
        <v>2001</v>
      </c>
      <c r="O396" s="975" t="s">
        <v>1971</v>
      </c>
      <c r="P396" s="976" t="s">
        <v>999</v>
      </c>
      <c r="Q396" s="976" t="s">
        <v>1000</v>
      </c>
      <c r="R396" s="976" t="s">
        <v>1001</v>
      </c>
      <c r="S396" s="976" t="s">
        <v>1002</v>
      </c>
      <c r="T396" s="423">
        <v>400</v>
      </c>
      <c r="U396" s="423" t="s">
        <v>1041</v>
      </c>
      <c r="V396" s="423">
        <v>60</v>
      </c>
      <c r="W396" s="423">
        <v>0.8</v>
      </c>
      <c r="X396" s="423">
        <v>7</v>
      </c>
      <c r="Y396" s="423" t="s">
        <v>1041</v>
      </c>
      <c r="Z396" s="423" t="s">
        <v>1057</v>
      </c>
      <c r="AD396" s="423">
        <f>IF(ISNUMBER(MATCH(B396,'FICHA SOLIC'!$AB$26:$AB$376,0)),1,0)</f>
        <v>1</v>
      </c>
      <c r="AE396" s="423" t="str">
        <f t="shared" si="6"/>
        <v>ConcónZRM-1</v>
      </c>
    </row>
    <row r="397" spans="1:31" x14ac:dyDescent="0.25">
      <c r="A397" s="423">
        <v>396</v>
      </c>
      <c r="B397" s="423" t="s">
        <v>147</v>
      </c>
      <c r="C397" s="423" t="s">
        <v>2222</v>
      </c>
      <c r="D397" s="975" t="s">
        <v>990</v>
      </c>
      <c r="E397" s="976" t="s">
        <v>991</v>
      </c>
      <c r="F397" s="976" t="s">
        <v>992</v>
      </c>
      <c r="G397" s="976" t="s">
        <v>1997</v>
      </c>
      <c r="H397" s="976" t="s">
        <v>1998</v>
      </c>
      <c r="I397" s="976" t="s">
        <v>1999</v>
      </c>
      <c r="J397" s="975" t="s">
        <v>697</v>
      </c>
      <c r="K397" s="976" t="s">
        <v>995</v>
      </c>
      <c r="L397" s="976" t="s">
        <v>996</v>
      </c>
      <c r="M397" s="976" t="s">
        <v>2000</v>
      </c>
      <c r="N397" s="976" t="s">
        <v>2001</v>
      </c>
      <c r="O397" s="975" t="s">
        <v>1971</v>
      </c>
      <c r="P397" s="976" t="s">
        <v>999</v>
      </c>
      <c r="Q397" s="976" t="s">
        <v>1000</v>
      </c>
      <c r="R397" s="976" t="s">
        <v>1001</v>
      </c>
      <c r="S397" s="976" t="s">
        <v>1002</v>
      </c>
      <c r="T397" s="423">
        <v>320</v>
      </c>
      <c r="U397" s="423" t="s">
        <v>1041</v>
      </c>
      <c r="V397" s="423">
        <v>60</v>
      </c>
      <c r="W397" s="423">
        <v>1.2</v>
      </c>
      <c r="X397" s="423">
        <v>7</v>
      </c>
      <c r="Y397" s="423" t="s">
        <v>1041</v>
      </c>
      <c r="Z397" s="423" t="s">
        <v>1057</v>
      </c>
      <c r="AD397" s="423">
        <f>IF(ISNUMBER(MATCH(B397,'FICHA SOLIC'!$AB$26:$AB$376,0)),1,0)</f>
        <v>1</v>
      </c>
      <c r="AE397" s="423" t="str">
        <f t="shared" si="6"/>
        <v>ConcónZRM2</v>
      </c>
    </row>
    <row r="398" spans="1:31" x14ac:dyDescent="0.25">
      <c r="A398" s="423">
        <v>397</v>
      </c>
      <c r="B398" s="423" t="s">
        <v>147</v>
      </c>
      <c r="C398" s="423" t="s">
        <v>2223</v>
      </c>
      <c r="D398" s="975" t="s">
        <v>990</v>
      </c>
      <c r="E398" s="976" t="s">
        <v>991</v>
      </c>
      <c r="F398" s="976" t="s">
        <v>992</v>
      </c>
      <c r="G398" s="976" t="s">
        <v>1997</v>
      </c>
      <c r="H398" s="976" t="s">
        <v>1998</v>
      </c>
      <c r="I398" s="976" t="s">
        <v>1999</v>
      </c>
      <c r="J398" s="975" t="s">
        <v>697</v>
      </c>
      <c r="K398" s="976" t="s">
        <v>995</v>
      </c>
      <c r="L398" s="976" t="s">
        <v>996</v>
      </c>
      <c r="M398" s="976" t="s">
        <v>2000</v>
      </c>
      <c r="N398" s="976" t="s">
        <v>2001</v>
      </c>
      <c r="O398" s="975" t="s">
        <v>1971</v>
      </c>
      <c r="P398" s="976" t="s">
        <v>999</v>
      </c>
      <c r="Q398" s="976" t="s">
        <v>1000</v>
      </c>
      <c r="R398" s="976" t="s">
        <v>1001</v>
      </c>
      <c r="S398" s="976" t="s">
        <v>1002</v>
      </c>
      <c r="T398" s="423">
        <v>200</v>
      </c>
      <c r="U398" s="423" t="s">
        <v>1041</v>
      </c>
      <c r="V398" s="423">
        <v>70</v>
      </c>
      <c r="W398" s="423">
        <v>1.4</v>
      </c>
      <c r="X398" s="423">
        <v>9</v>
      </c>
      <c r="Y398" s="423" t="s">
        <v>1041</v>
      </c>
      <c r="Z398" s="423" t="s">
        <v>1057</v>
      </c>
      <c r="AD398" s="423">
        <f>IF(ISNUMBER(MATCH(B398,'FICHA SOLIC'!$AB$26:$AB$376,0)),1,0)</f>
        <v>1</v>
      </c>
      <c r="AE398" s="423" t="str">
        <f t="shared" si="6"/>
        <v>ConcónZRM3</v>
      </c>
    </row>
    <row r="399" spans="1:31" x14ac:dyDescent="0.25">
      <c r="A399" s="423">
        <v>398</v>
      </c>
      <c r="B399" s="423" t="s">
        <v>147</v>
      </c>
      <c r="C399" s="423" t="s">
        <v>2224</v>
      </c>
      <c r="D399" s="975" t="s">
        <v>990</v>
      </c>
      <c r="E399" s="976" t="s">
        <v>991</v>
      </c>
      <c r="F399" s="976" t="s">
        <v>992</v>
      </c>
      <c r="G399" s="976" t="s">
        <v>1997</v>
      </c>
      <c r="H399" s="976" t="s">
        <v>1998</v>
      </c>
      <c r="I399" s="976" t="s">
        <v>1999</v>
      </c>
      <c r="J399" s="975" t="s">
        <v>697</v>
      </c>
      <c r="K399" s="976" t="s">
        <v>995</v>
      </c>
      <c r="L399" s="976" t="s">
        <v>996</v>
      </c>
      <c r="M399" s="976" t="s">
        <v>2000</v>
      </c>
      <c r="N399" s="976" t="s">
        <v>2001</v>
      </c>
      <c r="O399" s="975" t="s">
        <v>1971</v>
      </c>
      <c r="P399" s="976" t="s">
        <v>999</v>
      </c>
      <c r="Q399" s="976" t="s">
        <v>1000</v>
      </c>
      <c r="R399" s="976" t="s">
        <v>1001</v>
      </c>
      <c r="S399" s="976" t="s">
        <v>1002</v>
      </c>
      <c r="T399" s="423">
        <v>300</v>
      </c>
      <c r="U399" s="423" t="s">
        <v>1041</v>
      </c>
      <c r="V399" s="423">
        <v>40</v>
      </c>
      <c r="W399" s="423">
        <v>0.8</v>
      </c>
      <c r="X399" s="423">
        <v>8</v>
      </c>
      <c r="Y399" s="423" t="s">
        <v>1041</v>
      </c>
      <c r="Z399" s="423" t="s">
        <v>1058</v>
      </c>
      <c r="AD399" s="423">
        <f>IF(ISNUMBER(MATCH(B399,'FICHA SOLIC'!$AB$26:$AB$376,0)),1,0)</f>
        <v>1</v>
      </c>
      <c r="AE399" s="423" t="str">
        <f t="shared" si="6"/>
        <v>ConcónZRP</v>
      </c>
    </row>
    <row r="400" spans="1:31" x14ac:dyDescent="0.25">
      <c r="A400" s="423">
        <v>399</v>
      </c>
      <c r="B400" s="423" t="s">
        <v>147</v>
      </c>
      <c r="C400" s="423" t="s">
        <v>2225</v>
      </c>
      <c r="D400" s="975" t="s">
        <v>990</v>
      </c>
      <c r="E400" s="976" t="s">
        <v>991</v>
      </c>
      <c r="F400" s="976" t="s">
        <v>992</v>
      </c>
      <c r="G400" s="976" t="s">
        <v>1997</v>
      </c>
      <c r="H400" s="976" t="s">
        <v>1998</v>
      </c>
      <c r="I400" s="976" t="s">
        <v>1999</v>
      </c>
      <c r="J400" s="975" t="s">
        <v>697</v>
      </c>
      <c r="K400" s="976" t="s">
        <v>995</v>
      </c>
      <c r="L400" s="976" t="s">
        <v>996</v>
      </c>
      <c r="M400" s="976" t="s">
        <v>2000</v>
      </c>
      <c r="N400" s="976" t="s">
        <v>2001</v>
      </c>
      <c r="O400" s="975" t="s">
        <v>1971</v>
      </c>
      <c r="P400" s="976" t="s">
        <v>999</v>
      </c>
      <c r="Q400" s="976" t="s">
        <v>1000</v>
      </c>
      <c r="R400" s="976" t="s">
        <v>1001</v>
      </c>
      <c r="S400" s="976" t="s">
        <v>1002</v>
      </c>
      <c r="T400" s="423">
        <v>180</v>
      </c>
      <c r="U400" s="423" t="s">
        <v>1041</v>
      </c>
      <c r="V400" s="423">
        <v>80</v>
      </c>
      <c r="W400" s="423">
        <v>1.6</v>
      </c>
      <c r="X400" s="423">
        <v>10.5</v>
      </c>
      <c r="Y400" s="423" t="s">
        <v>1041</v>
      </c>
      <c r="Z400" s="423" t="s">
        <v>1059</v>
      </c>
      <c r="AD400" s="423">
        <f>IF(ISNUMBER(MATCH(B400,'FICHA SOLIC'!$AB$26:$AB$376,0)),1,0)</f>
        <v>1</v>
      </c>
      <c r="AE400" s="423" t="str">
        <f t="shared" si="6"/>
        <v>ConcónZRTL</v>
      </c>
    </row>
    <row r="401" spans="1:31" x14ac:dyDescent="0.25">
      <c r="A401" s="423">
        <v>400</v>
      </c>
      <c r="B401" s="423" t="s">
        <v>147</v>
      </c>
      <c r="C401" s="423" t="s">
        <v>2226</v>
      </c>
      <c r="D401" s="975" t="s">
        <v>990</v>
      </c>
      <c r="E401" s="976" t="s">
        <v>991</v>
      </c>
      <c r="F401" s="976" t="s">
        <v>992</v>
      </c>
      <c r="G401" s="976" t="s">
        <v>1997</v>
      </c>
      <c r="H401" s="976" t="s">
        <v>1998</v>
      </c>
      <c r="I401" s="976" t="s">
        <v>1999</v>
      </c>
      <c r="J401" s="975" t="s">
        <v>697</v>
      </c>
      <c r="K401" s="976" t="s">
        <v>995</v>
      </c>
      <c r="L401" s="976" t="s">
        <v>996</v>
      </c>
      <c r="M401" s="976" t="s">
        <v>2000</v>
      </c>
      <c r="N401" s="976" t="s">
        <v>2001</v>
      </c>
      <c r="O401" s="975" t="s">
        <v>1971</v>
      </c>
      <c r="P401" s="976" t="s">
        <v>999</v>
      </c>
      <c r="Q401" s="976" t="s">
        <v>1000</v>
      </c>
      <c r="R401" s="976" t="s">
        <v>1001</v>
      </c>
      <c r="S401" s="976" t="s">
        <v>1002</v>
      </c>
      <c r="T401" s="423">
        <v>1000</v>
      </c>
      <c r="U401" s="423" t="s">
        <v>1041</v>
      </c>
      <c r="V401" s="423">
        <v>80</v>
      </c>
      <c r="W401" s="423">
        <v>4.5</v>
      </c>
      <c r="X401" s="423">
        <v>35</v>
      </c>
      <c r="Y401" s="423" t="s">
        <v>1041</v>
      </c>
      <c r="Z401" s="423" t="s">
        <v>1058</v>
      </c>
      <c r="AD401" s="423">
        <f>IF(ISNUMBER(MATCH(B401,'FICHA SOLIC'!$AB$26:$AB$376,0)),1,0)</f>
        <v>1</v>
      </c>
      <c r="AE401" s="423" t="str">
        <f t="shared" si="6"/>
        <v>ConcónZSR</v>
      </c>
    </row>
    <row r="402" spans="1:31" x14ac:dyDescent="0.25">
      <c r="A402" s="423">
        <v>401</v>
      </c>
      <c r="B402" s="423" t="s">
        <v>147</v>
      </c>
      <c r="C402" s="423" t="s">
        <v>2227</v>
      </c>
      <c r="D402" s="975" t="s">
        <v>990</v>
      </c>
      <c r="E402" s="976" t="s">
        <v>991</v>
      </c>
      <c r="F402" s="976" t="s">
        <v>992</v>
      </c>
      <c r="G402" s="976" t="s">
        <v>1997</v>
      </c>
      <c r="H402" s="976" t="s">
        <v>1998</v>
      </c>
      <c r="I402" s="976" t="s">
        <v>1999</v>
      </c>
      <c r="J402" s="975" t="s">
        <v>697</v>
      </c>
      <c r="K402" s="976" t="s">
        <v>995</v>
      </c>
      <c r="L402" s="976" t="s">
        <v>996</v>
      </c>
      <c r="M402" s="976" t="s">
        <v>2000</v>
      </c>
      <c r="N402" s="976" t="s">
        <v>2001</v>
      </c>
      <c r="O402" s="975" t="s">
        <v>1971</v>
      </c>
      <c r="P402" s="976" t="s">
        <v>999</v>
      </c>
      <c r="Q402" s="976" t="s">
        <v>1000</v>
      </c>
      <c r="R402" s="976" t="s">
        <v>1001</v>
      </c>
      <c r="S402" s="976" t="s">
        <v>1002</v>
      </c>
      <c r="T402" s="423">
        <v>560</v>
      </c>
      <c r="U402" s="423" t="s">
        <v>1041</v>
      </c>
      <c r="V402" s="423">
        <v>70</v>
      </c>
      <c r="W402" s="423">
        <v>1.5</v>
      </c>
      <c r="X402" s="423">
        <v>8</v>
      </c>
      <c r="Y402" s="423" t="s">
        <v>1041</v>
      </c>
      <c r="Z402" s="423" t="s">
        <v>1057</v>
      </c>
      <c r="AD402" s="423">
        <f>IF(ISNUMBER(MATCH(B402,'FICHA SOLIC'!$AB$26:$AB$376,0)),1,0)</f>
        <v>1</v>
      </c>
      <c r="AE402" s="423" t="str">
        <f t="shared" si="6"/>
        <v>ConcónZTC</v>
      </c>
    </row>
    <row r="403" spans="1:31" x14ac:dyDescent="0.25">
      <c r="A403" s="423">
        <v>402</v>
      </c>
      <c r="B403" s="423" t="s">
        <v>147</v>
      </c>
      <c r="C403" s="423" t="s">
        <v>2228</v>
      </c>
      <c r="D403" s="975" t="s">
        <v>990</v>
      </c>
      <c r="E403" s="976" t="s">
        <v>991</v>
      </c>
      <c r="F403" s="976" t="s">
        <v>992</v>
      </c>
      <c r="G403" s="976" t="s">
        <v>1997</v>
      </c>
      <c r="H403" s="976" t="s">
        <v>1998</v>
      </c>
      <c r="I403" s="976" t="s">
        <v>1999</v>
      </c>
      <c r="J403" s="975" t="s">
        <v>697</v>
      </c>
      <c r="K403" s="976" t="s">
        <v>995</v>
      </c>
      <c r="L403" s="976" t="s">
        <v>996</v>
      </c>
      <c r="M403" s="976" t="s">
        <v>2000</v>
      </c>
      <c r="N403" s="976" t="s">
        <v>2001</v>
      </c>
      <c r="O403" s="975" t="s">
        <v>1971</v>
      </c>
      <c r="P403" s="976" t="s">
        <v>999</v>
      </c>
      <c r="Q403" s="976" t="s">
        <v>1000</v>
      </c>
      <c r="R403" s="976" t="s">
        <v>1001</v>
      </c>
      <c r="S403" s="976" t="s">
        <v>1002</v>
      </c>
      <c r="T403" s="423">
        <v>1200</v>
      </c>
      <c r="U403" s="423" t="s">
        <v>1041</v>
      </c>
      <c r="V403" s="423">
        <v>50</v>
      </c>
      <c r="W403" s="423">
        <v>1</v>
      </c>
      <c r="X403" s="423">
        <v>8</v>
      </c>
      <c r="Y403" s="423" t="s">
        <v>1041</v>
      </c>
      <c r="Z403" s="423" t="s">
        <v>1057</v>
      </c>
      <c r="AD403" s="423">
        <f>IF(ISNUMBER(MATCH(B403,'FICHA SOLIC'!$AB$26:$AB$376,0)),1,0)</f>
        <v>1</v>
      </c>
      <c r="AE403" s="423" t="str">
        <f t="shared" si="6"/>
        <v>ConcónZTR</v>
      </c>
    </row>
    <row r="404" spans="1:31" x14ac:dyDescent="0.25">
      <c r="A404" s="423">
        <v>403</v>
      </c>
      <c r="B404" s="423" t="s">
        <v>147</v>
      </c>
      <c r="C404" s="423" t="s">
        <v>2229</v>
      </c>
      <c r="D404" s="975" t="s">
        <v>990</v>
      </c>
      <c r="E404" s="976" t="s">
        <v>991</v>
      </c>
      <c r="F404" s="976" t="s">
        <v>992</v>
      </c>
      <c r="G404" s="976" t="s">
        <v>1997</v>
      </c>
      <c r="H404" s="976" t="s">
        <v>1998</v>
      </c>
      <c r="I404" s="976" t="s">
        <v>1999</v>
      </c>
      <c r="J404" s="975" t="s">
        <v>697</v>
      </c>
      <c r="K404" s="976" t="s">
        <v>995</v>
      </c>
      <c r="L404" s="976" t="s">
        <v>996</v>
      </c>
      <c r="M404" s="976" t="s">
        <v>2000</v>
      </c>
      <c r="N404" s="976" t="s">
        <v>2001</v>
      </c>
      <c r="O404" s="975" t="s">
        <v>1971</v>
      </c>
      <c r="P404" s="976" t="s">
        <v>999</v>
      </c>
      <c r="Q404" s="976" t="s">
        <v>1000</v>
      </c>
      <c r="R404" s="976" t="s">
        <v>1001</v>
      </c>
      <c r="S404" s="976" t="s">
        <v>1002</v>
      </c>
      <c r="T404" s="423">
        <v>1000</v>
      </c>
      <c r="U404" s="423" t="s">
        <v>1041</v>
      </c>
      <c r="V404" s="423">
        <v>30</v>
      </c>
      <c r="W404" s="423">
        <v>1.2</v>
      </c>
      <c r="X404" s="423">
        <v>14</v>
      </c>
      <c r="Y404" s="423" t="s">
        <v>1041</v>
      </c>
      <c r="Z404" s="423" t="s">
        <v>1058</v>
      </c>
      <c r="AD404" s="423">
        <f>IF(ISNUMBER(MATCH(B404,'FICHA SOLIC'!$AB$26:$AB$376,0)),1,0)</f>
        <v>1</v>
      </c>
      <c r="AE404" s="423" t="str">
        <f t="shared" si="6"/>
        <v>ConcónZTRS</v>
      </c>
    </row>
    <row r="405" spans="1:31" x14ac:dyDescent="0.25">
      <c r="A405" s="423">
        <v>404</v>
      </c>
      <c r="B405" s="423" t="s">
        <v>147</v>
      </c>
      <c r="C405" s="423" t="s">
        <v>2230</v>
      </c>
      <c r="D405" s="975" t="s">
        <v>990</v>
      </c>
      <c r="E405" s="976" t="s">
        <v>991</v>
      </c>
      <c r="F405" s="976" t="s">
        <v>992</v>
      </c>
      <c r="G405" s="976" t="s">
        <v>1997</v>
      </c>
      <c r="H405" s="976" t="s">
        <v>1998</v>
      </c>
      <c r="I405" s="976" t="s">
        <v>1999</v>
      </c>
      <c r="J405" s="975" t="s">
        <v>697</v>
      </c>
      <c r="K405" s="976" t="s">
        <v>995</v>
      </c>
      <c r="L405" s="976" t="s">
        <v>996</v>
      </c>
      <c r="M405" s="976" t="s">
        <v>2000</v>
      </c>
      <c r="N405" s="976" t="s">
        <v>2001</v>
      </c>
      <c r="O405" s="975" t="s">
        <v>1971</v>
      </c>
      <c r="P405" s="976" t="s">
        <v>999</v>
      </c>
      <c r="Q405" s="976" t="s">
        <v>1000</v>
      </c>
      <c r="R405" s="976" t="s">
        <v>1001</v>
      </c>
      <c r="S405" s="976" t="s">
        <v>1002</v>
      </c>
      <c r="T405" s="423">
        <v>500</v>
      </c>
      <c r="U405" s="423" t="s">
        <v>1041</v>
      </c>
      <c r="V405" s="423">
        <v>30</v>
      </c>
      <c r="W405" s="423">
        <v>1</v>
      </c>
      <c r="X405" s="423">
        <v>14</v>
      </c>
      <c r="Y405" s="423" t="s">
        <v>1041</v>
      </c>
      <c r="Z405" s="423" t="s">
        <v>1058</v>
      </c>
      <c r="AD405" s="423">
        <f>IF(ISNUMBER(MATCH(B405,'FICHA SOLIC'!$AB$26:$AB$376,0)),1,0)</f>
        <v>1</v>
      </c>
      <c r="AE405" s="423" t="str">
        <f t="shared" si="6"/>
        <v>ConcónZVCM-H5</v>
      </c>
    </row>
    <row r="406" spans="1:31" x14ac:dyDescent="0.25">
      <c r="A406" s="423">
        <v>405</v>
      </c>
      <c r="B406" s="423" t="s">
        <v>147</v>
      </c>
      <c r="C406" s="423" t="s">
        <v>2231</v>
      </c>
      <c r="D406" s="975" t="s">
        <v>990</v>
      </c>
      <c r="E406" s="976" t="s">
        <v>991</v>
      </c>
      <c r="F406" s="976" t="s">
        <v>992</v>
      </c>
      <c r="G406" s="976" t="s">
        <v>1997</v>
      </c>
      <c r="H406" s="976" t="s">
        <v>1998</v>
      </c>
      <c r="I406" s="976" t="s">
        <v>1999</v>
      </c>
      <c r="J406" s="975" t="s">
        <v>697</v>
      </c>
      <c r="K406" s="976" t="s">
        <v>995</v>
      </c>
      <c r="L406" s="976" t="s">
        <v>996</v>
      </c>
      <c r="M406" s="976" t="s">
        <v>2000</v>
      </c>
      <c r="N406" s="976" t="s">
        <v>2001</v>
      </c>
      <c r="O406" s="975" t="s">
        <v>1971</v>
      </c>
      <c r="P406" s="976" t="s">
        <v>999</v>
      </c>
      <c r="Q406" s="976" t="s">
        <v>1000</v>
      </c>
      <c r="R406" s="976" t="s">
        <v>1001</v>
      </c>
      <c r="S406" s="976" t="s">
        <v>1002</v>
      </c>
      <c r="T406" s="423">
        <v>1000</v>
      </c>
      <c r="U406" s="423" t="s">
        <v>1041</v>
      </c>
      <c r="V406" s="423">
        <v>30</v>
      </c>
      <c r="W406" s="423">
        <v>2</v>
      </c>
      <c r="X406" s="423">
        <v>55</v>
      </c>
      <c r="Y406" s="423" t="s">
        <v>1041</v>
      </c>
      <c r="Z406" s="423" t="s">
        <v>1058</v>
      </c>
      <c r="AD406" s="423">
        <f>IF(ISNUMBER(MATCH(B406,'FICHA SOLIC'!$AB$26:$AB$376,0)),1,0)</f>
        <v>1</v>
      </c>
      <c r="AE406" s="423" t="str">
        <f t="shared" si="6"/>
        <v>ConcónZVCM-H7</v>
      </c>
    </row>
    <row r="407" spans="1:31" x14ac:dyDescent="0.25">
      <c r="A407" s="423">
        <v>406</v>
      </c>
      <c r="B407" s="423" t="s">
        <v>147</v>
      </c>
      <c r="C407" s="423" t="s">
        <v>2232</v>
      </c>
      <c r="D407" s="975" t="s">
        <v>990</v>
      </c>
      <c r="E407" s="976" t="s">
        <v>991</v>
      </c>
      <c r="F407" s="976" t="s">
        <v>992</v>
      </c>
      <c r="G407" s="976" t="s">
        <v>1997</v>
      </c>
      <c r="H407" s="976" t="s">
        <v>1998</v>
      </c>
      <c r="I407" s="976" t="s">
        <v>1999</v>
      </c>
      <c r="J407" s="975" t="s">
        <v>697</v>
      </c>
      <c r="K407" s="976" t="s">
        <v>995</v>
      </c>
      <c r="L407" s="976" t="s">
        <v>996</v>
      </c>
      <c r="M407" s="976" t="s">
        <v>2000</v>
      </c>
      <c r="N407" s="976" t="s">
        <v>2001</v>
      </c>
      <c r="O407" s="975" t="s">
        <v>1971</v>
      </c>
      <c r="P407" s="976" t="s">
        <v>999</v>
      </c>
      <c r="Q407" s="976" t="s">
        <v>1000</v>
      </c>
      <c r="R407" s="976" t="s">
        <v>1001</v>
      </c>
      <c r="S407" s="976" t="s">
        <v>1002</v>
      </c>
      <c r="T407" s="423">
        <v>300</v>
      </c>
      <c r="U407" s="423" t="s">
        <v>1041</v>
      </c>
      <c r="V407" s="423">
        <v>50</v>
      </c>
      <c r="W407" s="423">
        <v>1.4</v>
      </c>
      <c r="X407" s="423">
        <v>15</v>
      </c>
      <c r="Y407" s="423" t="s">
        <v>1041</v>
      </c>
      <c r="Z407" s="423" t="s">
        <v>1057</v>
      </c>
      <c r="AD407" s="423">
        <f>IF(ISNUMBER(MATCH(B407,'FICHA SOLIC'!$AB$26:$AB$376,0)),1,0)</f>
        <v>1</v>
      </c>
      <c r="AE407" s="423" t="str">
        <f t="shared" si="6"/>
        <v>ConcónZVLM-1</v>
      </c>
    </row>
    <row r="408" spans="1:31" x14ac:dyDescent="0.25">
      <c r="A408" s="423">
        <v>407</v>
      </c>
      <c r="B408" s="423" t="s">
        <v>147</v>
      </c>
      <c r="C408" s="423" t="s">
        <v>2233</v>
      </c>
      <c r="D408" s="975" t="s">
        <v>990</v>
      </c>
      <c r="E408" s="976" t="s">
        <v>991</v>
      </c>
      <c r="F408" s="976" t="s">
        <v>992</v>
      </c>
      <c r="G408" s="976" t="s">
        <v>1997</v>
      </c>
      <c r="H408" s="976" t="s">
        <v>1998</v>
      </c>
      <c r="I408" s="976" t="s">
        <v>1999</v>
      </c>
      <c r="J408" s="975" t="s">
        <v>697</v>
      </c>
      <c r="K408" s="976" t="s">
        <v>995</v>
      </c>
      <c r="L408" s="976" t="s">
        <v>996</v>
      </c>
      <c r="M408" s="976" t="s">
        <v>2000</v>
      </c>
      <c r="N408" s="976" t="s">
        <v>2001</v>
      </c>
      <c r="O408" s="975" t="s">
        <v>1971</v>
      </c>
      <c r="P408" s="976" t="s">
        <v>999</v>
      </c>
      <c r="Q408" s="976" t="s">
        <v>1000</v>
      </c>
      <c r="R408" s="976" t="s">
        <v>1001</v>
      </c>
      <c r="S408" s="976" t="s">
        <v>1002</v>
      </c>
      <c r="T408" s="423">
        <v>300</v>
      </c>
      <c r="U408" s="423" t="s">
        <v>1041</v>
      </c>
      <c r="V408" s="423">
        <v>60</v>
      </c>
      <c r="W408" s="423">
        <v>2</v>
      </c>
      <c r="X408" s="423">
        <v>14</v>
      </c>
      <c r="Y408" s="423" t="s">
        <v>1041</v>
      </c>
      <c r="Z408" s="423" t="s">
        <v>1057</v>
      </c>
      <c r="AD408" s="423">
        <f>IF(ISNUMBER(MATCH(B408,'FICHA SOLIC'!$AB$26:$AB$376,0)),1,0)</f>
        <v>1</v>
      </c>
      <c r="AE408" s="423" t="str">
        <f t="shared" si="6"/>
        <v>ConcónZVLM-2</v>
      </c>
    </row>
    <row r="409" spans="1:31" x14ac:dyDescent="0.25">
      <c r="A409" s="423">
        <v>408</v>
      </c>
      <c r="B409" s="423" t="s">
        <v>112</v>
      </c>
      <c r="C409" s="423" t="s">
        <v>2234</v>
      </c>
      <c r="D409" s="975" t="s">
        <v>990</v>
      </c>
      <c r="E409" s="976" t="s">
        <v>991</v>
      </c>
      <c r="F409" s="976" t="s">
        <v>992</v>
      </c>
      <c r="G409" s="976" t="s">
        <v>1997</v>
      </c>
      <c r="H409" s="976" t="s">
        <v>1998</v>
      </c>
      <c r="I409" s="976" t="s">
        <v>1999</v>
      </c>
      <c r="J409" s="975" t="s">
        <v>697</v>
      </c>
      <c r="K409" s="976" t="s">
        <v>995</v>
      </c>
      <c r="L409" s="976" t="s">
        <v>996</v>
      </c>
      <c r="M409" s="976" t="s">
        <v>2000</v>
      </c>
      <c r="N409" s="976" t="s">
        <v>2001</v>
      </c>
      <c r="O409" s="975" t="s">
        <v>1971</v>
      </c>
      <c r="P409" s="976" t="s">
        <v>999</v>
      </c>
      <c r="Q409" s="976" t="s">
        <v>1000</v>
      </c>
      <c r="R409" s="976" t="s">
        <v>1001</v>
      </c>
      <c r="S409" s="976" t="s">
        <v>1002</v>
      </c>
      <c r="T409" s="423">
        <v>200</v>
      </c>
      <c r="U409" s="423" t="s">
        <v>1041</v>
      </c>
      <c r="V409" s="423">
        <v>80</v>
      </c>
      <c r="W409" s="423">
        <v>0.8</v>
      </c>
      <c r="X409" s="423">
        <v>7</v>
      </c>
      <c r="Y409" s="423" t="s">
        <v>1041</v>
      </c>
      <c r="Z409" s="423" t="s">
        <v>1058</v>
      </c>
      <c r="AD409" s="423">
        <f>IF(ISNUMBER(MATCH(B409,'FICHA SOLIC'!$AB$26:$AB$376,0)),1,0)</f>
        <v>1</v>
      </c>
      <c r="AE409" s="423" t="str">
        <f t="shared" si="6"/>
        <v>CopiapóZIDP-1</v>
      </c>
    </row>
    <row r="410" spans="1:31" x14ac:dyDescent="0.25">
      <c r="A410" s="423">
        <v>409</v>
      </c>
      <c r="B410" s="423" t="s">
        <v>112</v>
      </c>
      <c r="C410" s="423" t="s">
        <v>2235</v>
      </c>
      <c r="D410" s="975" t="s">
        <v>990</v>
      </c>
      <c r="E410" s="976" t="s">
        <v>991</v>
      </c>
      <c r="F410" s="976" t="s">
        <v>992</v>
      </c>
      <c r="G410" s="976" t="s">
        <v>1997</v>
      </c>
      <c r="H410" s="976" t="s">
        <v>1998</v>
      </c>
      <c r="I410" s="976" t="s">
        <v>1999</v>
      </c>
      <c r="J410" s="975" t="s">
        <v>697</v>
      </c>
      <c r="K410" s="976" t="s">
        <v>995</v>
      </c>
      <c r="L410" s="976" t="s">
        <v>996</v>
      </c>
      <c r="M410" s="976" t="s">
        <v>2000</v>
      </c>
      <c r="N410" s="976" t="s">
        <v>2001</v>
      </c>
      <c r="O410" s="975" t="s">
        <v>1971</v>
      </c>
      <c r="P410" s="976" t="s">
        <v>999</v>
      </c>
      <c r="Q410" s="976" t="s">
        <v>1000</v>
      </c>
      <c r="R410" s="976" t="s">
        <v>1001</v>
      </c>
      <c r="S410" s="976" t="s">
        <v>1002</v>
      </c>
      <c r="T410" s="423">
        <v>2000</v>
      </c>
      <c r="U410" s="423" t="s">
        <v>1041</v>
      </c>
      <c r="V410" s="423">
        <v>40</v>
      </c>
      <c r="W410" s="423">
        <v>0.4</v>
      </c>
      <c r="X410" s="423" t="s">
        <v>1041</v>
      </c>
      <c r="Y410" s="423" t="s">
        <v>1041</v>
      </c>
      <c r="Z410" s="423" t="s">
        <v>1058</v>
      </c>
      <c r="AD410" s="423">
        <f>IF(ISNUMBER(MATCH(B410,'FICHA SOLIC'!$AB$26:$AB$376,0)),1,0)</f>
        <v>1</v>
      </c>
      <c r="AE410" s="423" t="str">
        <f t="shared" si="6"/>
        <v>CopiapóZIDP-2</v>
      </c>
    </row>
    <row r="411" spans="1:31" x14ac:dyDescent="0.25">
      <c r="A411" s="423">
        <v>410</v>
      </c>
      <c r="B411" s="423" t="s">
        <v>112</v>
      </c>
      <c r="C411" s="423" t="s">
        <v>2236</v>
      </c>
      <c r="D411" s="975" t="s">
        <v>990</v>
      </c>
      <c r="E411" s="976" t="s">
        <v>991</v>
      </c>
      <c r="F411" s="976" t="s">
        <v>992</v>
      </c>
      <c r="G411" s="976" t="s">
        <v>1997</v>
      </c>
      <c r="H411" s="976" t="s">
        <v>1998</v>
      </c>
      <c r="I411" s="976" t="s">
        <v>1999</v>
      </c>
      <c r="J411" s="975" t="s">
        <v>697</v>
      </c>
      <c r="K411" s="976" t="s">
        <v>995</v>
      </c>
      <c r="L411" s="976" t="s">
        <v>996</v>
      </c>
      <c r="M411" s="976" t="s">
        <v>2000</v>
      </c>
      <c r="N411" s="976" t="s">
        <v>2001</v>
      </c>
      <c r="O411" s="975" t="s">
        <v>1971</v>
      </c>
      <c r="P411" s="976" t="s">
        <v>999</v>
      </c>
      <c r="Q411" s="976" t="s">
        <v>1000</v>
      </c>
      <c r="R411" s="976" t="s">
        <v>1001</v>
      </c>
      <c r="S411" s="976" t="s">
        <v>1002</v>
      </c>
      <c r="T411" s="423">
        <v>5000</v>
      </c>
      <c r="U411" s="423" t="s">
        <v>1041</v>
      </c>
      <c r="V411" s="423">
        <v>10</v>
      </c>
      <c r="W411" s="423">
        <v>0.3</v>
      </c>
      <c r="X411" s="423" t="s">
        <v>1041</v>
      </c>
      <c r="Y411" s="423" t="s">
        <v>1041</v>
      </c>
      <c r="Z411" s="423" t="s">
        <v>1058</v>
      </c>
      <c r="AD411" s="423">
        <f>IF(ISNUMBER(MATCH(B411,'FICHA SOLIC'!$AB$26:$AB$376,0)),1,0)</f>
        <v>1</v>
      </c>
      <c r="AE411" s="423" t="str">
        <f t="shared" si="6"/>
        <v>CopiapóZIDP-4</v>
      </c>
    </row>
    <row r="412" spans="1:31" x14ac:dyDescent="0.25">
      <c r="A412" s="423">
        <v>411</v>
      </c>
      <c r="B412" s="423" t="s">
        <v>112</v>
      </c>
      <c r="C412" s="423" t="s">
        <v>2237</v>
      </c>
      <c r="D412" s="975" t="s">
        <v>990</v>
      </c>
      <c r="E412" s="976" t="s">
        <v>991</v>
      </c>
      <c r="F412" s="976" t="s">
        <v>992</v>
      </c>
      <c r="G412" s="976" t="s">
        <v>1997</v>
      </c>
      <c r="H412" s="976" t="s">
        <v>1998</v>
      </c>
      <c r="I412" s="976" t="s">
        <v>1999</v>
      </c>
      <c r="J412" s="975" t="s">
        <v>697</v>
      </c>
      <c r="K412" s="976" t="s">
        <v>995</v>
      </c>
      <c r="L412" s="976" t="s">
        <v>996</v>
      </c>
      <c r="M412" s="976" t="s">
        <v>2000</v>
      </c>
      <c r="N412" s="976" t="s">
        <v>2001</v>
      </c>
      <c r="O412" s="975" t="s">
        <v>1971</v>
      </c>
      <c r="P412" s="976" t="s">
        <v>999</v>
      </c>
      <c r="Q412" s="976" t="s">
        <v>1000</v>
      </c>
      <c r="R412" s="976" t="s">
        <v>1001</v>
      </c>
      <c r="S412" s="976" t="s">
        <v>1002</v>
      </c>
      <c r="T412" s="423">
        <v>200</v>
      </c>
      <c r="U412" s="423" t="s">
        <v>1041</v>
      </c>
      <c r="V412" s="423">
        <v>50</v>
      </c>
      <c r="W412" s="423">
        <v>1</v>
      </c>
      <c r="X412" s="423" t="s">
        <v>1041</v>
      </c>
      <c r="Y412" s="423" t="s">
        <v>1041</v>
      </c>
      <c r="Z412" s="423" t="s">
        <v>1058</v>
      </c>
      <c r="AD412" s="423">
        <f>IF(ISNUMBER(MATCH(B412,'FICHA SOLIC'!$AB$26:$AB$376,0)),1,0)</f>
        <v>1</v>
      </c>
      <c r="AE412" s="423" t="str">
        <f t="shared" si="6"/>
        <v>CopiapóZIEU-1</v>
      </c>
    </row>
    <row r="413" spans="1:31" x14ac:dyDescent="0.25">
      <c r="A413" s="423">
        <v>412</v>
      </c>
      <c r="B413" s="423" t="s">
        <v>112</v>
      </c>
      <c r="C413" s="423" t="s">
        <v>2238</v>
      </c>
      <c r="D413" s="975" t="s">
        <v>990</v>
      </c>
      <c r="E413" s="976" t="s">
        <v>991</v>
      </c>
      <c r="F413" s="976" t="s">
        <v>992</v>
      </c>
      <c r="G413" s="976" t="s">
        <v>1997</v>
      </c>
      <c r="H413" s="976" t="s">
        <v>1998</v>
      </c>
      <c r="I413" s="976" t="s">
        <v>1999</v>
      </c>
      <c r="J413" s="975" t="s">
        <v>697</v>
      </c>
      <c r="K413" s="976" t="s">
        <v>995</v>
      </c>
      <c r="L413" s="976" t="s">
        <v>996</v>
      </c>
      <c r="M413" s="976" t="s">
        <v>2000</v>
      </c>
      <c r="N413" s="976" t="s">
        <v>2001</v>
      </c>
      <c r="O413" s="975" t="s">
        <v>1971</v>
      </c>
      <c r="P413" s="976" t="s">
        <v>999</v>
      </c>
      <c r="Q413" s="976" t="s">
        <v>1000</v>
      </c>
      <c r="R413" s="976" t="s">
        <v>1001</v>
      </c>
      <c r="S413" s="976" t="s">
        <v>1002</v>
      </c>
      <c r="T413" s="423">
        <v>300</v>
      </c>
      <c r="U413" s="423" t="s">
        <v>1041</v>
      </c>
      <c r="V413" s="423">
        <v>60</v>
      </c>
      <c r="W413" s="423">
        <v>1.2</v>
      </c>
      <c r="X413" s="423" t="s">
        <v>1041</v>
      </c>
      <c r="Y413" s="423" t="s">
        <v>1041</v>
      </c>
      <c r="Z413" s="423" t="s">
        <v>1059</v>
      </c>
      <c r="AD413" s="423">
        <f>IF(ISNUMBER(MATCH(B413,'FICHA SOLIC'!$AB$26:$AB$376,0)),1,0)</f>
        <v>1</v>
      </c>
      <c r="AE413" s="423" t="str">
        <f t="shared" si="6"/>
        <v>CopiapóZIEU-2</v>
      </c>
    </row>
    <row r="414" spans="1:31" x14ac:dyDescent="0.25">
      <c r="A414" s="423">
        <v>413</v>
      </c>
      <c r="B414" s="423" t="s">
        <v>112</v>
      </c>
      <c r="C414" s="423" t="s">
        <v>2239</v>
      </c>
      <c r="D414" s="975" t="s">
        <v>990</v>
      </c>
      <c r="E414" s="976" t="s">
        <v>991</v>
      </c>
      <c r="F414" s="976" t="s">
        <v>992</v>
      </c>
      <c r="G414" s="976" t="s">
        <v>1997</v>
      </c>
      <c r="H414" s="976" t="s">
        <v>1998</v>
      </c>
      <c r="I414" s="976" t="s">
        <v>1999</v>
      </c>
      <c r="J414" s="975" t="s">
        <v>697</v>
      </c>
      <c r="K414" s="976" t="s">
        <v>995</v>
      </c>
      <c r="L414" s="976" t="s">
        <v>996</v>
      </c>
      <c r="M414" s="976" t="s">
        <v>2000</v>
      </c>
      <c r="N414" s="976" t="s">
        <v>2001</v>
      </c>
      <c r="O414" s="975" t="s">
        <v>1971</v>
      </c>
      <c r="P414" s="976" t="s">
        <v>999</v>
      </c>
      <c r="Q414" s="976" t="s">
        <v>1000</v>
      </c>
      <c r="R414" s="976" t="s">
        <v>1001</v>
      </c>
      <c r="S414" s="976" t="s">
        <v>1002</v>
      </c>
      <c r="T414" s="423">
        <v>5000</v>
      </c>
      <c r="U414" s="423" t="s">
        <v>1041</v>
      </c>
      <c r="V414" s="423">
        <v>10</v>
      </c>
      <c r="W414" s="423">
        <v>0.15</v>
      </c>
      <c r="X414" s="423" t="s">
        <v>1041</v>
      </c>
      <c r="Y414" s="423" t="s">
        <v>1041</v>
      </c>
      <c r="Z414" s="423" t="s">
        <v>1058</v>
      </c>
      <c r="AD414" s="423">
        <f>IF(ISNUMBER(MATCH(B414,'FICHA SOLIC'!$AB$26:$AB$376,0)),1,0)</f>
        <v>1</v>
      </c>
      <c r="AE414" s="423" t="str">
        <f t="shared" si="6"/>
        <v>CopiapóZIEU-3</v>
      </c>
    </row>
    <row r="415" spans="1:31" x14ac:dyDescent="0.25">
      <c r="A415" s="423">
        <v>414</v>
      </c>
      <c r="B415" s="423" t="s">
        <v>112</v>
      </c>
      <c r="C415" s="423" t="s">
        <v>2240</v>
      </c>
      <c r="D415" s="975" t="s">
        <v>990</v>
      </c>
      <c r="E415" s="976" t="s">
        <v>991</v>
      </c>
      <c r="F415" s="976" t="s">
        <v>992</v>
      </c>
      <c r="G415" s="976" t="s">
        <v>1997</v>
      </c>
      <c r="H415" s="976" t="s">
        <v>1998</v>
      </c>
      <c r="I415" s="976" t="s">
        <v>1999</v>
      </c>
      <c r="J415" s="975" t="s">
        <v>697</v>
      </c>
      <c r="K415" s="976" t="s">
        <v>995</v>
      </c>
      <c r="L415" s="976" t="s">
        <v>996</v>
      </c>
      <c r="M415" s="976" t="s">
        <v>2000</v>
      </c>
      <c r="N415" s="976" t="s">
        <v>2001</v>
      </c>
      <c r="O415" s="975" t="s">
        <v>1971</v>
      </c>
      <c r="P415" s="976" t="s">
        <v>999</v>
      </c>
      <c r="Q415" s="976" t="s">
        <v>1000</v>
      </c>
      <c r="R415" s="976" t="s">
        <v>1001</v>
      </c>
      <c r="S415" s="976" t="s">
        <v>1002</v>
      </c>
      <c r="T415" s="423">
        <v>160</v>
      </c>
      <c r="U415" s="423" t="s">
        <v>1041</v>
      </c>
      <c r="V415" s="423" t="s">
        <v>1041</v>
      </c>
      <c r="W415" s="423">
        <v>2</v>
      </c>
      <c r="X415" s="423" t="s">
        <v>1041</v>
      </c>
      <c r="Y415" s="423" t="s">
        <v>1041</v>
      </c>
      <c r="Z415" s="423" t="s">
        <v>1041</v>
      </c>
      <c r="AD415" s="423">
        <f>IF(ISNUMBER(MATCH(B415,'FICHA SOLIC'!$AB$26:$AB$376,0)),1,0)</f>
        <v>1</v>
      </c>
      <c r="AE415" s="423" t="str">
        <f t="shared" si="6"/>
        <v>CopiapóZIU-1</v>
      </c>
    </row>
    <row r="416" spans="1:31" x14ac:dyDescent="0.25">
      <c r="A416" s="423">
        <v>415</v>
      </c>
      <c r="B416" s="423" t="s">
        <v>112</v>
      </c>
      <c r="C416" s="423" t="s">
        <v>2241</v>
      </c>
      <c r="D416" s="975" t="s">
        <v>990</v>
      </c>
      <c r="E416" s="976" t="s">
        <v>991</v>
      </c>
      <c r="F416" s="976" t="s">
        <v>992</v>
      </c>
      <c r="G416" s="976" t="s">
        <v>1997</v>
      </c>
      <c r="H416" s="976" t="s">
        <v>1998</v>
      </c>
      <c r="I416" s="976" t="s">
        <v>1999</v>
      </c>
      <c r="J416" s="975" t="s">
        <v>697</v>
      </c>
      <c r="K416" s="976" t="s">
        <v>995</v>
      </c>
      <c r="L416" s="976" t="s">
        <v>996</v>
      </c>
      <c r="M416" s="976" t="s">
        <v>2000</v>
      </c>
      <c r="N416" s="976" t="s">
        <v>2001</v>
      </c>
      <c r="O416" s="975" t="s">
        <v>1971</v>
      </c>
      <c r="P416" s="976" t="s">
        <v>999</v>
      </c>
      <c r="Q416" s="976" t="s">
        <v>1000</v>
      </c>
      <c r="R416" s="976" t="s">
        <v>1001</v>
      </c>
      <c r="S416" s="976" t="s">
        <v>1002</v>
      </c>
      <c r="T416" s="423">
        <v>200</v>
      </c>
      <c r="U416" s="423" t="s">
        <v>1041</v>
      </c>
      <c r="V416" s="423">
        <v>50</v>
      </c>
      <c r="W416" s="423">
        <v>1</v>
      </c>
      <c r="X416" s="423" t="s">
        <v>1041</v>
      </c>
      <c r="Y416" s="423" t="s">
        <v>1041</v>
      </c>
      <c r="Z416" s="423" t="s">
        <v>1041</v>
      </c>
      <c r="AD416" s="423">
        <f>IF(ISNUMBER(MATCH(B416,'FICHA SOLIC'!$AB$26:$AB$376,0)),1,0)</f>
        <v>1</v>
      </c>
      <c r="AE416" s="423" t="str">
        <f t="shared" si="6"/>
        <v>CopiapóZIU-2</v>
      </c>
    </row>
    <row r="417" spans="1:31" x14ac:dyDescent="0.25">
      <c r="A417" s="423">
        <v>416</v>
      </c>
      <c r="B417" s="423" t="s">
        <v>112</v>
      </c>
      <c r="C417" s="423" t="s">
        <v>2242</v>
      </c>
      <c r="D417" s="975" t="s">
        <v>990</v>
      </c>
      <c r="E417" s="976" t="s">
        <v>991</v>
      </c>
      <c r="F417" s="976" t="s">
        <v>992</v>
      </c>
      <c r="G417" s="976" t="s">
        <v>1997</v>
      </c>
      <c r="H417" s="976" t="s">
        <v>1998</v>
      </c>
      <c r="I417" s="976" t="s">
        <v>1999</v>
      </c>
      <c r="J417" s="975" t="s">
        <v>697</v>
      </c>
      <c r="K417" s="976" t="s">
        <v>995</v>
      </c>
      <c r="L417" s="976" t="s">
        <v>996</v>
      </c>
      <c r="M417" s="976" t="s">
        <v>2000</v>
      </c>
      <c r="N417" s="976" t="s">
        <v>2001</v>
      </c>
      <c r="O417" s="975" t="s">
        <v>1971</v>
      </c>
      <c r="P417" s="976" t="s">
        <v>999</v>
      </c>
      <c r="Q417" s="976" t="s">
        <v>1000</v>
      </c>
      <c r="R417" s="976" t="s">
        <v>1001</v>
      </c>
      <c r="S417" s="976" t="s">
        <v>1002</v>
      </c>
      <c r="T417" s="423">
        <v>2500</v>
      </c>
      <c r="U417" s="423" t="s">
        <v>1041</v>
      </c>
      <c r="V417" s="423">
        <v>40</v>
      </c>
      <c r="W417" s="423">
        <v>0.4</v>
      </c>
      <c r="X417" s="423" t="s">
        <v>1041</v>
      </c>
      <c r="Y417" s="423" t="s">
        <v>1041</v>
      </c>
      <c r="Z417" s="423" t="s">
        <v>1058</v>
      </c>
      <c r="AD417" s="423">
        <f>IF(ISNUMBER(MATCH(B417,'FICHA SOLIC'!$AB$26:$AB$376,0)),1,0)</f>
        <v>1</v>
      </c>
      <c r="AE417" s="423" t="str">
        <f t="shared" si="6"/>
        <v>CopiapóZIU-3</v>
      </c>
    </row>
    <row r="418" spans="1:31" x14ac:dyDescent="0.25">
      <c r="A418" s="423">
        <v>417</v>
      </c>
      <c r="B418" s="423" t="s">
        <v>112</v>
      </c>
      <c r="C418" s="423" t="s">
        <v>2243</v>
      </c>
      <c r="D418" s="975" t="s">
        <v>990</v>
      </c>
      <c r="E418" s="976" t="s">
        <v>991</v>
      </c>
      <c r="F418" s="976" t="s">
        <v>992</v>
      </c>
      <c r="G418" s="976" t="s">
        <v>1997</v>
      </c>
      <c r="H418" s="976" t="s">
        <v>1998</v>
      </c>
      <c r="I418" s="976" t="s">
        <v>1999</v>
      </c>
      <c r="J418" s="975" t="s">
        <v>697</v>
      </c>
      <c r="K418" s="976" t="s">
        <v>995</v>
      </c>
      <c r="L418" s="976" t="s">
        <v>996</v>
      </c>
      <c r="M418" s="976" t="s">
        <v>2000</v>
      </c>
      <c r="N418" s="976" t="s">
        <v>2001</v>
      </c>
      <c r="O418" s="975" t="s">
        <v>1971</v>
      </c>
      <c r="P418" s="976" t="s">
        <v>999</v>
      </c>
      <c r="Q418" s="976" t="s">
        <v>1000</v>
      </c>
      <c r="R418" s="976" t="s">
        <v>1001</v>
      </c>
      <c r="S418" s="976" t="s">
        <v>1002</v>
      </c>
      <c r="T418" s="423">
        <v>1000</v>
      </c>
      <c r="U418" s="423" t="s">
        <v>1041</v>
      </c>
      <c r="V418" s="423">
        <v>40</v>
      </c>
      <c r="W418" s="423">
        <v>0.4</v>
      </c>
      <c r="X418" s="423" t="s">
        <v>1041</v>
      </c>
      <c r="Y418" s="423" t="s">
        <v>1041</v>
      </c>
      <c r="Z418" s="423" t="s">
        <v>1058</v>
      </c>
      <c r="AD418" s="423">
        <f>IF(ISNUMBER(MATCH(B418,'FICHA SOLIC'!$AB$26:$AB$376,0)),1,0)</f>
        <v>1</v>
      </c>
      <c r="AE418" s="423" t="str">
        <f t="shared" si="6"/>
        <v>CopiapóZIU-4</v>
      </c>
    </row>
    <row r="419" spans="1:31" x14ac:dyDescent="0.25">
      <c r="A419" s="423">
        <v>418</v>
      </c>
      <c r="B419" s="423" t="s">
        <v>130</v>
      </c>
      <c r="C419" s="423" t="s">
        <v>2244</v>
      </c>
      <c r="D419" s="975" t="s">
        <v>990</v>
      </c>
      <c r="E419" s="976" t="s">
        <v>991</v>
      </c>
      <c r="F419" s="976" t="s">
        <v>992</v>
      </c>
      <c r="G419" s="976" t="s">
        <v>1997</v>
      </c>
      <c r="H419" s="976" t="s">
        <v>1998</v>
      </c>
      <c r="I419" s="976" t="s">
        <v>1999</v>
      </c>
      <c r="J419" s="975" t="s">
        <v>697</v>
      </c>
      <c r="K419" s="976" t="s">
        <v>995</v>
      </c>
      <c r="L419" s="976" t="s">
        <v>996</v>
      </c>
      <c r="M419" s="976" t="s">
        <v>2000</v>
      </c>
      <c r="N419" s="976" t="s">
        <v>2001</v>
      </c>
      <c r="O419" s="975" t="s">
        <v>1971</v>
      </c>
      <c r="P419" s="976" t="s">
        <v>999</v>
      </c>
      <c r="Q419" s="976" t="s">
        <v>1000</v>
      </c>
      <c r="R419" s="976" t="s">
        <v>1001</v>
      </c>
      <c r="S419" s="976" t="s">
        <v>1002</v>
      </c>
      <c r="T419" s="423">
        <v>160</v>
      </c>
      <c r="U419" s="423" t="s">
        <v>1041</v>
      </c>
      <c r="V419" s="423">
        <v>70</v>
      </c>
      <c r="W419" s="423">
        <v>1.4</v>
      </c>
      <c r="X419" s="423">
        <v>9</v>
      </c>
      <c r="Y419" s="423" t="s">
        <v>1041</v>
      </c>
      <c r="Z419" s="423" t="s">
        <v>1270</v>
      </c>
      <c r="AD419" s="423">
        <f>IF(ISNUMBER(MATCH(B419,'FICHA SOLIC'!$AB$26:$AB$376,0)),1,0)</f>
        <v>1</v>
      </c>
      <c r="AE419" s="423" t="str">
        <f t="shared" si="6"/>
        <v>CoquimboAPV1</v>
      </c>
    </row>
    <row r="420" spans="1:31" x14ac:dyDescent="0.25">
      <c r="A420" s="423">
        <v>419</v>
      </c>
      <c r="B420" s="423" t="s">
        <v>130</v>
      </c>
      <c r="C420" s="423" t="s">
        <v>2245</v>
      </c>
      <c r="D420" s="975" t="s">
        <v>990</v>
      </c>
      <c r="E420" s="976" t="s">
        <v>991</v>
      </c>
      <c r="F420" s="976" t="s">
        <v>992</v>
      </c>
      <c r="G420" s="976" t="s">
        <v>1997</v>
      </c>
      <c r="H420" s="976" t="s">
        <v>1998</v>
      </c>
      <c r="I420" s="976" t="s">
        <v>1999</v>
      </c>
      <c r="J420" s="975" t="s">
        <v>697</v>
      </c>
      <c r="K420" s="976" t="s">
        <v>995</v>
      </c>
      <c r="L420" s="976" t="s">
        <v>996</v>
      </c>
      <c r="M420" s="976" t="s">
        <v>2000</v>
      </c>
      <c r="N420" s="976" t="s">
        <v>2001</v>
      </c>
      <c r="O420" s="975" t="s">
        <v>1971</v>
      </c>
      <c r="P420" s="976" t="s">
        <v>999</v>
      </c>
      <c r="Q420" s="976" t="s">
        <v>1000</v>
      </c>
      <c r="R420" s="976" t="s">
        <v>1001</v>
      </c>
      <c r="S420" s="976" t="s">
        <v>1002</v>
      </c>
      <c r="T420" s="423">
        <v>300</v>
      </c>
      <c r="U420" s="423" t="s">
        <v>1041</v>
      </c>
      <c r="V420" s="423">
        <v>100</v>
      </c>
      <c r="W420" s="423">
        <v>2.8</v>
      </c>
      <c r="X420" s="423">
        <v>7</v>
      </c>
      <c r="Y420" s="423" t="s">
        <v>1041</v>
      </c>
      <c r="Z420" s="423" t="s">
        <v>1150</v>
      </c>
      <c r="AD420" s="423">
        <f>IF(ISNUMBER(MATCH(B420,'FICHA SOLIC'!$AB$26:$AB$376,0)),1,0)</f>
        <v>1</v>
      </c>
      <c r="AE420" s="423" t="str">
        <f t="shared" si="6"/>
        <v>CoquimboAPV2</v>
      </c>
    </row>
    <row r="421" spans="1:31" x14ac:dyDescent="0.25">
      <c r="A421" s="423">
        <v>420</v>
      </c>
      <c r="B421" s="423" t="s">
        <v>130</v>
      </c>
      <c r="C421" s="423" t="s">
        <v>2246</v>
      </c>
      <c r="D421" s="975" t="s">
        <v>990</v>
      </c>
      <c r="E421" s="976" t="s">
        <v>991</v>
      </c>
      <c r="F421" s="976" t="s">
        <v>992</v>
      </c>
      <c r="G421" s="976" t="s">
        <v>1997</v>
      </c>
      <c r="H421" s="976" t="s">
        <v>1998</v>
      </c>
      <c r="I421" s="976" t="s">
        <v>1999</v>
      </c>
      <c r="J421" s="975" t="s">
        <v>697</v>
      </c>
      <c r="K421" s="976" t="s">
        <v>995</v>
      </c>
      <c r="L421" s="976" t="s">
        <v>996</v>
      </c>
      <c r="M421" s="976" t="s">
        <v>2000</v>
      </c>
      <c r="N421" s="976" t="s">
        <v>2001</v>
      </c>
      <c r="O421" s="975" t="s">
        <v>1971</v>
      </c>
      <c r="P421" s="976" t="s">
        <v>999</v>
      </c>
      <c r="Q421" s="976" t="s">
        <v>1000</v>
      </c>
      <c r="R421" s="976" t="s">
        <v>1001</v>
      </c>
      <c r="S421" s="976" t="s">
        <v>1002</v>
      </c>
      <c r="T421" s="423">
        <v>10000</v>
      </c>
      <c r="U421" s="423" t="s">
        <v>1041</v>
      </c>
      <c r="V421" s="423">
        <v>0.1</v>
      </c>
      <c r="W421" s="423">
        <v>0.01</v>
      </c>
      <c r="X421" s="423">
        <v>4</v>
      </c>
      <c r="Y421" s="423" t="s">
        <v>1041</v>
      </c>
      <c r="Z421" s="423" t="s">
        <v>1058</v>
      </c>
      <c r="AD421" s="423">
        <f>IF(ISNUMBER(MATCH(B421,'FICHA SOLIC'!$AB$26:$AB$376,0)),1,0)</f>
        <v>1</v>
      </c>
      <c r="AE421" s="423" t="str">
        <f t="shared" si="6"/>
        <v>CoquimboAVN</v>
      </c>
    </row>
    <row r="422" spans="1:31" x14ac:dyDescent="0.25">
      <c r="A422" s="423">
        <v>421</v>
      </c>
      <c r="B422" s="423" t="s">
        <v>130</v>
      </c>
      <c r="C422" s="423" t="s">
        <v>2247</v>
      </c>
      <c r="D422" s="975" t="s">
        <v>990</v>
      </c>
      <c r="E422" s="976" t="s">
        <v>991</v>
      </c>
      <c r="F422" s="976" t="s">
        <v>992</v>
      </c>
      <c r="G422" s="976" t="s">
        <v>1997</v>
      </c>
      <c r="H422" s="976" t="s">
        <v>1998</v>
      </c>
      <c r="I422" s="976" t="s">
        <v>1999</v>
      </c>
      <c r="J422" s="975" t="s">
        <v>697</v>
      </c>
      <c r="K422" s="976" t="s">
        <v>995</v>
      </c>
      <c r="L422" s="976" t="s">
        <v>996</v>
      </c>
      <c r="M422" s="976" t="s">
        <v>2000</v>
      </c>
      <c r="N422" s="976" t="s">
        <v>2001</v>
      </c>
      <c r="O422" s="975" t="s">
        <v>1971</v>
      </c>
      <c r="P422" s="976" t="s">
        <v>999</v>
      </c>
      <c r="Q422" s="976" t="s">
        <v>1000</v>
      </c>
      <c r="R422" s="976" t="s">
        <v>1001</v>
      </c>
      <c r="S422" s="976" t="s">
        <v>1002</v>
      </c>
      <c r="T422" s="423">
        <v>300</v>
      </c>
      <c r="U422" s="423" t="s">
        <v>1041</v>
      </c>
      <c r="V422" s="423">
        <v>100</v>
      </c>
      <c r="W422" s="423">
        <v>5</v>
      </c>
      <c r="X422" s="423">
        <v>11</v>
      </c>
      <c r="Y422" s="423" t="s">
        <v>1041</v>
      </c>
      <c r="Z422" s="423" t="s">
        <v>1150</v>
      </c>
      <c r="AD422" s="423">
        <f>IF(ISNUMBER(MATCH(B422,'FICHA SOLIC'!$AB$26:$AB$376,0)),1,0)</f>
        <v>1</v>
      </c>
      <c r="AE422" s="423" t="str">
        <f t="shared" si="6"/>
        <v>CoquimboZCH1</v>
      </c>
    </row>
    <row r="423" spans="1:31" x14ac:dyDescent="0.25">
      <c r="A423" s="423">
        <v>422</v>
      </c>
      <c r="B423" s="423" t="s">
        <v>130</v>
      </c>
      <c r="C423" s="423" t="s">
        <v>2248</v>
      </c>
      <c r="D423" s="975" t="s">
        <v>990</v>
      </c>
      <c r="E423" s="976" t="s">
        <v>991</v>
      </c>
      <c r="F423" s="976" t="s">
        <v>992</v>
      </c>
      <c r="G423" s="976" t="s">
        <v>1997</v>
      </c>
      <c r="H423" s="976" t="s">
        <v>1998</v>
      </c>
      <c r="I423" s="976" t="s">
        <v>1999</v>
      </c>
      <c r="J423" s="975" t="s">
        <v>697</v>
      </c>
      <c r="K423" s="976" t="s">
        <v>995</v>
      </c>
      <c r="L423" s="976" t="s">
        <v>996</v>
      </c>
      <c r="M423" s="976" t="s">
        <v>2000</v>
      </c>
      <c r="N423" s="976" t="s">
        <v>2001</v>
      </c>
      <c r="O423" s="975" t="s">
        <v>1971</v>
      </c>
      <c r="P423" s="976" t="s">
        <v>999</v>
      </c>
      <c r="Q423" s="976" t="s">
        <v>1000</v>
      </c>
      <c r="R423" s="976" t="s">
        <v>1001</v>
      </c>
      <c r="S423" s="976" t="s">
        <v>1002</v>
      </c>
      <c r="T423" s="423">
        <v>300</v>
      </c>
      <c r="U423" s="423" t="s">
        <v>1041</v>
      </c>
      <c r="V423" s="423">
        <v>100</v>
      </c>
      <c r="W423" s="423">
        <v>1.8</v>
      </c>
      <c r="X423" s="423">
        <v>11</v>
      </c>
      <c r="Y423" s="423" t="s">
        <v>1041</v>
      </c>
      <c r="Z423" s="423" t="s">
        <v>1150</v>
      </c>
      <c r="AD423" s="423">
        <f>IF(ISNUMBER(MATCH(B423,'FICHA SOLIC'!$AB$26:$AB$376,0)),1,0)</f>
        <v>1</v>
      </c>
      <c r="AE423" s="423" t="str">
        <f t="shared" si="6"/>
        <v>CoquimboZCH1a</v>
      </c>
    </row>
    <row r="424" spans="1:31" x14ac:dyDescent="0.25">
      <c r="A424" s="423">
        <v>423</v>
      </c>
      <c r="B424" s="423" t="s">
        <v>130</v>
      </c>
      <c r="C424" s="423" t="s">
        <v>1343</v>
      </c>
      <c r="D424" s="975" t="s">
        <v>990</v>
      </c>
      <c r="E424" s="976" t="s">
        <v>991</v>
      </c>
      <c r="F424" s="976" t="s">
        <v>992</v>
      </c>
      <c r="G424" s="976" t="s">
        <v>1997</v>
      </c>
      <c r="H424" s="976" t="s">
        <v>1998</v>
      </c>
      <c r="I424" s="976" t="s">
        <v>1999</v>
      </c>
      <c r="J424" s="975" t="s">
        <v>697</v>
      </c>
      <c r="K424" s="976" t="s">
        <v>995</v>
      </c>
      <c r="L424" s="976" t="s">
        <v>996</v>
      </c>
      <c r="M424" s="976" t="s">
        <v>2000</v>
      </c>
      <c r="N424" s="976" t="s">
        <v>2001</v>
      </c>
      <c r="O424" s="975" t="s">
        <v>1971</v>
      </c>
      <c r="P424" s="976" t="s">
        <v>999</v>
      </c>
      <c r="Q424" s="976" t="s">
        <v>1000</v>
      </c>
      <c r="R424" s="976" t="s">
        <v>1001</v>
      </c>
      <c r="S424" s="976" t="s">
        <v>1002</v>
      </c>
      <c r="T424" s="423">
        <v>1000</v>
      </c>
      <c r="U424" s="423" t="s">
        <v>1041</v>
      </c>
      <c r="V424" s="423">
        <v>60</v>
      </c>
      <c r="W424" s="423">
        <v>1.5</v>
      </c>
      <c r="X424" s="423">
        <v>21</v>
      </c>
      <c r="Y424" s="423" t="s">
        <v>1041</v>
      </c>
      <c r="Z424" s="423" t="s">
        <v>1058</v>
      </c>
      <c r="AD424" s="423">
        <f>IF(ISNUMBER(MATCH(B424,'FICHA SOLIC'!$AB$26:$AB$376,0)),1,0)</f>
        <v>1</v>
      </c>
      <c r="AE424" s="423" t="str">
        <f t="shared" si="6"/>
        <v>CoquimboZE3</v>
      </c>
    </row>
    <row r="425" spans="1:31" x14ac:dyDescent="0.25">
      <c r="A425" s="423">
        <v>424</v>
      </c>
      <c r="B425" s="423" t="s">
        <v>130</v>
      </c>
      <c r="C425" s="423" t="s">
        <v>1344</v>
      </c>
      <c r="D425" s="975" t="s">
        <v>990</v>
      </c>
      <c r="E425" s="976" t="s">
        <v>991</v>
      </c>
      <c r="F425" s="976" t="s">
        <v>992</v>
      </c>
      <c r="G425" s="976" t="s">
        <v>1997</v>
      </c>
      <c r="H425" s="976" t="s">
        <v>1998</v>
      </c>
      <c r="I425" s="976" t="s">
        <v>1999</v>
      </c>
      <c r="J425" s="975" t="s">
        <v>697</v>
      </c>
      <c r="K425" s="976" t="s">
        <v>995</v>
      </c>
      <c r="L425" s="976" t="s">
        <v>996</v>
      </c>
      <c r="M425" s="976" t="s">
        <v>2000</v>
      </c>
      <c r="N425" s="976" t="s">
        <v>2001</v>
      </c>
      <c r="O425" s="975" t="s">
        <v>1971</v>
      </c>
      <c r="P425" s="976" t="s">
        <v>999</v>
      </c>
      <c r="Q425" s="976" t="s">
        <v>1000</v>
      </c>
      <c r="R425" s="976" t="s">
        <v>1001</v>
      </c>
      <c r="S425" s="976" t="s">
        <v>1002</v>
      </c>
      <c r="T425" s="423">
        <v>1000</v>
      </c>
      <c r="U425" s="423" t="s">
        <v>1041</v>
      </c>
      <c r="V425" s="423">
        <v>60</v>
      </c>
      <c r="W425" s="423">
        <v>3.6</v>
      </c>
      <c r="X425" s="423">
        <v>11</v>
      </c>
      <c r="Y425" s="423" t="s">
        <v>1041</v>
      </c>
      <c r="Z425" s="423" t="s">
        <v>1058</v>
      </c>
      <c r="AD425" s="423">
        <f>IF(ISNUMBER(MATCH(B425,'FICHA SOLIC'!$AB$26:$AB$376,0)),1,0)</f>
        <v>1</v>
      </c>
      <c r="AE425" s="423" t="str">
        <f t="shared" si="6"/>
        <v>CoquimboZE4</v>
      </c>
    </row>
    <row r="426" spans="1:31" x14ac:dyDescent="0.25">
      <c r="A426" s="423">
        <v>425</v>
      </c>
      <c r="B426" s="423" t="s">
        <v>130</v>
      </c>
      <c r="C426" s="423" t="s">
        <v>2249</v>
      </c>
      <c r="D426" s="975" t="s">
        <v>990</v>
      </c>
      <c r="E426" s="976" t="s">
        <v>991</v>
      </c>
      <c r="F426" s="976" t="s">
        <v>992</v>
      </c>
      <c r="G426" s="976" t="s">
        <v>1997</v>
      </c>
      <c r="H426" s="976" t="s">
        <v>1998</v>
      </c>
      <c r="I426" s="976" t="s">
        <v>1999</v>
      </c>
      <c r="J426" s="975" t="s">
        <v>697</v>
      </c>
      <c r="K426" s="976" t="s">
        <v>995</v>
      </c>
      <c r="L426" s="976" t="s">
        <v>996</v>
      </c>
      <c r="M426" s="976" t="s">
        <v>2000</v>
      </c>
      <c r="N426" s="976" t="s">
        <v>2001</v>
      </c>
      <c r="O426" s="975" t="s">
        <v>1971</v>
      </c>
      <c r="P426" s="976" t="s">
        <v>999</v>
      </c>
      <c r="Q426" s="976" t="s">
        <v>1000</v>
      </c>
      <c r="R426" s="976" t="s">
        <v>1001</v>
      </c>
      <c r="S426" s="976" t="s">
        <v>1002</v>
      </c>
      <c r="T426" s="423">
        <v>800</v>
      </c>
      <c r="U426" s="423" t="s">
        <v>1041</v>
      </c>
      <c r="V426" s="423">
        <v>60</v>
      </c>
      <c r="W426" s="423">
        <v>1.2</v>
      </c>
      <c r="X426" s="423">
        <v>7</v>
      </c>
      <c r="Y426" s="423" t="s">
        <v>1041</v>
      </c>
      <c r="Z426" s="423" t="s">
        <v>1058</v>
      </c>
      <c r="AD426" s="423">
        <f>IF(ISNUMBER(MATCH(B426,'FICHA SOLIC'!$AB$26:$AB$376,0)),1,0)</f>
        <v>1</v>
      </c>
      <c r="AE426" s="423" t="str">
        <f t="shared" si="6"/>
        <v>CoquimboZEBC1</v>
      </c>
    </row>
    <row r="427" spans="1:31" x14ac:dyDescent="0.25">
      <c r="A427" s="423">
        <v>426</v>
      </c>
      <c r="B427" s="423" t="s">
        <v>130</v>
      </c>
      <c r="C427" s="423" t="s">
        <v>2250</v>
      </c>
      <c r="D427" s="975" t="s">
        <v>990</v>
      </c>
      <c r="E427" s="976" t="s">
        <v>991</v>
      </c>
      <c r="F427" s="976" t="s">
        <v>992</v>
      </c>
      <c r="G427" s="976" t="s">
        <v>1997</v>
      </c>
      <c r="H427" s="976" t="s">
        <v>1998</v>
      </c>
      <c r="I427" s="976" t="s">
        <v>1999</v>
      </c>
      <c r="J427" s="975" t="s">
        <v>697</v>
      </c>
      <c r="K427" s="976" t="s">
        <v>995</v>
      </c>
      <c r="L427" s="976" t="s">
        <v>996</v>
      </c>
      <c r="M427" s="976" t="s">
        <v>2000</v>
      </c>
      <c r="N427" s="976" t="s">
        <v>2001</v>
      </c>
      <c r="O427" s="975" t="s">
        <v>1971</v>
      </c>
      <c r="P427" s="976" t="s">
        <v>999</v>
      </c>
      <c r="Q427" s="976" t="s">
        <v>1000</v>
      </c>
      <c r="R427" s="976" t="s">
        <v>1001</v>
      </c>
      <c r="S427" s="976" t="s">
        <v>1002</v>
      </c>
      <c r="T427" s="423">
        <v>1000</v>
      </c>
      <c r="U427" s="423" t="s">
        <v>1041</v>
      </c>
      <c r="V427" s="423">
        <v>5</v>
      </c>
      <c r="W427" s="423">
        <v>0.1</v>
      </c>
      <c r="X427" s="423">
        <v>7</v>
      </c>
      <c r="Y427" s="423" t="s">
        <v>1041</v>
      </c>
      <c r="Z427" s="423" t="s">
        <v>1058</v>
      </c>
      <c r="AD427" s="423">
        <f>IF(ISNUMBER(MATCH(B427,'FICHA SOLIC'!$AB$26:$AB$376,0)),1,0)</f>
        <v>1</v>
      </c>
      <c r="AE427" s="423" t="str">
        <f t="shared" si="6"/>
        <v>CoquimboZEBC2</v>
      </c>
    </row>
    <row r="428" spans="1:31" x14ac:dyDescent="0.25">
      <c r="A428" s="423">
        <v>427</v>
      </c>
      <c r="B428" s="423" t="s">
        <v>130</v>
      </c>
      <c r="C428" s="423" t="s">
        <v>2103</v>
      </c>
      <c r="D428" s="975" t="s">
        <v>990</v>
      </c>
      <c r="E428" s="976" t="s">
        <v>991</v>
      </c>
      <c r="F428" s="976" t="s">
        <v>992</v>
      </c>
      <c r="G428" s="976" t="s">
        <v>1997</v>
      </c>
      <c r="H428" s="976" t="s">
        <v>1998</v>
      </c>
      <c r="I428" s="976" t="s">
        <v>1999</v>
      </c>
      <c r="J428" s="975" t="s">
        <v>697</v>
      </c>
      <c r="K428" s="976" t="s">
        <v>995</v>
      </c>
      <c r="L428" s="976" t="s">
        <v>996</v>
      </c>
      <c r="M428" s="976" t="s">
        <v>2000</v>
      </c>
      <c r="N428" s="976" t="s">
        <v>2001</v>
      </c>
      <c r="O428" s="975" t="s">
        <v>1971</v>
      </c>
      <c r="P428" s="976" t="s">
        <v>999</v>
      </c>
      <c r="Q428" s="976" t="s">
        <v>1000</v>
      </c>
      <c r="R428" s="976" t="s">
        <v>1001</v>
      </c>
      <c r="S428" s="976" t="s">
        <v>1002</v>
      </c>
      <c r="T428" s="423">
        <v>1000</v>
      </c>
      <c r="U428" s="423" t="s">
        <v>1041</v>
      </c>
      <c r="V428" s="423">
        <v>60</v>
      </c>
      <c r="W428" s="423">
        <v>3.6</v>
      </c>
      <c r="X428" s="423">
        <v>28</v>
      </c>
      <c r="Y428" s="423" t="s">
        <v>1041</v>
      </c>
      <c r="Z428" s="423" t="s">
        <v>1058</v>
      </c>
      <c r="AD428" s="423">
        <f>IF(ISNUMBER(MATCH(B428,'FICHA SOLIC'!$AB$26:$AB$376,0)),1,0)</f>
        <v>1</v>
      </c>
      <c r="AE428" s="423" t="str">
        <f t="shared" si="6"/>
        <v>CoquimboZP1</v>
      </c>
    </row>
    <row r="429" spans="1:31" x14ac:dyDescent="0.25">
      <c r="A429" s="423">
        <v>428</v>
      </c>
      <c r="B429" s="423" t="s">
        <v>130</v>
      </c>
      <c r="C429" s="423" t="s">
        <v>2251</v>
      </c>
      <c r="D429" s="975" t="s">
        <v>990</v>
      </c>
      <c r="E429" s="976" t="s">
        <v>991</v>
      </c>
      <c r="F429" s="976" t="s">
        <v>992</v>
      </c>
      <c r="G429" s="976" t="s">
        <v>1997</v>
      </c>
      <c r="H429" s="976" t="s">
        <v>1998</v>
      </c>
      <c r="I429" s="976" t="s">
        <v>1999</v>
      </c>
      <c r="J429" s="975" t="s">
        <v>697</v>
      </c>
      <c r="K429" s="976" t="s">
        <v>995</v>
      </c>
      <c r="L429" s="976" t="s">
        <v>996</v>
      </c>
      <c r="M429" s="976" t="s">
        <v>2000</v>
      </c>
      <c r="N429" s="976" t="s">
        <v>2001</v>
      </c>
      <c r="O429" s="975" t="s">
        <v>1971</v>
      </c>
      <c r="P429" s="976" t="s">
        <v>999</v>
      </c>
      <c r="Q429" s="976" t="s">
        <v>1000</v>
      </c>
      <c r="R429" s="976" t="s">
        <v>1001</v>
      </c>
      <c r="S429" s="976" t="s">
        <v>1002</v>
      </c>
      <c r="T429" s="423">
        <v>2500</v>
      </c>
      <c r="U429" s="423" t="s">
        <v>1041</v>
      </c>
      <c r="V429" s="423">
        <v>10</v>
      </c>
      <c r="W429" s="423">
        <v>0.1</v>
      </c>
      <c r="X429" s="423">
        <v>4</v>
      </c>
      <c r="Y429" s="423" t="s">
        <v>1041</v>
      </c>
      <c r="Z429" s="423" t="s">
        <v>1058</v>
      </c>
      <c r="AD429" s="423">
        <f>IF(ISNUMBER(MATCH(B429,'FICHA SOLIC'!$AB$26:$AB$376,0)),1,0)</f>
        <v>1</v>
      </c>
      <c r="AE429" s="423" t="str">
        <f t="shared" si="6"/>
        <v>CoquimboZPVC</v>
      </c>
    </row>
    <row r="430" spans="1:31" x14ac:dyDescent="0.25">
      <c r="A430" s="423">
        <v>429</v>
      </c>
      <c r="B430" s="423" t="s">
        <v>130</v>
      </c>
      <c r="C430" s="423" t="s">
        <v>1331</v>
      </c>
      <c r="D430" s="972" t="s">
        <v>990</v>
      </c>
      <c r="E430" s="973" t="s">
        <v>991</v>
      </c>
      <c r="F430" s="973" t="s">
        <v>992</v>
      </c>
      <c r="G430" s="973" t="s">
        <v>1997</v>
      </c>
      <c r="H430" s="973" t="s">
        <v>1998</v>
      </c>
      <c r="I430" s="973" t="s">
        <v>1999</v>
      </c>
      <c r="J430" s="972" t="s">
        <v>697</v>
      </c>
      <c r="K430" s="973" t="s">
        <v>995</v>
      </c>
      <c r="L430" s="973" t="s">
        <v>996</v>
      </c>
      <c r="M430" s="973" t="s">
        <v>2000</v>
      </c>
      <c r="N430" s="973" t="s">
        <v>2001</v>
      </c>
      <c r="O430" s="972" t="s">
        <v>1971</v>
      </c>
      <c r="P430" s="973" t="s">
        <v>999</v>
      </c>
      <c r="Q430" s="973" t="s">
        <v>1000</v>
      </c>
      <c r="R430" s="973" t="s">
        <v>1001</v>
      </c>
      <c r="S430" s="973" t="s">
        <v>1002</v>
      </c>
      <c r="T430" s="423">
        <v>250</v>
      </c>
      <c r="U430" s="423" t="s">
        <v>1041</v>
      </c>
      <c r="V430" s="423">
        <v>60</v>
      </c>
      <c r="W430" s="423">
        <v>1</v>
      </c>
      <c r="X430" s="423">
        <v>9</v>
      </c>
      <c r="Y430" s="423" t="s">
        <v>1041</v>
      </c>
      <c r="Z430" s="423" t="s">
        <v>1058</v>
      </c>
      <c r="AD430" s="423">
        <f>IF(ISNUMBER(MATCH(B430,'FICHA SOLIC'!$AB$26:$AB$376,0)),1,0)</f>
        <v>1</v>
      </c>
      <c r="AE430" s="423" t="str">
        <f t="shared" si="6"/>
        <v>CoquimboZU10</v>
      </c>
    </row>
    <row r="431" spans="1:31" x14ac:dyDescent="0.25">
      <c r="A431" s="423">
        <v>430</v>
      </c>
      <c r="B431" s="423" t="s">
        <v>130</v>
      </c>
      <c r="C431" s="423" t="s">
        <v>1332</v>
      </c>
      <c r="D431" s="972" t="s">
        <v>990</v>
      </c>
      <c r="E431" s="973" t="s">
        <v>991</v>
      </c>
      <c r="F431" s="973" t="s">
        <v>992</v>
      </c>
      <c r="G431" s="973" t="s">
        <v>1997</v>
      </c>
      <c r="H431" s="973" t="s">
        <v>1998</v>
      </c>
      <c r="I431" s="973" t="s">
        <v>1999</v>
      </c>
      <c r="J431" s="972" t="s">
        <v>697</v>
      </c>
      <c r="K431" s="973" t="s">
        <v>995</v>
      </c>
      <c r="L431" s="973" t="s">
        <v>996</v>
      </c>
      <c r="M431" s="973" t="s">
        <v>2000</v>
      </c>
      <c r="N431" s="973" t="s">
        <v>2001</v>
      </c>
      <c r="O431" s="972" t="s">
        <v>1971</v>
      </c>
      <c r="P431" s="973" t="s">
        <v>999</v>
      </c>
      <c r="Q431" s="973" t="s">
        <v>1000</v>
      </c>
      <c r="R431" s="973" t="s">
        <v>1001</v>
      </c>
      <c r="S431" s="973" t="s">
        <v>1002</v>
      </c>
      <c r="T431" s="423">
        <v>2500</v>
      </c>
      <c r="U431" s="423" t="s">
        <v>1041</v>
      </c>
      <c r="V431" s="423">
        <v>30</v>
      </c>
      <c r="W431" s="423">
        <v>0.6</v>
      </c>
      <c r="X431" s="423">
        <v>11</v>
      </c>
      <c r="Y431" s="423" t="s">
        <v>1041</v>
      </c>
      <c r="Z431" s="423" t="s">
        <v>1058</v>
      </c>
      <c r="AD431" s="423">
        <f>IF(ISNUMBER(MATCH(B431,'FICHA SOLIC'!$AB$26:$AB$376,0)),1,0)</f>
        <v>1</v>
      </c>
      <c r="AE431" s="423" t="str">
        <f t="shared" si="6"/>
        <v>CoquimboZU11</v>
      </c>
    </row>
    <row r="432" spans="1:31" x14ac:dyDescent="0.25">
      <c r="A432" s="423">
        <v>431</v>
      </c>
      <c r="B432" s="423" t="s">
        <v>130</v>
      </c>
      <c r="C432" s="423" t="s">
        <v>2252</v>
      </c>
      <c r="D432" s="972" t="s">
        <v>990</v>
      </c>
      <c r="E432" s="973" t="s">
        <v>991</v>
      </c>
      <c r="F432" s="973" t="s">
        <v>992</v>
      </c>
      <c r="G432" s="973" t="s">
        <v>1997</v>
      </c>
      <c r="H432" s="973" t="s">
        <v>1998</v>
      </c>
      <c r="I432" s="973" t="s">
        <v>1999</v>
      </c>
      <c r="J432" s="972" t="s">
        <v>697</v>
      </c>
      <c r="K432" s="973" t="s">
        <v>995</v>
      </c>
      <c r="L432" s="973" t="s">
        <v>996</v>
      </c>
      <c r="M432" s="973" t="s">
        <v>2000</v>
      </c>
      <c r="N432" s="973" t="s">
        <v>2001</v>
      </c>
      <c r="O432" s="972" t="s">
        <v>1971</v>
      </c>
      <c r="P432" s="973" t="s">
        <v>999</v>
      </c>
      <c r="Q432" s="973" t="s">
        <v>1000</v>
      </c>
      <c r="R432" s="973" t="s">
        <v>1001</v>
      </c>
      <c r="S432" s="973" t="s">
        <v>1002</v>
      </c>
      <c r="T432" s="423">
        <v>500</v>
      </c>
      <c r="U432" s="423" t="s">
        <v>1041</v>
      </c>
      <c r="V432" s="423">
        <v>50</v>
      </c>
      <c r="W432" s="423">
        <v>1</v>
      </c>
      <c r="X432" s="423">
        <v>21</v>
      </c>
      <c r="Y432" s="423" t="s">
        <v>1041</v>
      </c>
      <c r="Z432" s="423" t="s">
        <v>1057</v>
      </c>
      <c r="AD432" s="423">
        <f>IF(ISNUMBER(MATCH(B432,'FICHA SOLIC'!$AB$26:$AB$376,0)),1,0)</f>
        <v>1</v>
      </c>
      <c r="AE432" s="423" t="str">
        <f t="shared" si="6"/>
        <v>CoquimboZU12</v>
      </c>
    </row>
    <row r="433" spans="1:31" x14ac:dyDescent="0.25">
      <c r="A433" s="423">
        <v>432</v>
      </c>
      <c r="B433" s="423" t="s">
        <v>130</v>
      </c>
      <c r="C433" s="423" t="s">
        <v>2253</v>
      </c>
      <c r="D433" s="972" t="s">
        <v>990</v>
      </c>
      <c r="E433" s="973" t="s">
        <v>991</v>
      </c>
      <c r="F433" s="973" t="s">
        <v>992</v>
      </c>
      <c r="G433" s="973" t="s">
        <v>1997</v>
      </c>
      <c r="H433" s="973" t="s">
        <v>1998</v>
      </c>
      <c r="I433" s="973" t="s">
        <v>1999</v>
      </c>
      <c r="J433" s="972" t="s">
        <v>697</v>
      </c>
      <c r="K433" s="973" t="s">
        <v>995</v>
      </c>
      <c r="L433" s="973" t="s">
        <v>996</v>
      </c>
      <c r="M433" s="973" t="s">
        <v>2000</v>
      </c>
      <c r="N433" s="973" t="s">
        <v>2001</v>
      </c>
      <c r="O433" s="972" t="s">
        <v>1971</v>
      </c>
      <c r="P433" s="973" t="s">
        <v>999</v>
      </c>
      <c r="Q433" s="973" t="s">
        <v>1000</v>
      </c>
      <c r="R433" s="973" t="s">
        <v>1001</v>
      </c>
      <c r="S433" s="973" t="s">
        <v>1002</v>
      </c>
      <c r="T433" s="423">
        <v>150</v>
      </c>
      <c r="U433" s="423" t="s">
        <v>1041</v>
      </c>
      <c r="V433" s="423">
        <v>40</v>
      </c>
      <c r="W433" s="423">
        <v>0.8</v>
      </c>
      <c r="X433" s="423">
        <v>9</v>
      </c>
      <c r="Y433" s="423" t="s">
        <v>1041</v>
      </c>
      <c r="Z433" s="423" t="s">
        <v>1057</v>
      </c>
      <c r="AD433" s="423">
        <f>IF(ISNUMBER(MATCH(B433,'FICHA SOLIC'!$AB$26:$AB$376,0)),1,0)</f>
        <v>1</v>
      </c>
      <c r="AE433" s="423" t="str">
        <f t="shared" si="6"/>
        <v>CoquimboZU13</v>
      </c>
    </row>
    <row r="434" spans="1:31" x14ac:dyDescent="0.25">
      <c r="A434" s="423">
        <v>433</v>
      </c>
      <c r="B434" s="423" t="s">
        <v>130</v>
      </c>
      <c r="C434" s="423" t="s">
        <v>2254</v>
      </c>
      <c r="D434" s="975" t="s">
        <v>990</v>
      </c>
      <c r="E434" s="976" t="s">
        <v>991</v>
      </c>
      <c r="F434" s="976" t="s">
        <v>992</v>
      </c>
      <c r="G434" s="976" t="s">
        <v>1997</v>
      </c>
      <c r="H434" s="976" t="s">
        <v>1998</v>
      </c>
      <c r="I434" s="976" t="s">
        <v>1999</v>
      </c>
      <c r="J434" s="975" t="s">
        <v>697</v>
      </c>
      <c r="K434" s="976" t="s">
        <v>995</v>
      </c>
      <c r="L434" s="976" t="s">
        <v>996</v>
      </c>
      <c r="M434" s="976" t="s">
        <v>2000</v>
      </c>
      <c r="N434" s="976" t="s">
        <v>2001</v>
      </c>
      <c r="O434" s="975" t="s">
        <v>1971</v>
      </c>
      <c r="P434" s="976" t="s">
        <v>999</v>
      </c>
      <c r="Q434" s="976" t="s">
        <v>1000</v>
      </c>
      <c r="R434" s="976" t="s">
        <v>1001</v>
      </c>
      <c r="S434" s="976" t="s">
        <v>1002</v>
      </c>
      <c r="T434" s="423">
        <v>300</v>
      </c>
      <c r="U434" s="423" t="s">
        <v>1041</v>
      </c>
      <c r="V434" s="423">
        <v>50</v>
      </c>
      <c r="W434" s="423">
        <v>2.5</v>
      </c>
      <c r="X434" s="423">
        <v>18</v>
      </c>
      <c r="Y434" s="423" t="s">
        <v>1041</v>
      </c>
      <c r="Z434" s="423" t="s">
        <v>1057</v>
      </c>
      <c r="AD434" s="423">
        <f>IF(ISNUMBER(MATCH(B434,'FICHA SOLIC'!$AB$26:$AB$376,0)),1,0)</f>
        <v>1</v>
      </c>
      <c r="AE434" s="423" t="str">
        <f t="shared" si="6"/>
        <v>CoquimboZU14</v>
      </c>
    </row>
    <row r="435" spans="1:31" x14ac:dyDescent="0.25">
      <c r="A435" s="423">
        <v>434</v>
      </c>
      <c r="B435" s="423" t="s">
        <v>130</v>
      </c>
      <c r="C435" s="423" t="s">
        <v>2255</v>
      </c>
      <c r="D435" s="975" t="s">
        <v>990</v>
      </c>
      <c r="E435" s="976" t="s">
        <v>991</v>
      </c>
      <c r="F435" s="976" t="s">
        <v>992</v>
      </c>
      <c r="G435" s="976" t="s">
        <v>1997</v>
      </c>
      <c r="H435" s="976" t="s">
        <v>1998</v>
      </c>
      <c r="I435" s="976" t="s">
        <v>1999</v>
      </c>
      <c r="J435" s="975" t="s">
        <v>697</v>
      </c>
      <c r="K435" s="976" t="s">
        <v>995</v>
      </c>
      <c r="L435" s="976" t="s">
        <v>996</v>
      </c>
      <c r="M435" s="976" t="s">
        <v>2000</v>
      </c>
      <c r="N435" s="976" t="s">
        <v>2001</v>
      </c>
      <c r="O435" s="975" t="s">
        <v>1971</v>
      </c>
      <c r="P435" s="976" t="s">
        <v>999</v>
      </c>
      <c r="Q435" s="976" t="s">
        <v>1000</v>
      </c>
      <c r="R435" s="976" t="s">
        <v>1001</v>
      </c>
      <c r="S435" s="976" t="s">
        <v>1002</v>
      </c>
      <c r="T435" s="423">
        <v>1000</v>
      </c>
      <c r="U435" s="423" t="s">
        <v>1041</v>
      </c>
      <c r="V435" s="423">
        <v>50</v>
      </c>
      <c r="W435" s="423">
        <v>1.5</v>
      </c>
      <c r="X435" s="423">
        <v>35</v>
      </c>
      <c r="Y435" s="423" t="s">
        <v>1041</v>
      </c>
      <c r="Z435" s="423" t="s">
        <v>1058</v>
      </c>
      <c r="AD435" s="423">
        <f>IF(ISNUMBER(MATCH(B435,'FICHA SOLIC'!$AB$26:$AB$376,0)),1,0)</f>
        <v>1</v>
      </c>
      <c r="AE435" s="423" t="str">
        <f t="shared" si="6"/>
        <v>CoquimboZU15</v>
      </c>
    </row>
    <row r="436" spans="1:31" x14ac:dyDescent="0.25">
      <c r="A436" s="423">
        <v>435</v>
      </c>
      <c r="B436" s="423" t="s">
        <v>130</v>
      </c>
      <c r="C436" s="423" t="s">
        <v>2256</v>
      </c>
      <c r="D436" s="975" t="s">
        <v>990</v>
      </c>
      <c r="E436" s="976" t="s">
        <v>991</v>
      </c>
      <c r="F436" s="976" t="s">
        <v>992</v>
      </c>
      <c r="G436" s="976" t="s">
        <v>1997</v>
      </c>
      <c r="H436" s="976" t="s">
        <v>1998</v>
      </c>
      <c r="I436" s="976" t="s">
        <v>1999</v>
      </c>
      <c r="J436" s="975" t="s">
        <v>697</v>
      </c>
      <c r="K436" s="976" t="s">
        <v>995</v>
      </c>
      <c r="L436" s="976" t="s">
        <v>996</v>
      </c>
      <c r="M436" s="976" t="s">
        <v>2000</v>
      </c>
      <c r="N436" s="976" t="s">
        <v>2001</v>
      </c>
      <c r="O436" s="975" t="s">
        <v>1971</v>
      </c>
      <c r="P436" s="976" t="s">
        <v>999</v>
      </c>
      <c r="Q436" s="976" t="s">
        <v>1000</v>
      </c>
      <c r="R436" s="976" t="s">
        <v>1001</v>
      </c>
      <c r="S436" s="976" t="s">
        <v>1002</v>
      </c>
      <c r="T436" s="423">
        <v>500</v>
      </c>
      <c r="U436" s="423" t="s">
        <v>1041</v>
      </c>
      <c r="V436" s="423">
        <v>100</v>
      </c>
      <c r="W436" s="423">
        <v>4</v>
      </c>
      <c r="X436" s="423">
        <v>14</v>
      </c>
      <c r="Y436" s="423" t="s">
        <v>1041</v>
      </c>
      <c r="Z436" s="423" t="s">
        <v>1150</v>
      </c>
      <c r="AD436" s="423">
        <f>IF(ISNUMBER(MATCH(B436,'FICHA SOLIC'!$AB$26:$AB$376,0)),1,0)</f>
        <v>1</v>
      </c>
      <c r="AE436" s="423" t="str">
        <f t="shared" si="6"/>
        <v>CoquimboZU16</v>
      </c>
    </row>
    <row r="437" spans="1:31" x14ac:dyDescent="0.25">
      <c r="A437" s="423">
        <v>436</v>
      </c>
      <c r="B437" s="423" t="s">
        <v>130</v>
      </c>
      <c r="C437" s="423" t="s">
        <v>2257</v>
      </c>
      <c r="D437" s="975" t="s">
        <v>990</v>
      </c>
      <c r="E437" s="976" t="s">
        <v>991</v>
      </c>
      <c r="F437" s="976" t="s">
        <v>992</v>
      </c>
      <c r="G437" s="976" t="s">
        <v>1997</v>
      </c>
      <c r="H437" s="976" t="s">
        <v>1998</v>
      </c>
      <c r="I437" s="976" t="s">
        <v>1999</v>
      </c>
      <c r="J437" s="975" t="s">
        <v>697</v>
      </c>
      <c r="K437" s="976" t="s">
        <v>995</v>
      </c>
      <c r="L437" s="976" t="s">
        <v>996</v>
      </c>
      <c r="M437" s="976" t="s">
        <v>2000</v>
      </c>
      <c r="N437" s="976" t="s">
        <v>2001</v>
      </c>
      <c r="O437" s="975" t="s">
        <v>1971</v>
      </c>
      <c r="P437" s="976" t="s">
        <v>999</v>
      </c>
      <c r="Q437" s="976" t="s">
        <v>1000</v>
      </c>
      <c r="R437" s="976" t="s">
        <v>1001</v>
      </c>
      <c r="S437" s="976" t="s">
        <v>1002</v>
      </c>
      <c r="T437" s="423">
        <v>250</v>
      </c>
      <c r="U437" s="423" t="s">
        <v>1041</v>
      </c>
      <c r="V437" s="423">
        <v>70</v>
      </c>
      <c r="W437" s="423">
        <v>2.4</v>
      </c>
      <c r="X437" s="423">
        <v>7</v>
      </c>
      <c r="Y437" s="423" t="s">
        <v>1041</v>
      </c>
      <c r="Z437" s="423" t="s">
        <v>1059</v>
      </c>
      <c r="AD437" s="423">
        <f>IF(ISNUMBER(MATCH(B437,'FICHA SOLIC'!$AB$26:$AB$376,0)),1,0)</f>
        <v>1</v>
      </c>
      <c r="AE437" s="423" t="str">
        <f t="shared" si="6"/>
        <v>CoquimboZU17</v>
      </c>
    </row>
    <row r="438" spans="1:31" x14ac:dyDescent="0.25">
      <c r="A438" s="423">
        <v>437</v>
      </c>
      <c r="B438" s="423" t="s">
        <v>130</v>
      </c>
      <c r="C438" s="423" t="s">
        <v>2258</v>
      </c>
      <c r="D438" s="975" t="s">
        <v>990</v>
      </c>
      <c r="E438" s="976" t="s">
        <v>991</v>
      </c>
      <c r="F438" s="976" t="s">
        <v>992</v>
      </c>
      <c r="G438" s="976" t="s">
        <v>1997</v>
      </c>
      <c r="H438" s="976" t="s">
        <v>1998</v>
      </c>
      <c r="I438" s="976" t="s">
        <v>1999</v>
      </c>
      <c r="J438" s="975" t="s">
        <v>697</v>
      </c>
      <c r="K438" s="976" t="s">
        <v>995</v>
      </c>
      <c r="L438" s="976" t="s">
        <v>996</v>
      </c>
      <c r="M438" s="976" t="s">
        <v>2000</v>
      </c>
      <c r="N438" s="976" t="s">
        <v>2001</v>
      </c>
      <c r="O438" s="975" t="s">
        <v>1971</v>
      </c>
      <c r="P438" s="976" t="s">
        <v>999</v>
      </c>
      <c r="Q438" s="976" t="s">
        <v>1000</v>
      </c>
      <c r="R438" s="976" t="s">
        <v>1001</v>
      </c>
      <c r="S438" s="976" t="s">
        <v>1002</v>
      </c>
      <c r="T438" s="423">
        <v>1000</v>
      </c>
      <c r="U438" s="423" t="s">
        <v>1041</v>
      </c>
      <c r="V438" s="423">
        <v>40</v>
      </c>
      <c r="W438" s="423">
        <v>4</v>
      </c>
      <c r="X438" s="423">
        <v>56</v>
      </c>
      <c r="Y438" s="423" t="s">
        <v>1041</v>
      </c>
      <c r="Z438" s="423" t="s">
        <v>1058</v>
      </c>
      <c r="AD438" s="423">
        <f>IF(ISNUMBER(MATCH(B438,'FICHA SOLIC'!$AB$26:$AB$376,0)),1,0)</f>
        <v>1</v>
      </c>
      <c r="AE438" s="423" t="str">
        <f t="shared" si="6"/>
        <v>CoquimboZU18</v>
      </c>
    </row>
    <row r="439" spans="1:31" x14ac:dyDescent="0.25">
      <c r="A439" s="423">
        <v>438</v>
      </c>
      <c r="B439" s="423" t="s">
        <v>130</v>
      </c>
      <c r="C439" s="423" t="s">
        <v>2259</v>
      </c>
      <c r="D439" s="975" t="s">
        <v>990</v>
      </c>
      <c r="E439" s="976" t="s">
        <v>991</v>
      </c>
      <c r="F439" s="976" t="s">
        <v>992</v>
      </c>
      <c r="G439" s="976" t="s">
        <v>1997</v>
      </c>
      <c r="H439" s="976" t="s">
        <v>1998</v>
      </c>
      <c r="I439" s="976" t="s">
        <v>1999</v>
      </c>
      <c r="J439" s="975" t="s">
        <v>697</v>
      </c>
      <c r="K439" s="976" t="s">
        <v>995</v>
      </c>
      <c r="L439" s="976" t="s">
        <v>996</v>
      </c>
      <c r="M439" s="976" t="s">
        <v>2000</v>
      </c>
      <c r="N439" s="976" t="s">
        <v>2001</v>
      </c>
      <c r="O439" s="975" t="s">
        <v>1971</v>
      </c>
      <c r="P439" s="976" t="s">
        <v>999</v>
      </c>
      <c r="Q439" s="976" t="s">
        <v>1000</v>
      </c>
      <c r="R439" s="976" t="s">
        <v>1001</v>
      </c>
      <c r="S439" s="976" t="s">
        <v>1002</v>
      </c>
      <c r="T439" s="423">
        <v>1000</v>
      </c>
      <c r="U439" s="423" t="s">
        <v>1041</v>
      </c>
      <c r="V439" s="423">
        <v>30</v>
      </c>
      <c r="W439" s="423">
        <v>3</v>
      </c>
      <c r="X439" s="423">
        <v>28</v>
      </c>
      <c r="Y439" s="423" t="s">
        <v>1041</v>
      </c>
      <c r="Z439" s="423" t="s">
        <v>1058</v>
      </c>
      <c r="AD439" s="423">
        <f>IF(ISNUMBER(MATCH(B439,'FICHA SOLIC'!$AB$26:$AB$376,0)),1,0)</f>
        <v>1</v>
      </c>
      <c r="AE439" s="423" t="str">
        <f t="shared" si="6"/>
        <v>CoquimboZU19</v>
      </c>
    </row>
    <row r="440" spans="1:31" x14ac:dyDescent="0.25">
      <c r="A440" s="423">
        <v>439</v>
      </c>
      <c r="B440" s="423" t="s">
        <v>130</v>
      </c>
      <c r="C440" s="423" t="s">
        <v>1324</v>
      </c>
      <c r="D440" s="975" t="s">
        <v>990</v>
      </c>
      <c r="E440" s="976" t="s">
        <v>991</v>
      </c>
      <c r="F440" s="976" t="s">
        <v>992</v>
      </c>
      <c r="G440" s="976" t="s">
        <v>1997</v>
      </c>
      <c r="H440" s="976" t="s">
        <v>1998</v>
      </c>
      <c r="I440" s="976" t="s">
        <v>1999</v>
      </c>
      <c r="J440" s="975" t="s">
        <v>697</v>
      </c>
      <c r="K440" s="976" t="s">
        <v>995</v>
      </c>
      <c r="L440" s="976" t="s">
        <v>996</v>
      </c>
      <c r="M440" s="976" t="s">
        <v>2000</v>
      </c>
      <c r="N440" s="976" t="s">
        <v>2001</v>
      </c>
      <c r="O440" s="975" t="s">
        <v>1971</v>
      </c>
      <c r="P440" s="976" t="s">
        <v>999</v>
      </c>
      <c r="Q440" s="976" t="s">
        <v>1000</v>
      </c>
      <c r="R440" s="976" t="s">
        <v>1001</v>
      </c>
      <c r="S440" s="976" t="s">
        <v>1002</v>
      </c>
      <c r="T440" s="423">
        <v>170</v>
      </c>
      <c r="U440" s="423" t="s">
        <v>1041</v>
      </c>
      <c r="V440" s="423">
        <v>70</v>
      </c>
      <c r="W440" s="423">
        <v>4</v>
      </c>
      <c r="X440" s="423">
        <v>35</v>
      </c>
      <c r="Y440" s="423" t="s">
        <v>1041</v>
      </c>
      <c r="Z440" s="423" t="s">
        <v>1057</v>
      </c>
      <c r="AD440" s="423">
        <f>IF(ISNUMBER(MATCH(B440,'FICHA SOLIC'!$AB$26:$AB$376,0)),1,0)</f>
        <v>1</v>
      </c>
      <c r="AE440" s="423" t="str">
        <f t="shared" si="6"/>
        <v>CoquimboZU3</v>
      </c>
    </row>
    <row r="441" spans="1:31" x14ac:dyDescent="0.25">
      <c r="A441" s="423">
        <v>440</v>
      </c>
      <c r="B441" s="423" t="s">
        <v>130</v>
      </c>
      <c r="C441" s="423" t="s">
        <v>1325</v>
      </c>
      <c r="D441" s="975" t="s">
        <v>990</v>
      </c>
      <c r="E441" s="976" t="s">
        <v>991</v>
      </c>
      <c r="F441" s="976" t="s">
        <v>992</v>
      </c>
      <c r="G441" s="976" t="s">
        <v>1997</v>
      </c>
      <c r="H441" s="976" t="s">
        <v>1998</v>
      </c>
      <c r="I441" s="976" t="s">
        <v>1999</v>
      </c>
      <c r="J441" s="975" t="s">
        <v>697</v>
      </c>
      <c r="K441" s="976" t="s">
        <v>995</v>
      </c>
      <c r="L441" s="976" t="s">
        <v>996</v>
      </c>
      <c r="M441" s="976" t="s">
        <v>2000</v>
      </c>
      <c r="N441" s="976" t="s">
        <v>2001</v>
      </c>
      <c r="O441" s="975" t="s">
        <v>1971</v>
      </c>
      <c r="P441" s="976" t="s">
        <v>999</v>
      </c>
      <c r="Q441" s="976" t="s">
        <v>1000</v>
      </c>
      <c r="R441" s="976" t="s">
        <v>1001</v>
      </c>
      <c r="S441" s="976" t="s">
        <v>1002</v>
      </c>
      <c r="T441" s="423">
        <v>160</v>
      </c>
      <c r="U441" s="423" t="s">
        <v>1041</v>
      </c>
      <c r="V441" s="423">
        <v>60</v>
      </c>
      <c r="W441" s="423">
        <v>3</v>
      </c>
      <c r="X441" s="423">
        <v>18</v>
      </c>
      <c r="Y441" s="423" t="s">
        <v>1041</v>
      </c>
      <c r="Z441" s="423" t="s">
        <v>1057</v>
      </c>
      <c r="AD441" s="423">
        <f>IF(ISNUMBER(MATCH(B441,'FICHA SOLIC'!$AB$26:$AB$376,0)),1,0)</f>
        <v>1</v>
      </c>
      <c r="AE441" s="423" t="str">
        <f t="shared" si="6"/>
        <v>CoquimboZU4</v>
      </c>
    </row>
    <row r="442" spans="1:31" x14ac:dyDescent="0.25">
      <c r="A442" s="423">
        <v>441</v>
      </c>
      <c r="B442" s="423" t="s">
        <v>130</v>
      </c>
      <c r="C442" s="423" t="s">
        <v>1326</v>
      </c>
      <c r="D442" s="975" t="s">
        <v>990</v>
      </c>
      <c r="E442" s="976" t="s">
        <v>991</v>
      </c>
      <c r="F442" s="976" t="s">
        <v>992</v>
      </c>
      <c r="G442" s="976" t="s">
        <v>1997</v>
      </c>
      <c r="H442" s="976" t="s">
        <v>1998</v>
      </c>
      <c r="I442" s="976" t="s">
        <v>1999</v>
      </c>
      <c r="J442" s="975" t="s">
        <v>697</v>
      </c>
      <c r="K442" s="976" t="s">
        <v>995</v>
      </c>
      <c r="L442" s="976" t="s">
        <v>996</v>
      </c>
      <c r="M442" s="976" t="s">
        <v>2000</v>
      </c>
      <c r="N442" s="976" t="s">
        <v>2001</v>
      </c>
      <c r="O442" s="975" t="s">
        <v>1971</v>
      </c>
      <c r="P442" s="976" t="s">
        <v>999</v>
      </c>
      <c r="Q442" s="976" t="s">
        <v>1000</v>
      </c>
      <c r="R442" s="976" t="s">
        <v>1001</v>
      </c>
      <c r="S442" s="976" t="s">
        <v>1002</v>
      </c>
      <c r="T442" s="423">
        <v>200</v>
      </c>
      <c r="U442" s="423" t="s">
        <v>1041</v>
      </c>
      <c r="V442" s="423">
        <v>50</v>
      </c>
      <c r="W442" s="423">
        <v>3</v>
      </c>
      <c r="X442" s="423">
        <v>18</v>
      </c>
      <c r="Y442" s="423" t="s">
        <v>1041</v>
      </c>
      <c r="Z442" s="423" t="s">
        <v>1059</v>
      </c>
      <c r="AD442" s="423">
        <f>IF(ISNUMBER(MATCH(B442,'FICHA SOLIC'!$AB$26:$AB$376,0)),1,0)</f>
        <v>1</v>
      </c>
      <c r="AE442" s="423" t="str">
        <f t="shared" si="6"/>
        <v>CoquimboZU5</v>
      </c>
    </row>
    <row r="443" spans="1:31" x14ac:dyDescent="0.25">
      <c r="A443" s="423">
        <v>442</v>
      </c>
      <c r="B443" s="423" t="s">
        <v>130</v>
      </c>
      <c r="C443" s="423" t="s">
        <v>2260</v>
      </c>
      <c r="D443" s="975" t="s">
        <v>990</v>
      </c>
      <c r="E443" s="976" t="s">
        <v>991</v>
      </c>
      <c r="F443" s="976" t="s">
        <v>992</v>
      </c>
      <c r="G443" s="976" t="s">
        <v>1997</v>
      </c>
      <c r="H443" s="976" t="s">
        <v>1998</v>
      </c>
      <c r="I443" s="976" t="s">
        <v>1999</v>
      </c>
      <c r="J443" s="975" t="s">
        <v>697</v>
      </c>
      <c r="K443" s="976" t="s">
        <v>995</v>
      </c>
      <c r="L443" s="976" t="s">
        <v>996</v>
      </c>
      <c r="M443" s="976" t="s">
        <v>2000</v>
      </c>
      <c r="N443" s="976" t="s">
        <v>2001</v>
      </c>
      <c r="O443" s="975" t="s">
        <v>1971</v>
      </c>
      <c r="P443" s="976" t="s">
        <v>999</v>
      </c>
      <c r="Q443" s="976" t="s">
        <v>1000</v>
      </c>
      <c r="R443" s="976" t="s">
        <v>1001</v>
      </c>
      <c r="S443" s="976" t="s">
        <v>1002</v>
      </c>
      <c r="T443" s="423">
        <v>250</v>
      </c>
      <c r="U443" s="423" t="s">
        <v>1041</v>
      </c>
      <c r="V443" s="423">
        <v>60</v>
      </c>
      <c r="W443" s="423">
        <v>2.5</v>
      </c>
      <c r="X443" s="423">
        <v>11</v>
      </c>
      <c r="Y443" s="423" t="s">
        <v>1041</v>
      </c>
      <c r="Z443" s="423" t="s">
        <v>1059</v>
      </c>
      <c r="AD443" s="423">
        <f>IF(ISNUMBER(MATCH(B443,'FICHA SOLIC'!$AB$26:$AB$376,0)),1,0)</f>
        <v>1</v>
      </c>
      <c r="AE443" s="423" t="str">
        <f t="shared" si="6"/>
        <v>CoquimboZU5 a</v>
      </c>
    </row>
    <row r="444" spans="1:31" x14ac:dyDescent="0.25">
      <c r="A444" s="423">
        <v>443</v>
      </c>
      <c r="B444" s="423" t="s">
        <v>130</v>
      </c>
      <c r="C444" s="423" t="s">
        <v>1327</v>
      </c>
      <c r="D444" s="975" t="s">
        <v>990</v>
      </c>
      <c r="E444" s="976" t="s">
        <v>991</v>
      </c>
      <c r="F444" s="976" t="s">
        <v>992</v>
      </c>
      <c r="G444" s="976" t="s">
        <v>1997</v>
      </c>
      <c r="H444" s="976" t="s">
        <v>1998</v>
      </c>
      <c r="I444" s="976" t="s">
        <v>1999</v>
      </c>
      <c r="J444" s="975" t="s">
        <v>697</v>
      </c>
      <c r="K444" s="976" t="s">
        <v>995</v>
      </c>
      <c r="L444" s="976" t="s">
        <v>996</v>
      </c>
      <c r="M444" s="976" t="s">
        <v>2000</v>
      </c>
      <c r="N444" s="976" t="s">
        <v>2001</v>
      </c>
      <c r="O444" s="975" t="s">
        <v>1971</v>
      </c>
      <c r="P444" s="976" t="s">
        <v>999</v>
      </c>
      <c r="Q444" s="976" t="s">
        <v>1000</v>
      </c>
      <c r="R444" s="976" t="s">
        <v>1001</v>
      </c>
      <c r="S444" s="976" t="s">
        <v>1002</v>
      </c>
      <c r="T444" s="423">
        <v>500</v>
      </c>
      <c r="U444" s="423" t="s">
        <v>1041</v>
      </c>
      <c r="V444" s="423">
        <v>30</v>
      </c>
      <c r="W444" s="423">
        <v>0.6</v>
      </c>
      <c r="X444" s="423">
        <v>11</v>
      </c>
      <c r="Y444" s="423" t="s">
        <v>1041</v>
      </c>
      <c r="Z444" s="423" t="s">
        <v>1057</v>
      </c>
      <c r="AD444" s="423">
        <f>IF(ISNUMBER(MATCH(B444,'FICHA SOLIC'!$AB$26:$AB$376,0)),1,0)</f>
        <v>1</v>
      </c>
      <c r="AE444" s="423" t="str">
        <f t="shared" si="6"/>
        <v>CoquimboZU6</v>
      </c>
    </row>
    <row r="445" spans="1:31" x14ac:dyDescent="0.25">
      <c r="A445" s="423">
        <v>444</v>
      </c>
      <c r="B445" s="423" t="s">
        <v>130</v>
      </c>
      <c r="C445" s="423" t="s">
        <v>1328</v>
      </c>
      <c r="D445" s="975" t="s">
        <v>990</v>
      </c>
      <c r="E445" s="976" t="s">
        <v>991</v>
      </c>
      <c r="F445" s="976" t="s">
        <v>992</v>
      </c>
      <c r="G445" s="976" t="s">
        <v>1997</v>
      </c>
      <c r="H445" s="976" t="s">
        <v>1998</v>
      </c>
      <c r="I445" s="976" t="s">
        <v>1999</v>
      </c>
      <c r="J445" s="975" t="s">
        <v>697</v>
      </c>
      <c r="K445" s="976" t="s">
        <v>995</v>
      </c>
      <c r="L445" s="976" t="s">
        <v>996</v>
      </c>
      <c r="M445" s="976" t="s">
        <v>2000</v>
      </c>
      <c r="N445" s="976" t="s">
        <v>2001</v>
      </c>
      <c r="O445" s="975" t="s">
        <v>1971</v>
      </c>
      <c r="P445" s="976" t="s">
        <v>999</v>
      </c>
      <c r="Q445" s="976" t="s">
        <v>1000</v>
      </c>
      <c r="R445" s="976" t="s">
        <v>1001</v>
      </c>
      <c r="S445" s="976" t="s">
        <v>1002</v>
      </c>
      <c r="T445" s="423">
        <v>1000</v>
      </c>
      <c r="U445" s="423" t="s">
        <v>1041</v>
      </c>
      <c r="V445" s="423">
        <v>60</v>
      </c>
      <c r="W445" s="423">
        <v>1</v>
      </c>
      <c r="X445" s="423">
        <v>9</v>
      </c>
      <c r="Y445" s="423" t="s">
        <v>1041</v>
      </c>
      <c r="Z445" s="423" t="s">
        <v>1058</v>
      </c>
      <c r="AD445" s="423">
        <f>IF(ISNUMBER(MATCH(B445,'FICHA SOLIC'!$AB$26:$AB$376,0)),1,0)</f>
        <v>1</v>
      </c>
      <c r="AE445" s="423" t="str">
        <f t="shared" si="6"/>
        <v>CoquimboZU7</v>
      </c>
    </row>
    <row r="446" spans="1:31" x14ac:dyDescent="0.25">
      <c r="A446" s="423">
        <v>445</v>
      </c>
      <c r="B446" s="423" t="s">
        <v>130</v>
      </c>
      <c r="C446" s="423" t="s">
        <v>1329</v>
      </c>
      <c r="D446" s="975" t="s">
        <v>990</v>
      </c>
      <c r="E446" s="976" t="s">
        <v>991</v>
      </c>
      <c r="F446" s="976" t="s">
        <v>992</v>
      </c>
      <c r="G446" s="976" t="s">
        <v>1997</v>
      </c>
      <c r="H446" s="976" t="s">
        <v>1998</v>
      </c>
      <c r="I446" s="976" t="s">
        <v>1999</v>
      </c>
      <c r="J446" s="975" t="s">
        <v>697</v>
      </c>
      <c r="K446" s="976" t="s">
        <v>995</v>
      </c>
      <c r="L446" s="976" t="s">
        <v>996</v>
      </c>
      <c r="M446" s="976" t="s">
        <v>2000</v>
      </c>
      <c r="N446" s="976" t="s">
        <v>2001</v>
      </c>
      <c r="O446" s="975" t="s">
        <v>1971</v>
      </c>
      <c r="P446" s="976" t="s">
        <v>999</v>
      </c>
      <c r="Q446" s="976" t="s">
        <v>1000</v>
      </c>
      <c r="R446" s="976" t="s">
        <v>1001</v>
      </c>
      <c r="S446" s="976" t="s">
        <v>1002</v>
      </c>
      <c r="T446" s="423">
        <v>1000</v>
      </c>
      <c r="U446" s="423" t="s">
        <v>1041</v>
      </c>
      <c r="V446" s="423">
        <v>60</v>
      </c>
      <c r="W446" s="423">
        <v>3</v>
      </c>
      <c r="X446" s="423">
        <v>35</v>
      </c>
      <c r="Y446" s="423" t="s">
        <v>1041</v>
      </c>
      <c r="Z446" s="423" t="s">
        <v>1058</v>
      </c>
      <c r="AD446" s="423">
        <f>IF(ISNUMBER(MATCH(B446,'FICHA SOLIC'!$AB$26:$AB$376,0)),1,0)</f>
        <v>1</v>
      </c>
      <c r="AE446" s="423" t="str">
        <f t="shared" si="6"/>
        <v>CoquimboZU8</v>
      </c>
    </row>
    <row r="447" spans="1:31" x14ac:dyDescent="0.25">
      <c r="A447" s="423">
        <v>446</v>
      </c>
      <c r="B447" s="423" t="s">
        <v>130</v>
      </c>
      <c r="C447" s="423" t="s">
        <v>1330</v>
      </c>
      <c r="D447" s="975" t="s">
        <v>990</v>
      </c>
      <c r="E447" s="976" t="s">
        <v>991</v>
      </c>
      <c r="F447" s="976" t="s">
        <v>992</v>
      </c>
      <c r="G447" s="976" t="s">
        <v>1997</v>
      </c>
      <c r="H447" s="976" t="s">
        <v>1998</v>
      </c>
      <c r="I447" s="976" t="s">
        <v>1999</v>
      </c>
      <c r="J447" s="975" t="s">
        <v>697</v>
      </c>
      <c r="K447" s="976" t="s">
        <v>995</v>
      </c>
      <c r="L447" s="976" t="s">
        <v>996</v>
      </c>
      <c r="M447" s="976" t="s">
        <v>2000</v>
      </c>
      <c r="N447" s="976" t="s">
        <v>2001</v>
      </c>
      <c r="O447" s="975" t="s">
        <v>1971</v>
      </c>
      <c r="P447" s="976" t="s">
        <v>999</v>
      </c>
      <c r="Q447" s="976" t="s">
        <v>1000</v>
      </c>
      <c r="R447" s="976" t="s">
        <v>1001</v>
      </c>
      <c r="S447" s="976" t="s">
        <v>1002</v>
      </c>
      <c r="T447" s="423">
        <v>250</v>
      </c>
      <c r="U447" s="423" t="s">
        <v>1041</v>
      </c>
      <c r="V447" s="423">
        <v>60</v>
      </c>
      <c r="W447" s="423">
        <v>2.5</v>
      </c>
      <c r="X447" s="423">
        <v>14</v>
      </c>
      <c r="Y447" s="423" t="s">
        <v>1041</v>
      </c>
      <c r="Z447" s="423" t="s">
        <v>1058</v>
      </c>
      <c r="AD447" s="423">
        <f>IF(ISNUMBER(MATCH(B447,'FICHA SOLIC'!$AB$26:$AB$376,0)),1,0)</f>
        <v>1</v>
      </c>
      <c r="AE447" s="423" t="str">
        <f t="shared" si="6"/>
        <v>CoquimboZU9</v>
      </c>
    </row>
    <row r="448" spans="1:31" x14ac:dyDescent="0.25">
      <c r="A448" s="423">
        <v>447</v>
      </c>
      <c r="B448" s="423" t="s">
        <v>250</v>
      </c>
      <c r="C448" s="423" t="s">
        <v>1041</v>
      </c>
      <c r="D448" s="975" t="s">
        <v>990</v>
      </c>
      <c r="E448" s="976" t="s">
        <v>991</v>
      </c>
      <c r="F448" s="976" t="s">
        <v>992</v>
      </c>
      <c r="G448" s="976" t="s">
        <v>1997</v>
      </c>
      <c r="H448" s="976" t="s">
        <v>1998</v>
      </c>
      <c r="I448" s="976" t="s">
        <v>1999</v>
      </c>
      <c r="J448" s="975" t="s">
        <v>697</v>
      </c>
      <c r="K448" s="976" t="s">
        <v>995</v>
      </c>
      <c r="L448" s="976" t="s">
        <v>996</v>
      </c>
      <c r="M448" s="976" t="s">
        <v>2000</v>
      </c>
      <c r="N448" s="976" t="s">
        <v>2001</v>
      </c>
      <c r="O448" s="975" t="s">
        <v>1971</v>
      </c>
      <c r="P448" s="976" t="s">
        <v>999</v>
      </c>
      <c r="Q448" s="976" t="s">
        <v>1000</v>
      </c>
      <c r="R448" s="976" t="s">
        <v>1001</v>
      </c>
      <c r="S448" s="976" t="s">
        <v>1002</v>
      </c>
      <c r="T448" s="423" t="s">
        <v>1041</v>
      </c>
      <c r="U448" s="423" t="s">
        <v>1041</v>
      </c>
      <c r="V448" s="423" t="s">
        <v>1041</v>
      </c>
      <c r="W448" s="423" t="s">
        <v>1041</v>
      </c>
      <c r="X448" s="423" t="s">
        <v>1041</v>
      </c>
      <c r="Y448" s="423" t="s">
        <v>1041</v>
      </c>
      <c r="Z448" s="423" t="s">
        <v>1041</v>
      </c>
      <c r="AD448" s="423">
        <f>IF(ISNUMBER(MATCH(B448,'FICHA SOLIC'!$AB$26:$AB$376,0)),1,0)</f>
        <v>1</v>
      </c>
      <c r="AE448" s="423" t="str">
        <f t="shared" si="6"/>
        <v>CoronelOGUC</v>
      </c>
    </row>
    <row r="449" spans="1:31" x14ac:dyDescent="0.25">
      <c r="A449" s="423">
        <v>448</v>
      </c>
      <c r="B449" s="423" t="s">
        <v>306</v>
      </c>
      <c r="C449" s="423" t="s">
        <v>1041</v>
      </c>
      <c r="D449" s="975" t="s">
        <v>990</v>
      </c>
      <c r="E449" s="976" t="s">
        <v>991</v>
      </c>
      <c r="F449" s="976" t="s">
        <v>992</v>
      </c>
      <c r="G449" s="976" t="s">
        <v>1997</v>
      </c>
      <c r="H449" s="976" t="s">
        <v>1998</v>
      </c>
      <c r="I449" s="976" t="s">
        <v>1999</v>
      </c>
      <c r="J449" s="975" t="s">
        <v>697</v>
      </c>
      <c r="K449" s="976" t="s">
        <v>995</v>
      </c>
      <c r="L449" s="976" t="s">
        <v>996</v>
      </c>
      <c r="M449" s="976" t="s">
        <v>2000</v>
      </c>
      <c r="N449" s="976" t="s">
        <v>2001</v>
      </c>
      <c r="O449" s="975" t="s">
        <v>1971</v>
      </c>
      <c r="P449" s="976" t="s">
        <v>999</v>
      </c>
      <c r="Q449" s="976" t="s">
        <v>1000</v>
      </c>
      <c r="R449" s="976" t="s">
        <v>1001</v>
      </c>
      <c r="S449" s="976" t="s">
        <v>1002</v>
      </c>
      <c r="T449" s="423" t="s">
        <v>1041</v>
      </c>
      <c r="U449" s="423" t="s">
        <v>1041</v>
      </c>
      <c r="V449" s="423" t="s">
        <v>1041</v>
      </c>
      <c r="W449" s="423" t="s">
        <v>1041</v>
      </c>
      <c r="X449" s="423" t="s">
        <v>1041</v>
      </c>
      <c r="Y449" s="423" t="s">
        <v>1041</v>
      </c>
      <c r="Z449" s="423" t="s">
        <v>1041</v>
      </c>
      <c r="AD449" s="423">
        <f>IF(ISNUMBER(MATCH(B449,'FICHA SOLIC'!$AB$26:$AB$376,0)),1,0)</f>
        <v>1</v>
      </c>
      <c r="AE449" s="423" t="str">
        <f t="shared" si="6"/>
        <v>CuncoOGUC</v>
      </c>
    </row>
    <row r="450" spans="1:31" x14ac:dyDescent="0.25">
      <c r="A450" s="423">
        <v>449</v>
      </c>
      <c r="B450" s="423" t="s">
        <v>327</v>
      </c>
      <c r="C450" s="423" t="s">
        <v>1041</v>
      </c>
      <c r="D450" s="975" t="s">
        <v>990</v>
      </c>
      <c r="E450" s="976" t="s">
        <v>991</v>
      </c>
      <c r="F450" s="976" t="s">
        <v>992</v>
      </c>
      <c r="G450" s="976" t="s">
        <v>1997</v>
      </c>
      <c r="H450" s="976" t="s">
        <v>1998</v>
      </c>
      <c r="I450" s="976" t="s">
        <v>1999</v>
      </c>
      <c r="J450" s="975" t="s">
        <v>697</v>
      </c>
      <c r="K450" s="976" t="s">
        <v>995</v>
      </c>
      <c r="L450" s="976" t="s">
        <v>996</v>
      </c>
      <c r="M450" s="976" t="s">
        <v>2000</v>
      </c>
      <c r="N450" s="976" t="s">
        <v>2001</v>
      </c>
      <c r="O450" s="975" t="s">
        <v>1971</v>
      </c>
      <c r="P450" s="976" t="s">
        <v>999</v>
      </c>
      <c r="Q450" s="976" t="s">
        <v>1000</v>
      </c>
      <c r="R450" s="976" t="s">
        <v>1001</v>
      </c>
      <c r="S450" s="976" t="s">
        <v>1002</v>
      </c>
      <c r="T450" s="423" t="s">
        <v>1041</v>
      </c>
      <c r="U450" s="423" t="s">
        <v>1041</v>
      </c>
      <c r="V450" s="423" t="s">
        <v>1041</v>
      </c>
      <c r="W450" s="423" t="s">
        <v>1041</v>
      </c>
      <c r="X450" s="423" t="s">
        <v>1041</v>
      </c>
      <c r="Y450" s="423" t="s">
        <v>1041</v>
      </c>
      <c r="Z450" s="423" t="s">
        <v>1041</v>
      </c>
      <c r="AD450" s="423">
        <f>IF(ISNUMBER(MATCH(B450,'FICHA SOLIC'!$AB$26:$AB$376,0)),1,0)</f>
        <v>1</v>
      </c>
      <c r="AE450" s="423" t="str">
        <f t="shared" si="6"/>
        <v>CuracautínOGUC</v>
      </c>
    </row>
    <row r="451" spans="1:31" x14ac:dyDescent="0.25">
      <c r="A451" s="423">
        <v>450</v>
      </c>
      <c r="B451" s="423" t="s">
        <v>447</v>
      </c>
      <c r="C451" s="423" t="s">
        <v>2281</v>
      </c>
      <c r="D451" s="975" t="s">
        <v>990</v>
      </c>
      <c r="E451" s="976" t="s">
        <v>991</v>
      </c>
      <c r="F451" s="976" t="s">
        <v>992</v>
      </c>
      <c r="G451" s="976" t="s">
        <v>1997</v>
      </c>
      <c r="H451" s="976" t="s">
        <v>1998</v>
      </c>
      <c r="I451" s="976" t="s">
        <v>1999</v>
      </c>
      <c r="J451" s="975" t="s">
        <v>697</v>
      </c>
      <c r="K451" s="976" t="s">
        <v>995</v>
      </c>
      <c r="L451" s="976" t="s">
        <v>996</v>
      </c>
      <c r="M451" s="976" t="s">
        <v>2000</v>
      </c>
      <c r="N451" s="976" t="s">
        <v>2001</v>
      </c>
      <c r="O451" s="975" t="s">
        <v>1971</v>
      </c>
      <c r="P451" s="976" t="s">
        <v>999</v>
      </c>
      <c r="Q451" s="976" t="s">
        <v>1000</v>
      </c>
      <c r="R451" s="976" t="s">
        <v>1001</v>
      </c>
      <c r="S451" s="976" t="s">
        <v>1002</v>
      </c>
      <c r="T451" s="423">
        <v>1500</v>
      </c>
      <c r="U451" s="423">
        <v>25</v>
      </c>
      <c r="V451" s="423">
        <v>50</v>
      </c>
      <c r="W451" s="423">
        <v>0.5</v>
      </c>
      <c r="X451" s="423" t="s">
        <v>1173</v>
      </c>
      <c r="Y451" s="423" t="s">
        <v>1041</v>
      </c>
      <c r="Z451" s="423" t="s">
        <v>1058</v>
      </c>
      <c r="AD451" s="423">
        <f>IF(ISNUMBER(MATCH(B451,'FICHA SOLIC'!$AB$26:$AB$376,0)),1,0)</f>
        <v>1</v>
      </c>
      <c r="AE451" s="423" t="str">
        <f t="shared" ref="AE451:AE514" si="7">B451&amp;C451</f>
        <v>CuracavíIZ1</v>
      </c>
    </row>
    <row r="452" spans="1:31" x14ac:dyDescent="0.25">
      <c r="A452" s="423">
        <v>451</v>
      </c>
      <c r="B452" s="423" t="s">
        <v>447</v>
      </c>
      <c r="C452" s="423" t="s">
        <v>2014</v>
      </c>
      <c r="D452" s="973" t="s">
        <v>990</v>
      </c>
      <c r="E452" s="973" t="s">
        <v>991</v>
      </c>
      <c r="F452" s="973" t="s">
        <v>992</v>
      </c>
      <c r="G452" s="973" t="s">
        <v>1997</v>
      </c>
      <c r="H452" s="973" t="s">
        <v>1998</v>
      </c>
      <c r="I452" s="973" t="s">
        <v>1999</v>
      </c>
      <c r="J452" s="973" t="s">
        <v>697</v>
      </c>
      <c r="K452" s="973" t="s">
        <v>995</v>
      </c>
      <c r="L452" s="973" t="s">
        <v>996</v>
      </c>
      <c r="M452" s="973" t="s">
        <v>2000</v>
      </c>
      <c r="N452" s="973" t="s">
        <v>2001</v>
      </c>
      <c r="O452" s="973" t="s">
        <v>1971</v>
      </c>
      <c r="P452" s="973" t="s">
        <v>999</v>
      </c>
      <c r="Q452" s="973" t="s">
        <v>1000</v>
      </c>
      <c r="R452" s="973" t="s">
        <v>1001</v>
      </c>
      <c r="S452" s="973" t="s">
        <v>1002</v>
      </c>
      <c r="T452" s="423">
        <v>300</v>
      </c>
      <c r="U452" s="423">
        <v>10</v>
      </c>
      <c r="V452" s="423">
        <v>60</v>
      </c>
      <c r="W452" s="423">
        <v>1.2</v>
      </c>
      <c r="X452" s="423">
        <v>8</v>
      </c>
      <c r="Y452" s="423" t="s">
        <v>1041</v>
      </c>
      <c r="Z452" s="423" t="s">
        <v>1059</v>
      </c>
      <c r="AD452" s="423">
        <f>IF(ISNUMBER(MATCH(B452,'FICHA SOLIC'!$AB$26:$AB$376,0)),1,0)</f>
        <v>1</v>
      </c>
      <c r="AE452" s="423" t="str">
        <f t="shared" si="7"/>
        <v>CuracavíZ1</v>
      </c>
    </row>
    <row r="453" spans="1:31" x14ac:dyDescent="0.25">
      <c r="A453" s="423">
        <v>452</v>
      </c>
      <c r="B453" s="423" t="s">
        <v>447</v>
      </c>
      <c r="C453" s="423" t="s">
        <v>1458</v>
      </c>
      <c r="D453" s="973" t="s">
        <v>990</v>
      </c>
      <c r="E453" s="973" t="s">
        <v>991</v>
      </c>
      <c r="F453" s="973" t="s">
        <v>992</v>
      </c>
      <c r="G453" s="973" t="s">
        <v>1997</v>
      </c>
      <c r="H453" s="973" t="s">
        <v>1998</v>
      </c>
      <c r="I453" s="973" t="s">
        <v>1999</v>
      </c>
      <c r="J453" s="973" t="s">
        <v>697</v>
      </c>
      <c r="K453" s="973" t="s">
        <v>995</v>
      </c>
      <c r="L453" s="973" t="s">
        <v>996</v>
      </c>
      <c r="M453" s="973" t="s">
        <v>2000</v>
      </c>
      <c r="N453" s="973" t="s">
        <v>2001</v>
      </c>
      <c r="O453" s="973" t="s">
        <v>1971</v>
      </c>
      <c r="P453" s="973" t="s">
        <v>999</v>
      </c>
      <c r="Q453" s="973" t="s">
        <v>1000</v>
      </c>
      <c r="R453" s="973" t="s">
        <v>1001</v>
      </c>
      <c r="S453" s="973" t="s">
        <v>1002</v>
      </c>
      <c r="T453" s="423">
        <v>300</v>
      </c>
      <c r="U453" s="423">
        <v>8</v>
      </c>
      <c r="V453" s="423">
        <v>50</v>
      </c>
      <c r="W453" s="423">
        <v>1</v>
      </c>
      <c r="X453" s="423" t="s">
        <v>1041</v>
      </c>
      <c r="Y453" s="423" t="s">
        <v>1041</v>
      </c>
      <c r="Z453" s="423" t="s">
        <v>1057</v>
      </c>
      <c r="AD453" s="423">
        <f>IF(ISNUMBER(MATCH(B453,'FICHA SOLIC'!$AB$26:$AB$376,0)),1,0)</f>
        <v>1</v>
      </c>
      <c r="AE453" s="423" t="str">
        <f t="shared" si="7"/>
        <v>CuracavíZ2</v>
      </c>
    </row>
    <row r="454" spans="1:31" x14ac:dyDescent="0.25">
      <c r="A454" s="423">
        <v>453</v>
      </c>
      <c r="B454" s="423" t="s">
        <v>447</v>
      </c>
      <c r="C454" s="423" t="s">
        <v>2022</v>
      </c>
      <c r="D454" s="973" t="s">
        <v>990</v>
      </c>
      <c r="E454" s="973" t="s">
        <v>991</v>
      </c>
      <c r="F454" s="973" t="s">
        <v>992</v>
      </c>
      <c r="G454" s="973" t="s">
        <v>1997</v>
      </c>
      <c r="H454" s="973" t="s">
        <v>1998</v>
      </c>
      <c r="I454" s="973" t="s">
        <v>1999</v>
      </c>
      <c r="J454" s="973" t="s">
        <v>697</v>
      </c>
      <c r="K454" s="973" t="s">
        <v>995</v>
      </c>
      <c r="L454" s="973" t="s">
        <v>996</v>
      </c>
      <c r="M454" s="973" t="s">
        <v>2000</v>
      </c>
      <c r="N454" s="973" t="s">
        <v>2001</v>
      </c>
      <c r="O454" s="973" t="s">
        <v>1971</v>
      </c>
      <c r="P454" s="973" t="s">
        <v>999</v>
      </c>
      <c r="Q454" s="973" t="s">
        <v>1000</v>
      </c>
      <c r="R454" s="973" t="s">
        <v>1001</v>
      </c>
      <c r="S454" s="973" t="s">
        <v>1002</v>
      </c>
      <c r="T454" s="423">
        <v>300</v>
      </c>
      <c r="U454" s="423">
        <v>10</v>
      </c>
      <c r="V454" s="423">
        <v>60</v>
      </c>
      <c r="W454" s="423">
        <v>1</v>
      </c>
      <c r="X454" s="423" t="s">
        <v>1041</v>
      </c>
      <c r="Y454" s="423" t="s">
        <v>1041</v>
      </c>
      <c r="Z454" s="423" t="s">
        <v>1057</v>
      </c>
      <c r="AD454" s="423">
        <f>IF(ISNUMBER(MATCH(B454,'FICHA SOLIC'!$AB$26:$AB$376,0)),1,0)</f>
        <v>1</v>
      </c>
      <c r="AE454" s="423" t="str">
        <f t="shared" si="7"/>
        <v>CuracavíZ3</v>
      </c>
    </row>
    <row r="455" spans="1:31" x14ac:dyDescent="0.25">
      <c r="A455" s="423">
        <v>454</v>
      </c>
      <c r="B455" s="423" t="s">
        <v>447</v>
      </c>
      <c r="C455" s="423" t="s">
        <v>2024</v>
      </c>
      <c r="D455" s="973" t="s">
        <v>990</v>
      </c>
      <c r="E455" s="973" t="s">
        <v>991</v>
      </c>
      <c r="F455" s="973" t="s">
        <v>992</v>
      </c>
      <c r="G455" s="973" t="s">
        <v>1997</v>
      </c>
      <c r="H455" s="973" t="s">
        <v>1998</v>
      </c>
      <c r="I455" s="973" t="s">
        <v>1999</v>
      </c>
      <c r="J455" s="973" t="s">
        <v>697</v>
      </c>
      <c r="K455" s="973" t="s">
        <v>995</v>
      </c>
      <c r="L455" s="973" t="s">
        <v>996</v>
      </c>
      <c r="M455" s="973" t="s">
        <v>2000</v>
      </c>
      <c r="N455" s="973" t="s">
        <v>2001</v>
      </c>
      <c r="O455" s="973" t="s">
        <v>1971</v>
      </c>
      <c r="P455" s="973" t="s">
        <v>999</v>
      </c>
      <c r="Q455" s="973" t="s">
        <v>1000</v>
      </c>
      <c r="R455" s="973" t="s">
        <v>1001</v>
      </c>
      <c r="S455" s="973" t="s">
        <v>1002</v>
      </c>
      <c r="T455" s="423">
        <v>350</v>
      </c>
      <c r="U455" s="423">
        <v>12</v>
      </c>
      <c r="V455" s="423">
        <v>60</v>
      </c>
      <c r="W455" s="423">
        <v>1</v>
      </c>
      <c r="X455" s="423" t="s">
        <v>1041</v>
      </c>
      <c r="Y455" s="423" t="s">
        <v>1041</v>
      </c>
      <c r="Z455" s="423" t="s">
        <v>1057</v>
      </c>
      <c r="AD455" s="423">
        <f>IF(ISNUMBER(MATCH(B455,'FICHA SOLIC'!$AB$26:$AB$376,0)),1,0)</f>
        <v>1</v>
      </c>
      <c r="AE455" s="423" t="str">
        <f t="shared" si="7"/>
        <v>CuracavíZ4</v>
      </c>
    </row>
    <row r="456" spans="1:31" x14ac:dyDescent="0.25">
      <c r="A456" s="423">
        <v>455</v>
      </c>
      <c r="B456" s="423" t="s">
        <v>447</v>
      </c>
      <c r="C456" s="423" t="s">
        <v>2025</v>
      </c>
      <c r="D456" s="973" t="s">
        <v>990</v>
      </c>
      <c r="E456" s="973" t="s">
        <v>991</v>
      </c>
      <c r="F456" s="973" t="s">
        <v>992</v>
      </c>
      <c r="G456" s="973" t="s">
        <v>1997</v>
      </c>
      <c r="H456" s="973" t="s">
        <v>1998</v>
      </c>
      <c r="I456" s="973" t="s">
        <v>1999</v>
      </c>
      <c r="J456" s="973" t="s">
        <v>697</v>
      </c>
      <c r="K456" s="973" t="s">
        <v>995</v>
      </c>
      <c r="L456" s="973" t="s">
        <v>996</v>
      </c>
      <c r="M456" s="973" t="s">
        <v>2000</v>
      </c>
      <c r="N456" s="973" t="s">
        <v>2001</v>
      </c>
      <c r="O456" s="973" t="s">
        <v>1971</v>
      </c>
      <c r="P456" s="973" t="s">
        <v>999</v>
      </c>
      <c r="Q456" s="973" t="s">
        <v>1000</v>
      </c>
      <c r="R456" s="973" t="s">
        <v>1001</v>
      </c>
      <c r="S456" s="973" t="s">
        <v>1002</v>
      </c>
      <c r="T456" s="423">
        <v>5000</v>
      </c>
      <c r="U456" s="423">
        <v>50</v>
      </c>
      <c r="V456" s="423">
        <v>10</v>
      </c>
      <c r="W456" s="423">
        <v>0.1</v>
      </c>
      <c r="X456" s="423" t="s">
        <v>1173</v>
      </c>
      <c r="Y456" s="423" t="s">
        <v>1041</v>
      </c>
      <c r="Z456" s="423" t="s">
        <v>1058</v>
      </c>
      <c r="AD456" s="423">
        <f>IF(ISNUMBER(MATCH(B456,'FICHA SOLIC'!$AB$26:$AB$376,0)),1,0)</f>
        <v>1</v>
      </c>
      <c r="AE456" s="423" t="str">
        <f t="shared" si="7"/>
        <v>CuracavíZ5</v>
      </c>
    </row>
    <row r="457" spans="1:31" x14ac:dyDescent="0.25">
      <c r="A457" s="423">
        <v>456</v>
      </c>
      <c r="B457" s="423" t="s">
        <v>447</v>
      </c>
      <c r="C457" s="423" t="s">
        <v>2114</v>
      </c>
      <c r="D457" s="973" t="s">
        <v>990</v>
      </c>
      <c r="E457" s="973" t="s">
        <v>991</v>
      </c>
      <c r="F457" s="973" t="s">
        <v>992</v>
      </c>
      <c r="G457" s="973" t="s">
        <v>1997</v>
      </c>
      <c r="H457" s="973" t="s">
        <v>1998</v>
      </c>
      <c r="I457" s="973" t="s">
        <v>1999</v>
      </c>
      <c r="J457" s="973" t="s">
        <v>697</v>
      </c>
      <c r="K457" s="973" t="s">
        <v>995</v>
      </c>
      <c r="L457" s="973" t="s">
        <v>996</v>
      </c>
      <c r="M457" s="973" t="s">
        <v>2000</v>
      </c>
      <c r="N457" s="973" t="s">
        <v>2001</v>
      </c>
      <c r="O457" s="973" t="s">
        <v>1971</v>
      </c>
      <c r="P457" s="973" t="s">
        <v>999</v>
      </c>
      <c r="Q457" s="973" t="s">
        <v>1000</v>
      </c>
      <c r="R457" s="973" t="s">
        <v>1001</v>
      </c>
      <c r="S457" s="973" t="s">
        <v>1002</v>
      </c>
      <c r="T457" s="423">
        <v>500</v>
      </c>
      <c r="U457" s="423">
        <v>15</v>
      </c>
      <c r="V457" s="423">
        <v>40</v>
      </c>
      <c r="W457" s="423">
        <v>0.4</v>
      </c>
      <c r="X457" s="423" t="s">
        <v>1173</v>
      </c>
      <c r="Y457" s="423" t="s">
        <v>1041</v>
      </c>
      <c r="Z457" s="423" t="s">
        <v>1058</v>
      </c>
      <c r="AD457" s="423">
        <f>IF(ISNUMBER(MATCH(B457,'FICHA SOLIC'!$AB$26:$AB$376,0)),1,0)</f>
        <v>1</v>
      </c>
      <c r="AE457" s="423" t="str">
        <f t="shared" si="7"/>
        <v>CuracavíZR4</v>
      </c>
    </row>
    <row r="458" spans="1:31" x14ac:dyDescent="0.25">
      <c r="A458" s="423">
        <v>457</v>
      </c>
      <c r="B458" s="423" t="s">
        <v>265</v>
      </c>
      <c r="C458" s="423" t="s">
        <v>1041</v>
      </c>
      <c r="D458" s="973" t="s">
        <v>990</v>
      </c>
      <c r="E458" s="973" t="s">
        <v>991</v>
      </c>
      <c r="F458" s="973" t="s">
        <v>992</v>
      </c>
      <c r="G458" s="973" t="s">
        <v>1997</v>
      </c>
      <c r="H458" s="973" t="s">
        <v>1998</v>
      </c>
      <c r="I458" s="973" t="s">
        <v>1999</v>
      </c>
      <c r="J458" s="973" t="s">
        <v>697</v>
      </c>
      <c r="K458" s="973" t="s">
        <v>995</v>
      </c>
      <c r="L458" s="973" t="s">
        <v>996</v>
      </c>
      <c r="M458" s="973" t="s">
        <v>2000</v>
      </c>
      <c r="N458" s="973" t="s">
        <v>2001</v>
      </c>
      <c r="O458" s="973" t="s">
        <v>1971</v>
      </c>
      <c r="P458" s="973" t="s">
        <v>999</v>
      </c>
      <c r="Q458" s="973" t="s">
        <v>1000</v>
      </c>
      <c r="R458" s="973" t="s">
        <v>1001</v>
      </c>
      <c r="S458" s="973" t="s">
        <v>1002</v>
      </c>
      <c r="T458" s="423" t="s">
        <v>1041</v>
      </c>
      <c r="U458" s="423" t="s">
        <v>1041</v>
      </c>
      <c r="V458" s="423" t="s">
        <v>1041</v>
      </c>
      <c r="W458" s="423" t="s">
        <v>1041</v>
      </c>
      <c r="X458" s="423" t="s">
        <v>1041</v>
      </c>
      <c r="Y458" s="423" t="s">
        <v>1041</v>
      </c>
      <c r="Z458" s="423" t="s">
        <v>1041</v>
      </c>
      <c r="AD458" s="423">
        <f>IF(ISNUMBER(MATCH(B458,'FICHA SOLIC'!$AB$26:$AB$376,0)),1,0)</f>
        <v>1</v>
      </c>
      <c r="AE458" s="423" t="str">
        <f t="shared" si="7"/>
        <v>CuranilahueOGUC</v>
      </c>
    </row>
    <row r="459" spans="1:31" x14ac:dyDescent="0.25">
      <c r="A459" s="423">
        <v>458</v>
      </c>
      <c r="B459" s="423" t="s">
        <v>231</v>
      </c>
      <c r="C459" s="423" t="s">
        <v>2014</v>
      </c>
      <c r="D459" s="973" t="s">
        <v>990</v>
      </c>
      <c r="E459" s="973" t="s">
        <v>991</v>
      </c>
      <c r="F459" s="973" t="s">
        <v>992</v>
      </c>
      <c r="G459" s="973" t="s">
        <v>1997</v>
      </c>
      <c r="H459" s="973" t="s">
        <v>1998</v>
      </c>
      <c r="I459" s="973" t="s">
        <v>1999</v>
      </c>
      <c r="J459" s="973" t="s">
        <v>697</v>
      </c>
      <c r="K459" s="973" t="s">
        <v>995</v>
      </c>
      <c r="L459" s="973" t="s">
        <v>996</v>
      </c>
      <c r="M459" s="973" t="s">
        <v>2000</v>
      </c>
      <c r="N459" s="973" t="s">
        <v>2001</v>
      </c>
      <c r="O459" s="973" t="s">
        <v>1971</v>
      </c>
      <c r="P459" s="973" t="s">
        <v>999</v>
      </c>
      <c r="Q459" s="973" t="s">
        <v>1000</v>
      </c>
      <c r="R459" s="973" t="s">
        <v>1001</v>
      </c>
      <c r="S459" s="973" t="s">
        <v>1002</v>
      </c>
      <c r="T459" s="423">
        <v>700</v>
      </c>
      <c r="V459" s="423">
        <v>0.26</v>
      </c>
      <c r="W459" s="423">
        <v>1.3</v>
      </c>
      <c r="X459" s="423">
        <v>14.4</v>
      </c>
      <c r="Y459" s="423">
        <v>10</v>
      </c>
      <c r="Z459" s="423" t="s">
        <v>1058</v>
      </c>
      <c r="AD459" s="423">
        <f>IF(ISNUMBER(MATCH(B459,'FICHA SOLIC'!$AB$26:$AB$376,0)),1,0)</f>
        <v>1</v>
      </c>
      <c r="AE459" s="423" t="str">
        <f t="shared" si="7"/>
        <v>CuricóZ1</v>
      </c>
    </row>
    <row r="460" spans="1:31" x14ac:dyDescent="0.25">
      <c r="A460" s="423">
        <v>459</v>
      </c>
      <c r="B460" s="423" t="s">
        <v>231</v>
      </c>
      <c r="C460" s="423" t="s">
        <v>2282</v>
      </c>
      <c r="D460" s="973" t="s">
        <v>990</v>
      </c>
      <c r="E460" s="973" t="s">
        <v>991</v>
      </c>
      <c r="F460" s="973" t="s">
        <v>992</v>
      </c>
      <c r="G460" s="973" t="s">
        <v>1997</v>
      </c>
      <c r="H460" s="973" t="s">
        <v>1998</v>
      </c>
      <c r="I460" s="973" t="s">
        <v>1999</v>
      </c>
      <c r="J460" s="973" t="s">
        <v>697</v>
      </c>
      <c r="K460" s="973" t="s">
        <v>995</v>
      </c>
      <c r="L460" s="973" t="s">
        <v>996</v>
      </c>
      <c r="M460" s="973" t="s">
        <v>2000</v>
      </c>
      <c r="N460" s="973" t="s">
        <v>2001</v>
      </c>
      <c r="O460" s="973" t="s">
        <v>1971</v>
      </c>
      <c r="P460" s="973" t="s">
        <v>999</v>
      </c>
      <c r="Q460" s="973" t="s">
        <v>1000</v>
      </c>
      <c r="R460" s="973" t="s">
        <v>1001</v>
      </c>
      <c r="S460" s="973" t="s">
        <v>1002</v>
      </c>
      <c r="T460" s="423">
        <v>560</v>
      </c>
      <c r="V460" s="423">
        <v>1</v>
      </c>
      <c r="W460" s="423">
        <v>3.25</v>
      </c>
      <c r="X460" s="423">
        <v>17</v>
      </c>
      <c r="Z460" s="423" t="s">
        <v>1096</v>
      </c>
      <c r="AD460" s="423">
        <f>IF(ISNUMBER(MATCH(B460,'FICHA SOLIC'!$AB$26:$AB$376,0)),1,0)</f>
        <v>1</v>
      </c>
      <c r="AE460" s="423" t="str">
        <f t="shared" si="7"/>
        <v>CuricóZCC</v>
      </c>
    </row>
    <row r="461" spans="1:31" x14ac:dyDescent="0.25">
      <c r="A461" s="423">
        <v>460</v>
      </c>
      <c r="B461" s="423" t="s">
        <v>231</v>
      </c>
      <c r="C461" s="423" t="s">
        <v>1454</v>
      </c>
      <c r="D461" s="973" t="s">
        <v>990</v>
      </c>
      <c r="E461" s="973" t="s">
        <v>991</v>
      </c>
      <c r="F461" s="973" t="s">
        <v>992</v>
      </c>
      <c r="G461" s="973" t="s">
        <v>1997</v>
      </c>
      <c r="H461" s="973" t="s">
        <v>1998</v>
      </c>
      <c r="I461" s="973" t="s">
        <v>1999</v>
      </c>
      <c r="J461" s="973" t="s">
        <v>697</v>
      </c>
      <c r="K461" s="973" t="s">
        <v>995</v>
      </c>
      <c r="L461" s="973" t="s">
        <v>996</v>
      </c>
      <c r="M461" s="973" t="s">
        <v>2000</v>
      </c>
      <c r="N461" s="973" t="s">
        <v>2001</v>
      </c>
      <c r="O461" s="973" t="s">
        <v>1971</v>
      </c>
      <c r="P461" s="973" t="s">
        <v>999</v>
      </c>
      <c r="Q461" s="973" t="s">
        <v>1000</v>
      </c>
      <c r="R461" s="973" t="s">
        <v>1001</v>
      </c>
      <c r="S461" s="973" t="s">
        <v>1002</v>
      </c>
      <c r="T461" s="423">
        <v>2500</v>
      </c>
      <c r="V461" s="423">
        <v>0.3</v>
      </c>
      <c r="W461" s="423">
        <v>0.3</v>
      </c>
      <c r="X461" s="423">
        <v>4.5</v>
      </c>
      <c r="Z461" s="423" t="s">
        <v>1058</v>
      </c>
      <c r="AD461" s="423">
        <f>IF(ISNUMBER(MATCH(B461,'FICHA SOLIC'!$AB$26:$AB$376,0)),1,0)</f>
        <v>1</v>
      </c>
      <c r="AE461" s="423" t="str">
        <f t="shared" si="7"/>
        <v>CuricóZE-1</v>
      </c>
    </row>
    <row r="462" spans="1:31" x14ac:dyDescent="0.25">
      <c r="A462" s="423">
        <v>461</v>
      </c>
      <c r="B462" s="423" t="s">
        <v>231</v>
      </c>
      <c r="C462" s="423" t="s">
        <v>1474</v>
      </c>
      <c r="D462" s="975" t="s">
        <v>990</v>
      </c>
      <c r="E462" s="976" t="s">
        <v>991</v>
      </c>
      <c r="F462" s="976" t="s">
        <v>992</v>
      </c>
      <c r="G462" s="976" t="s">
        <v>1997</v>
      </c>
      <c r="H462" s="976" t="s">
        <v>1998</v>
      </c>
      <c r="I462" s="976" t="s">
        <v>1999</v>
      </c>
      <c r="J462" s="975" t="s">
        <v>697</v>
      </c>
      <c r="K462" s="976" t="s">
        <v>995</v>
      </c>
      <c r="L462" s="976" t="s">
        <v>996</v>
      </c>
      <c r="M462" s="976" t="s">
        <v>2000</v>
      </c>
      <c r="N462" s="976" t="s">
        <v>2001</v>
      </c>
      <c r="O462" s="975" t="s">
        <v>1971</v>
      </c>
      <c r="P462" s="976" t="s">
        <v>999</v>
      </c>
      <c r="Q462" s="976" t="s">
        <v>1000</v>
      </c>
      <c r="R462" s="976" t="s">
        <v>1001</v>
      </c>
      <c r="S462" s="976" t="s">
        <v>1002</v>
      </c>
      <c r="T462" s="423">
        <v>1000</v>
      </c>
      <c r="V462" s="423">
        <v>0.8</v>
      </c>
      <c r="W462" s="423">
        <v>2.6</v>
      </c>
      <c r="X462" s="423">
        <v>13.2</v>
      </c>
      <c r="Z462" s="423" t="s">
        <v>1058</v>
      </c>
      <c r="AD462" s="423">
        <f>IF(ISNUMBER(MATCH(B462,'FICHA SOLIC'!$AB$26:$AB$376,0)),1,0)</f>
        <v>1</v>
      </c>
      <c r="AE462" s="423" t="str">
        <f t="shared" si="7"/>
        <v>CuricóZE-2</v>
      </c>
    </row>
    <row r="463" spans="1:31" x14ac:dyDescent="0.25">
      <c r="A463" s="423">
        <v>462</v>
      </c>
      <c r="B463" s="423" t="s">
        <v>231</v>
      </c>
      <c r="C463" s="423" t="s">
        <v>1475</v>
      </c>
      <c r="D463" s="975" t="s">
        <v>990</v>
      </c>
      <c r="E463" s="976" t="s">
        <v>991</v>
      </c>
      <c r="F463" s="976" t="s">
        <v>992</v>
      </c>
      <c r="G463" s="976" t="s">
        <v>1997</v>
      </c>
      <c r="H463" s="976" t="s">
        <v>1998</v>
      </c>
      <c r="I463" s="976" t="s">
        <v>1999</v>
      </c>
      <c r="J463" s="975" t="s">
        <v>697</v>
      </c>
      <c r="K463" s="976" t="s">
        <v>995</v>
      </c>
      <c r="L463" s="976" t="s">
        <v>996</v>
      </c>
      <c r="M463" s="976" t="s">
        <v>2000</v>
      </c>
      <c r="N463" s="976" t="s">
        <v>2001</v>
      </c>
      <c r="O463" s="975" t="s">
        <v>1971</v>
      </c>
      <c r="P463" s="976" t="s">
        <v>999</v>
      </c>
      <c r="Q463" s="976" t="s">
        <v>1000</v>
      </c>
      <c r="R463" s="976" t="s">
        <v>1001</v>
      </c>
      <c r="S463" s="976" t="s">
        <v>1002</v>
      </c>
      <c r="AD463" s="423">
        <f>IF(ISNUMBER(MATCH(B463,'FICHA SOLIC'!$AB$26:$AB$376,0)),1,0)</f>
        <v>1</v>
      </c>
      <c r="AE463" s="423" t="str">
        <f t="shared" si="7"/>
        <v>CuricóZE-3</v>
      </c>
    </row>
    <row r="464" spans="1:31" x14ac:dyDescent="0.25">
      <c r="A464" s="423">
        <v>463</v>
      </c>
      <c r="B464" s="423" t="s">
        <v>231</v>
      </c>
      <c r="C464" s="423" t="s">
        <v>1476</v>
      </c>
      <c r="D464" s="975" t="s">
        <v>990</v>
      </c>
      <c r="E464" s="976" t="s">
        <v>991</v>
      </c>
      <c r="F464" s="976" t="s">
        <v>992</v>
      </c>
      <c r="G464" s="976" t="s">
        <v>1997</v>
      </c>
      <c r="H464" s="976" t="s">
        <v>1998</v>
      </c>
      <c r="I464" s="976" t="s">
        <v>1999</v>
      </c>
      <c r="J464" s="975" t="s">
        <v>697</v>
      </c>
      <c r="K464" s="976" t="s">
        <v>995</v>
      </c>
      <c r="L464" s="976" t="s">
        <v>996</v>
      </c>
      <c r="M464" s="976" t="s">
        <v>2000</v>
      </c>
      <c r="N464" s="976" t="s">
        <v>2001</v>
      </c>
      <c r="O464" s="975" t="s">
        <v>1971</v>
      </c>
      <c r="P464" s="976" t="s">
        <v>999</v>
      </c>
      <c r="Q464" s="976" t="s">
        <v>1000</v>
      </c>
      <c r="R464" s="976" t="s">
        <v>1001</v>
      </c>
      <c r="S464" s="976" t="s">
        <v>1002</v>
      </c>
      <c r="T464" s="423">
        <v>2500</v>
      </c>
      <c r="V464" s="423">
        <v>0.6</v>
      </c>
      <c r="W464" s="423">
        <v>1</v>
      </c>
      <c r="X464" s="423">
        <v>14</v>
      </c>
      <c r="Z464" s="423" t="s">
        <v>1058</v>
      </c>
      <c r="AD464" s="423">
        <f>IF(ISNUMBER(MATCH(B464,'FICHA SOLIC'!$AB$26:$AB$376,0)),1,0)</f>
        <v>1</v>
      </c>
      <c r="AE464" s="423" t="str">
        <f t="shared" si="7"/>
        <v>CuricóZE-4</v>
      </c>
    </row>
    <row r="465" spans="1:31" x14ac:dyDescent="0.25">
      <c r="A465" s="423">
        <v>464</v>
      </c>
      <c r="B465" s="423" t="s">
        <v>231</v>
      </c>
      <c r="C465" s="423" t="s">
        <v>1477</v>
      </c>
      <c r="D465" s="975" t="s">
        <v>990</v>
      </c>
      <c r="E465" s="976" t="s">
        <v>991</v>
      </c>
      <c r="F465" s="976" t="s">
        <v>992</v>
      </c>
      <c r="G465" s="976" t="s">
        <v>1997</v>
      </c>
      <c r="H465" s="976" t="s">
        <v>1998</v>
      </c>
      <c r="I465" s="976" t="s">
        <v>1999</v>
      </c>
      <c r="J465" s="975" t="s">
        <v>697</v>
      </c>
      <c r="K465" s="976" t="s">
        <v>995</v>
      </c>
      <c r="L465" s="976" t="s">
        <v>996</v>
      </c>
      <c r="M465" s="976" t="s">
        <v>2000</v>
      </c>
      <c r="N465" s="976" t="s">
        <v>2001</v>
      </c>
      <c r="O465" s="975" t="s">
        <v>1971</v>
      </c>
      <c r="P465" s="976" t="s">
        <v>999</v>
      </c>
      <c r="Q465" s="976" t="s">
        <v>1000</v>
      </c>
      <c r="R465" s="976" t="s">
        <v>1001</v>
      </c>
      <c r="S465" s="976" t="s">
        <v>1002</v>
      </c>
      <c r="T465" s="423">
        <v>2500</v>
      </c>
      <c r="V465" s="423">
        <v>0.2</v>
      </c>
      <c r="W465" s="423">
        <v>2</v>
      </c>
      <c r="X465" s="423">
        <v>14</v>
      </c>
      <c r="Z465" s="423" t="s">
        <v>1058</v>
      </c>
      <c r="AD465" s="423">
        <f>IF(ISNUMBER(MATCH(B465,'FICHA SOLIC'!$AB$26:$AB$376,0)),1,0)</f>
        <v>1</v>
      </c>
      <c r="AE465" s="423" t="str">
        <f t="shared" si="7"/>
        <v>CuricóZE-5</v>
      </c>
    </row>
    <row r="466" spans="1:31" x14ac:dyDescent="0.25">
      <c r="A466" s="423">
        <v>465</v>
      </c>
      <c r="B466" s="423" t="s">
        <v>231</v>
      </c>
      <c r="C466" s="423" t="s">
        <v>1241</v>
      </c>
      <c r="D466" s="975" t="s">
        <v>990</v>
      </c>
      <c r="E466" s="976" t="s">
        <v>991</v>
      </c>
      <c r="F466" s="976" t="s">
        <v>992</v>
      </c>
      <c r="G466" s="976" t="s">
        <v>1997</v>
      </c>
      <c r="H466" s="976" t="s">
        <v>1998</v>
      </c>
      <c r="I466" s="976" t="s">
        <v>1999</v>
      </c>
      <c r="J466" s="975" t="s">
        <v>697</v>
      </c>
      <c r="K466" s="976" t="s">
        <v>995</v>
      </c>
      <c r="L466" s="976" t="s">
        <v>996</v>
      </c>
      <c r="M466" s="976" t="s">
        <v>2000</v>
      </c>
      <c r="N466" s="976" t="s">
        <v>2001</v>
      </c>
      <c r="O466" s="975" t="s">
        <v>1971</v>
      </c>
      <c r="P466" s="976" t="s">
        <v>999</v>
      </c>
      <c r="Q466" s="976" t="s">
        <v>1000</v>
      </c>
      <c r="R466" s="976" t="s">
        <v>1001</v>
      </c>
      <c r="S466" s="976" t="s">
        <v>1002</v>
      </c>
      <c r="T466" s="423">
        <v>420</v>
      </c>
      <c r="V466" s="423">
        <v>1</v>
      </c>
      <c r="W466" s="423">
        <v>7.28</v>
      </c>
      <c r="Z466" s="423" t="s">
        <v>1096</v>
      </c>
      <c r="AD466" s="423">
        <f>IF(ISNUMBER(MATCH(B466,'FICHA SOLIC'!$AB$26:$AB$376,0)),1,0)</f>
        <v>1</v>
      </c>
      <c r="AE466" s="423" t="str">
        <f t="shared" si="7"/>
        <v>CuricóZU-1</v>
      </c>
    </row>
    <row r="467" spans="1:31" x14ac:dyDescent="0.25">
      <c r="A467" s="423">
        <v>466</v>
      </c>
      <c r="B467" s="423" t="s">
        <v>231</v>
      </c>
      <c r="C467" s="423" t="s">
        <v>2283</v>
      </c>
      <c r="D467" s="975" t="s">
        <v>990</v>
      </c>
      <c r="E467" s="976" t="s">
        <v>991</v>
      </c>
      <c r="F467" s="976" t="s">
        <v>992</v>
      </c>
      <c r="G467" s="976" t="s">
        <v>1997</v>
      </c>
      <c r="H467" s="976" t="s">
        <v>1998</v>
      </c>
      <c r="I467" s="976" t="s">
        <v>1999</v>
      </c>
      <c r="J467" s="975" t="s">
        <v>697</v>
      </c>
      <c r="K467" s="976" t="s">
        <v>995</v>
      </c>
      <c r="L467" s="976" t="s">
        <v>996</v>
      </c>
      <c r="M467" s="976" t="s">
        <v>2000</v>
      </c>
      <c r="N467" s="976" t="s">
        <v>2001</v>
      </c>
      <c r="O467" s="975" t="s">
        <v>1971</v>
      </c>
      <c r="P467" s="976" t="s">
        <v>999</v>
      </c>
      <c r="Q467" s="976" t="s">
        <v>1000</v>
      </c>
      <c r="R467" s="976" t="s">
        <v>1001</v>
      </c>
      <c r="S467" s="976" t="s">
        <v>1002</v>
      </c>
      <c r="T467" s="423">
        <v>140</v>
      </c>
      <c r="V467" s="423">
        <v>0.26</v>
      </c>
      <c r="W467" s="423">
        <v>0.32500000000000001</v>
      </c>
      <c r="X467" s="423">
        <v>13.2</v>
      </c>
      <c r="Y467" s="423" t="s">
        <v>1041</v>
      </c>
      <c r="Z467" s="423" t="s">
        <v>1058</v>
      </c>
      <c r="AD467" s="423">
        <f>IF(ISNUMBER(MATCH(B467,'FICHA SOLIC'!$AB$26:$AB$376,0)),1,0)</f>
        <v>1</v>
      </c>
      <c r="AE467" s="423" t="str">
        <f t="shared" si="7"/>
        <v>CuricóZU-10</v>
      </c>
    </row>
    <row r="468" spans="1:31" x14ac:dyDescent="0.25">
      <c r="A468" s="423">
        <v>467</v>
      </c>
      <c r="B468" s="423" t="s">
        <v>231</v>
      </c>
      <c r="C468" s="423" t="s">
        <v>2045</v>
      </c>
      <c r="D468" s="975" t="s">
        <v>990</v>
      </c>
      <c r="E468" s="976" t="s">
        <v>991</v>
      </c>
      <c r="F468" s="976" t="s">
        <v>992</v>
      </c>
      <c r="G468" s="976" t="s">
        <v>1997</v>
      </c>
      <c r="H468" s="976" t="s">
        <v>1998</v>
      </c>
      <c r="I468" s="976" t="s">
        <v>1999</v>
      </c>
      <c r="J468" s="975" t="s">
        <v>697</v>
      </c>
      <c r="K468" s="976" t="s">
        <v>995</v>
      </c>
      <c r="L468" s="976" t="s">
        <v>996</v>
      </c>
      <c r="M468" s="976" t="s">
        <v>2000</v>
      </c>
      <c r="N468" s="976" t="s">
        <v>2001</v>
      </c>
      <c r="O468" s="975" t="s">
        <v>1971</v>
      </c>
      <c r="P468" s="976" t="s">
        <v>999</v>
      </c>
      <c r="Q468" s="976" t="s">
        <v>1000</v>
      </c>
      <c r="R468" s="976" t="s">
        <v>1001</v>
      </c>
      <c r="S468" s="976" t="s">
        <v>1002</v>
      </c>
      <c r="T468" s="423">
        <v>700</v>
      </c>
      <c r="V468" s="423">
        <v>0.26</v>
      </c>
      <c r="W468" s="423">
        <v>0.52</v>
      </c>
      <c r="X468" s="423">
        <v>13.2</v>
      </c>
      <c r="Y468" s="423" t="s">
        <v>1041</v>
      </c>
      <c r="Z468" s="423" t="s">
        <v>1058</v>
      </c>
      <c r="AD468" s="423">
        <f>IF(ISNUMBER(MATCH(B468,'FICHA SOLIC'!$AB$26:$AB$376,0)),1,0)</f>
        <v>1</v>
      </c>
      <c r="AE468" s="423" t="str">
        <f t="shared" si="7"/>
        <v>CuricóZU-11</v>
      </c>
    </row>
    <row r="469" spans="1:31" x14ac:dyDescent="0.25">
      <c r="A469" s="423">
        <v>468</v>
      </c>
      <c r="B469" s="423" t="s">
        <v>231</v>
      </c>
      <c r="C469" s="423" t="s">
        <v>1242</v>
      </c>
      <c r="D469" s="975" t="s">
        <v>990</v>
      </c>
      <c r="E469" s="976" t="s">
        <v>991</v>
      </c>
      <c r="F469" s="976" t="s">
        <v>992</v>
      </c>
      <c r="G469" s="976" t="s">
        <v>1997</v>
      </c>
      <c r="H469" s="976" t="s">
        <v>1998</v>
      </c>
      <c r="I469" s="976" t="s">
        <v>1999</v>
      </c>
      <c r="J469" s="975" t="s">
        <v>697</v>
      </c>
      <c r="K469" s="976" t="s">
        <v>995</v>
      </c>
      <c r="L469" s="976" t="s">
        <v>996</v>
      </c>
      <c r="M469" s="976" t="s">
        <v>2000</v>
      </c>
      <c r="N469" s="976" t="s">
        <v>2001</v>
      </c>
      <c r="O469" s="975" t="s">
        <v>1971</v>
      </c>
      <c r="P469" s="976" t="s">
        <v>999</v>
      </c>
      <c r="Q469" s="976" t="s">
        <v>1000</v>
      </c>
      <c r="R469" s="976" t="s">
        <v>1001</v>
      </c>
      <c r="S469" s="976" t="s">
        <v>1002</v>
      </c>
      <c r="T469" s="423">
        <v>280</v>
      </c>
      <c r="V469" s="423">
        <v>0.78</v>
      </c>
      <c r="W469" s="423">
        <v>8.125</v>
      </c>
      <c r="X469" s="423">
        <v>57.6</v>
      </c>
      <c r="Y469" s="423" t="s">
        <v>1041</v>
      </c>
      <c r="Z469" s="423" t="s">
        <v>1059</v>
      </c>
      <c r="AD469" s="423">
        <f>IF(ISNUMBER(MATCH(B469,'FICHA SOLIC'!$AB$26:$AB$376,0)),1,0)</f>
        <v>1</v>
      </c>
      <c r="AE469" s="423" t="str">
        <f t="shared" si="7"/>
        <v>CuricóZU-2</v>
      </c>
    </row>
    <row r="470" spans="1:31" x14ac:dyDescent="0.25">
      <c r="A470" s="423">
        <v>469</v>
      </c>
      <c r="B470" s="423" t="s">
        <v>231</v>
      </c>
      <c r="C470" s="423" t="s">
        <v>1243</v>
      </c>
      <c r="D470" s="975" t="s">
        <v>990</v>
      </c>
      <c r="E470" s="976" t="s">
        <v>991</v>
      </c>
      <c r="F470" s="976" t="s">
        <v>992</v>
      </c>
      <c r="G470" s="976" t="s">
        <v>1997</v>
      </c>
      <c r="H470" s="976" t="s">
        <v>1998</v>
      </c>
      <c r="I470" s="976" t="s">
        <v>1999</v>
      </c>
      <c r="J470" s="975" t="s">
        <v>697</v>
      </c>
      <c r="K470" s="976" t="s">
        <v>995</v>
      </c>
      <c r="L470" s="976" t="s">
        <v>996</v>
      </c>
      <c r="M470" s="976" t="s">
        <v>2000</v>
      </c>
      <c r="N470" s="976" t="s">
        <v>2001</v>
      </c>
      <c r="O470" s="975" t="s">
        <v>1971</v>
      </c>
      <c r="P470" s="976" t="s">
        <v>999</v>
      </c>
      <c r="Q470" s="976" t="s">
        <v>1000</v>
      </c>
      <c r="R470" s="976" t="s">
        <v>1001</v>
      </c>
      <c r="S470" s="976" t="s">
        <v>1002</v>
      </c>
      <c r="T470" s="423">
        <v>210</v>
      </c>
      <c r="V470" s="423">
        <v>0.78</v>
      </c>
      <c r="W470" s="423">
        <v>3.9</v>
      </c>
      <c r="X470" s="423">
        <v>57.6</v>
      </c>
      <c r="Y470" s="423" t="s">
        <v>1041</v>
      </c>
      <c r="Z470" s="423" t="s">
        <v>1059</v>
      </c>
      <c r="AD470" s="423">
        <f>IF(ISNUMBER(MATCH(B470,'FICHA SOLIC'!$AB$26:$AB$376,0)),1,0)</f>
        <v>1</v>
      </c>
      <c r="AE470" s="423" t="str">
        <f t="shared" si="7"/>
        <v>CuricóZU-3</v>
      </c>
    </row>
    <row r="471" spans="1:31" x14ac:dyDescent="0.25">
      <c r="A471" s="423">
        <v>470</v>
      </c>
      <c r="B471" s="423" t="s">
        <v>231</v>
      </c>
      <c r="C471" s="423" t="s">
        <v>1244</v>
      </c>
      <c r="D471" s="975" t="s">
        <v>990</v>
      </c>
      <c r="E471" s="976" t="s">
        <v>991</v>
      </c>
      <c r="F471" s="976" t="s">
        <v>992</v>
      </c>
      <c r="G471" s="976" t="s">
        <v>1997</v>
      </c>
      <c r="H471" s="976" t="s">
        <v>1998</v>
      </c>
      <c r="I471" s="976" t="s">
        <v>1999</v>
      </c>
      <c r="J471" s="975" t="s">
        <v>697</v>
      </c>
      <c r="K471" s="976" t="s">
        <v>995</v>
      </c>
      <c r="L471" s="976" t="s">
        <v>996</v>
      </c>
      <c r="M471" s="976" t="s">
        <v>2000</v>
      </c>
      <c r="N471" s="976" t="s">
        <v>2001</v>
      </c>
      <c r="O471" s="975" t="s">
        <v>1971</v>
      </c>
      <c r="P471" s="976" t="s">
        <v>999</v>
      </c>
      <c r="Q471" s="976" t="s">
        <v>1000</v>
      </c>
      <c r="R471" s="976" t="s">
        <v>1001</v>
      </c>
      <c r="S471" s="976" t="s">
        <v>1002</v>
      </c>
      <c r="T471" s="423">
        <v>210</v>
      </c>
      <c r="V471" s="423">
        <v>0.78</v>
      </c>
      <c r="W471" s="423" t="s">
        <v>2284</v>
      </c>
      <c r="X471" s="423">
        <v>25.2</v>
      </c>
      <c r="Y471" s="423" t="s">
        <v>1041</v>
      </c>
      <c r="Z471" s="423" t="s">
        <v>1059</v>
      </c>
      <c r="AD471" s="423">
        <f>IF(ISNUMBER(MATCH(B471,'FICHA SOLIC'!$AB$26:$AB$376,0)),1,0)</f>
        <v>1</v>
      </c>
      <c r="AE471" s="423" t="str">
        <f t="shared" si="7"/>
        <v>CuricóZU-4</v>
      </c>
    </row>
    <row r="472" spans="1:31" x14ac:dyDescent="0.25">
      <c r="A472" s="423">
        <v>471</v>
      </c>
      <c r="B472" s="423" t="s">
        <v>231</v>
      </c>
      <c r="C472" s="423" t="s">
        <v>1245</v>
      </c>
      <c r="D472" s="975" t="s">
        <v>990</v>
      </c>
      <c r="E472" s="976" t="s">
        <v>991</v>
      </c>
      <c r="F472" s="976" t="s">
        <v>992</v>
      </c>
      <c r="G472" s="976" t="s">
        <v>1997</v>
      </c>
      <c r="H472" s="976" t="s">
        <v>1998</v>
      </c>
      <c r="I472" s="976" t="s">
        <v>1999</v>
      </c>
      <c r="J472" s="975" t="s">
        <v>697</v>
      </c>
      <c r="K472" s="976" t="s">
        <v>995</v>
      </c>
      <c r="L472" s="976" t="s">
        <v>996</v>
      </c>
      <c r="M472" s="976" t="s">
        <v>2000</v>
      </c>
      <c r="N472" s="976" t="s">
        <v>2001</v>
      </c>
      <c r="O472" s="975" t="s">
        <v>1971</v>
      </c>
      <c r="P472" s="976" t="s">
        <v>999</v>
      </c>
      <c r="Q472" s="976" t="s">
        <v>1000</v>
      </c>
      <c r="R472" s="976" t="s">
        <v>1001</v>
      </c>
      <c r="S472" s="976" t="s">
        <v>1002</v>
      </c>
      <c r="T472" s="423">
        <v>210</v>
      </c>
      <c r="V472" s="423">
        <v>0.78</v>
      </c>
      <c r="W472" s="423" t="s">
        <v>2284</v>
      </c>
      <c r="X472" s="423">
        <v>8.4</v>
      </c>
      <c r="Y472" s="423" t="s">
        <v>1041</v>
      </c>
      <c r="Z472" s="423" t="s">
        <v>1059</v>
      </c>
      <c r="AD472" s="423">
        <f>IF(ISNUMBER(MATCH(B472,'FICHA SOLIC'!$AB$26:$AB$376,0)),1,0)</f>
        <v>1</v>
      </c>
      <c r="AE472" s="423" t="str">
        <f t="shared" si="7"/>
        <v>CuricóZU-5</v>
      </c>
    </row>
    <row r="473" spans="1:31" x14ac:dyDescent="0.25">
      <c r="A473" s="423">
        <v>472</v>
      </c>
      <c r="B473" s="423" t="s">
        <v>231</v>
      </c>
      <c r="C473" s="423" t="s">
        <v>1246</v>
      </c>
      <c r="D473" s="975" t="s">
        <v>990</v>
      </c>
      <c r="E473" s="976" t="s">
        <v>991</v>
      </c>
      <c r="F473" s="976" t="s">
        <v>992</v>
      </c>
      <c r="G473" s="976" t="s">
        <v>1997</v>
      </c>
      <c r="H473" s="976" t="s">
        <v>1998</v>
      </c>
      <c r="I473" s="976" t="s">
        <v>1999</v>
      </c>
      <c r="J473" s="975" t="s">
        <v>697</v>
      </c>
      <c r="K473" s="976" t="s">
        <v>995</v>
      </c>
      <c r="L473" s="976" t="s">
        <v>996</v>
      </c>
      <c r="M473" s="976" t="s">
        <v>2000</v>
      </c>
      <c r="N473" s="976" t="s">
        <v>2001</v>
      </c>
      <c r="O473" s="975" t="s">
        <v>1971</v>
      </c>
      <c r="P473" s="976" t="s">
        <v>999</v>
      </c>
      <c r="Q473" s="976" t="s">
        <v>1000</v>
      </c>
      <c r="R473" s="976" t="s">
        <v>1001</v>
      </c>
      <c r="S473" s="976" t="s">
        <v>1002</v>
      </c>
      <c r="T473" s="423">
        <v>140</v>
      </c>
      <c r="V473" s="423">
        <v>0.78</v>
      </c>
      <c r="W473" s="423" t="s">
        <v>2285</v>
      </c>
      <c r="X473" s="423">
        <v>25.2</v>
      </c>
      <c r="Y473" s="423" t="s">
        <v>1041</v>
      </c>
      <c r="Z473" s="423" t="s">
        <v>1059</v>
      </c>
      <c r="AD473" s="423">
        <f>IF(ISNUMBER(MATCH(B473,'FICHA SOLIC'!$AB$26:$AB$376,0)),1,0)</f>
        <v>1</v>
      </c>
      <c r="AE473" s="423" t="str">
        <f t="shared" si="7"/>
        <v>CuricóZU-6</v>
      </c>
    </row>
    <row r="474" spans="1:31" x14ac:dyDescent="0.25">
      <c r="A474" s="423">
        <v>473</v>
      </c>
      <c r="B474" s="423" t="s">
        <v>231</v>
      </c>
      <c r="C474" s="423" t="s">
        <v>1247</v>
      </c>
      <c r="D474" s="975" t="s">
        <v>990</v>
      </c>
      <c r="E474" s="976" t="s">
        <v>991</v>
      </c>
      <c r="F474" s="976" t="s">
        <v>992</v>
      </c>
      <c r="G474" s="976" t="s">
        <v>1997</v>
      </c>
      <c r="H474" s="976" t="s">
        <v>1998</v>
      </c>
      <c r="I474" s="976" t="s">
        <v>1999</v>
      </c>
      <c r="J474" s="975" t="s">
        <v>697</v>
      </c>
      <c r="K474" s="976" t="s">
        <v>995</v>
      </c>
      <c r="L474" s="976" t="s">
        <v>996</v>
      </c>
      <c r="M474" s="976" t="s">
        <v>2000</v>
      </c>
      <c r="N474" s="976" t="s">
        <v>2001</v>
      </c>
      <c r="O474" s="975" t="s">
        <v>1971</v>
      </c>
      <c r="P474" s="976" t="s">
        <v>999</v>
      </c>
      <c r="Q474" s="976" t="s">
        <v>1000</v>
      </c>
      <c r="R474" s="976" t="s">
        <v>1001</v>
      </c>
      <c r="S474" s="976" t="s">
        <v>1002</v>
      </c>
      <c r="T474" s="423">
        <v>175</v>
      </c>
      <c r="V474" s="423">
        <v>0.78</v>
      </c>
      <c r="W474" s="423">
        <v>1.95</v>
      </c>
      <c r="X474" s="423">
        <v>8.4</v>
      </c>
      <c r="Y474" s="423" t="s">
        <v>1041</v>
      </c>
      <c r="Z474" s="423" t="s">
        <v>1059</v>
      </c>
      <c r="AD474" s="423">
        <f>IF(ISNUMBER(MATCH(B474,'FICHA SOLIC'!$AB$26:$AB$376,0)),1,0)</f>
        <v>1</v>
      </c>
      <c r="AE474" s="423" t="str">
        <f t="shared" si="7"/>
        <v>CuricóZU-7</v>
      </c>
    </row>
    <row r="475" spans="1:31" x14ac:dyDescent="0.25">
      <c r="A475" s="423">
        <v>474</v>
      </c>
      <c r="B475" s="423" t="s">
        <v>231</v>
      </c>
      <c r="C475" s="423" t="s">
        <v>1248</v>
      </c>
      <c r="D475" s="975" t="s">
        <v>990</v>
      </c>
      <c r="E475" s="976" t="s">
        <v>991</v>
      </c>
      <c r="F475" s="976" t="s">
        <v>992</v>
      </c>
      <c r="G475" s="976" t="s">
        <v>1997</v>
      </c>
      <c r="H475" s="976" t="s">
        <v>1998</v>
      </c>
      <c r="I475" s="976" t="s">
        <v>1999</v>
      </c>
      <c r="J475" s="975" t="s">
        <v>697</v>
      </c>
      <c r="K475" s="976" t="s">
        <v>995</v>
      </c>
      <c r="L475" s="976" t="s">
        <v>996</v>
      </c>
      <c r="M475" s="976" t="s">
        <v>2000</v>
      </c>
      <c r="N475" s="976" t="s">
        <v>2001</v>
      </c>
      <c r="O475" s="975" t="s">
        <v>1971</v>
      </c>
      <c r="P475" s="976" t="s">
        <v>999</v>
      </c>
      <c r="Q475" s="976" t="s">
        <v>1000</v>
      </c>
      <c r="R475" s="976" t="s">
        <v>1001</v>
      </c>
      <c r="S475" s="976" t="s">
        <v>1002</v>
      </c>
      <c r="T475" s="423">
        <v>700</v>
      </c>
      <c r="V475" s="434">
        <v>0.26</v>
      </c>
      <c r="W475" s="423">
        <v>0.32500000000000001</v>
      </c>
      <c r="X475" s="423">
        <v>13.2</v>
      </c>
      <c r="Y475" s="423" t="s">
        <v>1041</v>
      </c>
      <c r="Z475" s="423" t="s">
        <v>1058</v>
      </c>
      <c r="AD475" s="423">
        <f>IF(ISNUMBER(MATCH(B475,'FICHA SOLIC'!$AB$26:$AB$376,0)),1,0)</f>
        <v>1</v>
      </c>
      <c r="AE475" s="423" t="str">
        <f t="shared" si="7"/>
        <v>CuricóZU-8</v>
      </c>
    </row>
    <row r="476" spans="1:31" x14ac:dyDescent="0.25">
      <c r="A476" s="423">
        <v>475</v>
      </c>
      <c r="B476" s="423" t="s">
        <v>231</v>
      </c>
      <c r="C476" s="423" t="s">
        <v>1249</v>
      </c>
      <c r="D476" s="975" t="s">
        <v>990</v>
      </c>
      <c r="E476" s="976" t="s">
        <v>991</v>
      </c>
      <c r="F476" s="976" t="s">
        <v>992</v>
      </c>
      <c r="G476" s="976" t="s">
        <v>1997</v>
      </c>
      <c r="H476" s="976" t="s">
        <v>1998</v>
      </c>
      <c r="I476" s="976" t="s">
        <v>1999</v>
      </c>
      <c r="J476" s="975" t="s">
        <v>697</v>
      </c>
      <c r="K476" s="976" t="s">
        <v>995</v>
      </c>
      <c r="L476" s="976" t="s">
        <v>996</v>
      </c>
      <c r="M476" s="976" t="s">
        <v>2000</v>
      </c>
      <c r="N476" s="976" t="s">
        <v>2001</v>
      </c>
      <c r="O476" s="975" t="s">
        <v>1971</v>
      </c>
      <c r="P476" s="976" t="s">
        <v>999</v>
      </c>
      <c r="Q476" s="976" t="s">
        <v>1000</v>
      </c>
      <c r="R476" s="976" t="s">
        <v>1001</v>
      </c>
      <c r="S476" s="976" t="s">
        <v>1002</v>
      </c>
      <c r="T476" s="423">
        <v>1400</v>
      </c>
      <c r="V476" s="423">
        <v>0.26</v>
      </c>
      <c r="W476" s="423">
        <v>0.52</v>
      </c>
      <c r="X476" s="423">
        <v>13.2</v>
      </c>
      <c r="Y476" s="423" t="s">
        <v>1041</v>
      </c>
      <c r="Z476" s="423" t="s">
        <v>1058</v>
      </c>
      <c r="AD476" s="423">
        <f>IF(ISNUMBER(MATCH(B476,'FICHA SOLIC'!$AB$26:$AB$376,0)),1,0)</f>
        <v>1</v>
      </c>
      <c r="AE476" s="423" t="str">
        <f t="shared" si="7"/>
        <v>CuricóZU-9</v>
      </c>
    </row>
    <row r="477" spans="1:31" x14ac:dyDescent="0.25">
      <c r="A477" s="423">
        <v>476</v>
      </c>
      <c r="B477" s="423" t="s">
        <v>2286</v>
      </c>
      <c r="C477" s="423" t="s">
        <v>1041</v>
      </c>
      <c r="D477" s="975" t="s">
        <v>990</v>
      </c>
      <c r="E477" s="976" t="s">
        <v>991</v>
      </c>
      <c r="F477" s="976" t="s">
        <v>992</v>
      </c>
      <c r="G477" s="976" t="s">
        <v>1997</v>
      </c>
      <c r="H477" s="976" t="s">
        <v>1998</v>
      </c>
      <c r="I477" s="976" t="s">
        <v>1999</v>
      </c>
      <c r="J477" s="975" t="s">
        <v>697</v>
      </c>
      <c r="K477" s="976" t="s">
        <v>995</v>
      </c>
      <c r="L477" s="976" t="s">
        <v>996</v>
      </c>
      <c r="M477" s="976" t="s">
        <v>2000</v>
      </c>
      <c r="N477" s="976" t="s">
        <v>2001</v>
      </c>
      <c r="O477" s="975" t="s">
        <v>1971</v>
      </c>
      <c r="P477" s="976" t="s">
        <v>999</v>
      </c>
      <c r="Q477" s="976" t="s">
        <v>1000</v>
      </c>
      <c r="R477" s="976" t="s">
        <v>1001</v>
      </c>
      <c r="S477" s="976" t="s">
        <v>1002</v>
      </c>
      <c r="T477" s="423" t="s">
        <v>1041</v>
      </c>
      <c r="U477" s="423" t="s">
        <v>1041</v>
      </c>
      <c r="V477" s="423" t="s">
        <v>1041</v>
      </c>
      <c r="W477" s="423" t="s">
        <v>1041</v>
      </c>
      <c r="X477" s="423" t="s">
        <v>1041</v>
      </c>
      <c r="Y477" s="423" t="s">
        <v>1041</v>
      </c>
      <c r="Z477" s="423" t="s">
        <v>1041</v>
      </c>
      <c r="AD477" s="423">
        <f>IF(ISNUMBER(MATCH(B477,'FICHA SOLIC'!$AB$26:$AB$376,0)),1,0)</f>
        <v>0</v>
      </c>
      <c r="AE477" s="423" t="str">
        <f t="shared" si="7"/>
        <v>DichatoOGUC</v>
      </c>
    </row>
    <row r="478" spans="1:31" x14ac:dyDescent="0.25">
      <c r="A478" s="423">
        <v>477</v>
      </c>
      <c r="B478" s="423" t="s">
        <v>188</v>
      </c>
      <c r="C478" s="423" t="s">
        <v>1041</v>
      </c>
      <c r="D478" s="975" t="s">
        <v>990</v>
      </c>
      <c r="E478" s="976" t="s">
        <v>991</v>
      </c>
      <c r="F478" s="976" t="s">
        <v>992</v>
      </c>
      <c r="G478" s="976" t="s">
        <v>1997</v>
      </c>
      <c r="H478" s="976" t="s">
        <v>1998</v>
      </c>
      <c r="I478" s="976" t="s">
        <v>1999</v>
      </c>
      <c r="J478" s="975" t="s">
        <v>697</v>
      </c>
      <c r="K478" s="976" t="s">
        <v>995</v>
      </c>
      <c r="L478" s="976" t="s">
        <v>996</v>
      </c>
      <c r="M478" s="976" t="s">
        <v>2000</v>
      </c>
      <c r="N478" s="976" t="s">
        <v>2001</v>
      </c>
      <c r="O478" s="975" t="s">
        <v>1971</v>
      </c>
      <c r="P478" s="976" t="s">
        <v>999</v>
      </c>
      <c r="Q478" s="976" t="s">
        <v>1000</v>
      </c>
      <c r="R478" s="976" t="s">
        <v>1001</v>
      </c>
      <c r="S478" s="976" t="s">
        <v>1002</v>
      </c>
      <c r="T478" s="423" t="s">
        <v>1041</v>
      </c>
      <c r="U478" s="423" t="s">
        <v>1041</v>
      </c>
      <c r="V478" s="423" t="s">
        <v>1041</v>
      </c>
      <c r="W478" s="423" t="s">
        <v>1041</v>
      </c>
      <c r="X478" s="423" t="s">
        <v>1041</v>
      </c>
      <c r="Y478" s="423" t="s">
        <v>1041</v>
      </c>
      <c r="Z478" s="423" t="s">
        <v>1041</v>
      </c>
      <c r="AD478" s="423">
        <f>IF(ISNUMBER(MATCH(B478,'FICHA SOLIC'!$AB$26:$AB$376,0)),1,0)</f>
        <v>1</v>
      </c>
      <c r="AE478" s="423" t="str">
        <f t="shared" si="7"/>
        <v>DoñihueOGUC</v>
      </c>
    </row>
    <row r="479" spans="1:31" x14ac:dyDescent="0.25">
      <c r="A479" s="423">
        <v>478</v>
      </c>
      <c r="B479" s="423" t="s">
        <v>407</v>
      </c>
      <c r="C479" s="423">
        <v>3</v>
      </c>
      <c r="D479" s="428" t="s">
        <v>990</v>
      </c>
      <c r="E479" s="429" t="s">
        <v>991</v>
      </c>
      <c r="F479" s="429" t="s">
        <v>992</v>
      </c>
      <c r="G479" s="429" t="s">
        <v>1054</v>
      </c>
      <c r="H479" s="430" t="s">
        <v>699</v>
      </c>
      <c r="I479" s="429" t="s">
        <v>1055</v>
      </c>
      <c r="J479" s="428" t="s">
        <v>697</v>
      </c>
      <c r="K479" s="429" t="s">
        <v>995</v>
      </c>
      <c r="L479" s="429" t="s">
        <v>996</v>
      </c>
      <c r="M479" s="429" t="s">
        <v>997</v>
      </c>
      <c r="N479" s="429" t="s">
        <v>558</v>
      </c>
      <c r="O479" s="428" t="s">
        <v>998</v>
      </c>
      <c r="P479" s="429" t="s">
        <v>999</v>
      </c>
      <c r="Q479" s="429" t="s">
        <v>1000</v>
      </c>
      <c r="R479" s="429" t="s">
        <v>1001</v>
      </c>
      <c r="S479" s="429" t="s">
        <v>1002</v>
      </c>
      <c r="T479" s="423" t="s">
        <v>1041</v>
      </c>
      <c r="U479" s="423" t="s">
        <v>1026</v>
      </c>
      <c r="V479" s="423">
        <v>80</v>
      </c>
      <c r="W479" s="423">
        <v>2</v>
      </c>
      <c r="X479" s="423">
        <v>12</v>
      </c>
      <c r="Y479" s="423" t="s">
        <v>1041</v>
      </c>
      <c r="Z479" s="423" t="s">
        <v>1059</v>
      </c>
      <c r="AD479" s="423">
        <f>IF(ISNUMBER(MATCH(B479,'FICHA SOLIC'!$AB$26:$AB$376,0)),1,0)</f>
        <v>1</v>
      </c>
      <c r="AE479" s="423" t="str">
        <f t="shared" si="7"/>
        <v>El Bosque3</v>
      </c>
    </row>
    <row r="480" spans="1:31" x14ac:dyDescent="0.25">
      <c r="A480" s="423">
        <v>479</v>
      </c>
      <c r="B480" s="423" t="s">
        <v>407</v>
      </c>
      <c r="C480" s="423" t="s">
        <v>1065</v>
      </c>
      <c r="D480" s="428" t="s">
        <v>990</v>
      </c>
      <c r="E480" s="429" t="s">
        <v>991</v>
      </c>
      <c r="F480" s="429" t="s">
        <v>992</v>
      </c>
      <c r="G480" s="429" t="s">
        <v>1054</v>
      </c>
      <c r="H480" s="430" t="s">
        <v>699</v>
      </c>
      <c r="I480" s="429" t="s">
        <v>1055</v>
      </c>
      <c r="J480" s="428" t="s">
        <v>697</v>
      </c>
      <c r="K480" s="429" t="s">
        <v>995</v>
      </c>
      <c r="L480" s="429" t="s">
        <v>996</v>
      </c>
      <c r="M480" s="429" t="s">
        <v>997</v>
      </c>
      <c r="N480" s="429" t="s">
        <v>558</v>
      </c>
      <c r="O480" s="428" t="s">
        <v>998</v>
      </c>
      <c r="P480" s="429" t="s">
        <v>999</v>
      </c>
      <c r="Q480" s="429" t="s">
        <v>1000</v>
      </c>
      <c r="R480" s="429" t="s">
        <v>1001</v>
      </c>
      <c r="S480" s="429" t="s">
        <v>1002</v>
      </c>
      <c r="T480" s="423" t="s">
        <v>1041</v>
      </c>
      <c r="U480" s="423" t="s">
        <v>1026</v>
      </c>
      <c r="V480" s="423">
        <v>80</v>
      </c>
      <c r="W480" s="423">
        <v>2</v>
      </c>
      <c r="X480" s="423">
        <v>14.4</v>
      </c>
      <c r="Y480" s="423" t="s">
        <v>1041</v>
      </c>
      <c r="Z480" s="423" t="s">
        <v>1059</v>
      </c>
      <c r="AD480" s="423">
        <f>IF(ISNUMBER(MATCH(B480,'FICHA SOLIC'!$AB$26:$AB$376,0)),1,0)</f>
        <v>1</v>
      </c>
      <c r="AE480" s="423" t="str">
        <f t="shared" si="7"/>
        <v>El Bosque1,2,3</v>
      </c>
    </row>
    <row r="481" spans="1:31" x14ac:dyDescent="0.25">
      <c r="A481" s="423">
        <v>480</v>
      </c>
      <c r="B481" s="423" t="s">
        <v>407</v>
      </c>
      <c r="C481" s="423" t="s">
        <v>1066</v>
      </c>
      <c r="D481" s="428" t="s">
        <v>990</v>
      </c>
      <c r="E481" s="429" t="s">
        <v>991</v>
      </c>
      <c r="F481" s="429" t="s">
        <v>992</v>
      </c>
      <c r="G481" s="429" t="s">
        <v>1054</v>
      </c>
      <c r="H481" s="430" t="s">
        <v>699</v>
      </c>
      <c r="I481" s="429" t="s">
        <v>1055</v>
      </c>
      <c r="J481" s="428" t="s">
        <v>697</v>
      </c>
      <c r="K481" s="429" t="s">
        <v>995</v>
      </c>
      <c r="L481" s="429" t="s">
        <v>996</v>
      </c>
      <c r="M481" s="429" t="s">
        <v>997</v>
      </c>
      <c r="N481" s="429" t="s">
        <v>558</v>
      </c>
      <c r="O481" s="428" t="s">
        <v>998</v>
      </c>
      <c r="P481" s="429" t="s">
        <v>999</v>
      </c>
      <c r="Q481" s="429" t="s">
        <v>1000</v>
      </c>
      <c r="R481" s="429" t="s">
        <v>1001</v>
      </c>
      <c r="S481" s="429" t="s">
        <v>1002</v>
      </c>
      <c r="T481" s="423" t="s">
        <v>1041</v>
      </c>
      <c r="U481" s="423" t="s">
        <v>1026</v>
      </c>
      <c r="V481" s="423">
        <v>100</v>
      </c>
      <c r="W481" s="423">
        <v>2.6</v>
      </c>
      <c r="X481" s="423">
        <v>14.4</v>
      </c>
      <c r="Y481" s="423" t="s">
        <v>1041</v>
      </c>
      <c r="Z481" s="423" t="s">
        <v>1059</v>
      </c>
      <c r="AD481" s="423">
        <f>IF(ISNUMBER(MATCH(B481,'FICHA SOLIC'!$AB$26:$AB$376,0)),1,0)</f>
        <v>1</v>
      </c>
      <c r="AE481" s="423" t="str">
        <f t="shared" si="7"/>
        <v>El Bosque1C</v>
      </c>
    </row>
    <row r="482" spans="1:31" x14ac:dyDescent="0.25">
      <c r="A482" s="423">
        <v>481</v>
      </c>
      <c r="B482" s="423" t="s">
        <v>407</v>
      </c>
      <c r="C482" s="423" t="s">
        <v>1067</v>
      </c>
      <c r="D482" s="428" t="s">
        <v>990</v>
      </c>
      <c r="E482" s="429" t="s">
        <v>991</v>
      </c>
      <c r="F482" s="429" t="s">
        <v>992</v>
      </c>
      <c r="G482" s="429" t="s">
        <v>1054</v>
      </c>
      <c r="H482" s="430" t="s">
        <v>699</v>
      </c>
      <c r="I482" s="429" t="s">
        <v>1055</v>
      </c>
      <c r="J482" s="428" t="s">
        <v>697</v>
      </c>
      <c r="K482" s="429" t="s">
        <v>995</v>
      </c>
      <c r="L482" s="429" t="s">
        <v>996</v>
      </c>
      <c r="M482" s="429" t="s">
        <v>997</v>
      </c>
      <c r="N482" s="429" t="s">
        <v>558</v>
      </c>
      <c r="O482" s="428" t="s">
        <v>998</v>
      </c>
      <c r="P482" s="429" t="s">
        <v>999</v>
      </c>
      <c r="Q482" s="429" t="s">
        <v>1000</v>
      </c>
      <c r="R482" s="429" t="s">
        <v>1001</v>
      </c>
      <c r="S482" s="429" t="s">
        <v>1002</v>
      </c>
      <c r="T482" s="423" t="s">
        <v>1041</v>
      </c>
      <c r="U482" s="423" t="s">
        <v>1026</v>
      </c>
      <c r="V482" s="423">
        <v>100</v>
      </c>
      <c r="W482" s="423">
        <v>2.6</v>
      </c>
      <c r="X482" s="423">
        <v>14.4</v>
      </c>
      <c r="Y482" s="423" t="s">
        <v>1041</v>
      </c>
      <c r="Z482" s="423" t="s">
        <v>1059</v>
      </c>
      <c r="AD482" s="423">
        <f>IF(ISNUMBER(MATCH(B482,'FICHA SOLIC'!$AB$26:$AB$376,0)),1,0)</f>
        <v>1</v>
      </c>
      <c r="AE482" s="423" t="str">
        <f t="shared" si="7"/>
        <v>El Bosque2C, 3ARC</v>
      </c>
    </row>
    <row r="483" spans="1:31" x14ac:dyDescent="0.25">
      <c r="A483" s="423">
        <v>482</v>
      </c>
      <c r="B483" s="423" t="s">
        <v>407</v>
      </c>
      <c r="C483" s="423" t="s">
        <v>1068</v>
      </c>
      <c r="D483" s="428" t="s">
        <v>990</v>
      </c>
      <c r="E483" s="429" t="s">
        <v>991</v>
      </c>
      <c r="F483" s="429" t="s">
        <v>992</v>
      </c>
      <c r="G483" s="429" t="s">
        <v>1054</v>
      </c>
      <c r="H483" s="430" t="s">
        <v>699</v>
      </c>
      <c r="I483" s="429" t="s">
        <v>1055</v>
      </c>
      <c r="J483" s="428" t="s">
        <v>697</v>
      </c>
      <c r="K483" s="429" t="s">
        <v>995</v>
      </c>
      <c r="L483" s="429" t="s">
        <v>996</v>
      </c>
      <c r="M483" s="429" t="s">
        <v>997</v>
      </c>
      <c r="N483" s="429" t="s">
        <v>558</v>
      </c>
      <c r="O483" s="428" t="s">
        <v>998</v>
      </c>
      <c r="P483" s="429" t="s">
        <v>999</v>
      </c>
      <c r="Q483" s="429" t="s">
        <v>1000</v>
      </c>
      <c r="R483" s="429" t="s">
        <v>1001</v>
      </c>
      <c r="S483" s="429" t="s">
        <v>1002</v>
      </c>
      <c r="T483" s="423" t="s">
        <v>1041</v>
      </c>
      <c r="U483" s="423" t="s">
        <v>1041</v>
      </c>
      <c r="V483" s="423">
        <v>100</v>
      </c>
      <c r="W483" s="423">
        <v>2.6</v>
      </c>
      <c r="X483" s="423">
        <v>12</v>
      </c>
      <c r="Y483" s="423" t="s">
        <v>1041</v>
      </c>
      <c r="Z483" s="423" t="s">
        <v>1059</v>
      </c>
      <c r="AD483" s="423">
        <f>IF(ISNUMBER(MATCH(B483,'FICHA SOLIC'!$AB$26:$AB$376,0)),1,0)</f>
        <v>1</v>
      </c>
      <c r="AE483" s="423" t="str">
        <f t="shared" si="7"/>
        <v>El Bosque3AMIRC</v>
      </c>
    </row>
    <row r="484" spans="1:31" x14ac:dyDescent="0.25">
      <c r="A484" s="423">
        <v>483</v>
      </c>
      <c r="B484" s="423" t="s">
        <v>407</v>
      </c>
      <c r="C484" s="423" t="s">
        <v>2287</v>
      </c>
      <c r="D484" s="428" t="s">
        <v>990</v>
      </c>
      <c r="E484" s="429" t="s">
        <v>991</v>
      </c>
      <c r="F484" s="429" t="s">
        <v>992</v>
      </c>
      <c r="G484" s="429" t="s">
        <v>1054</v>
      </c>
      <c r="H484" s="430" t="s">
        <v>699</v>
      </c>
      <c r="I484" s="429" t="s">
        <v>1055</v>
      </c>
      <c r="J484" s="428" t="s">
        <v>697</v>
      </c>
      <c r="K484" s="429" t="s">
        <v>995</v>
      </c>
      <c r="L484" s="429" t="s">
        <v>996</v>
      </c>
      <c r="M484" s="429" t="s">
        <v>997</v>
      </c>
      <c r="N484" s="429" t="s">
        <v>558</v>
      </c>
      <c r="O484" s="428" t="s">
        <v>998</v>
      </c>
      <c r="P484" s="429" t="s">
        <v>999</v>
      </c>
      <c r="Q484" s="429" t="s">
        <v>1000</v>
      </c>
      <c r="R484" s="429" t="s">
        <v>1001</v>
      </c>
      <c r="S484" s="429" t="s">
        <v>1002</v>
      </c>
      <c r="T484" s="423" t="s">
        <v>1041</v>
      </c>
      <c r="U484" s="423" t="s">
        <v>1026</v>
      </c>
      <c r="V484" s="423" t="s">
        <v>1041</v>
      </c>
      <c r="W484" s="423" t="s">
        <v>1041</v>
      </c>
      <c r="X484" s="423" t="s">
        <v>1041</v>
      </c>
      <c r="Y484" s="423">
        <v>5</v>
      </c>
      <c r="Z484" s="423" t="s">
        <v>1058</v>
      </c>
      <c r="AD484" s="423">
        <f>IF(ISNUMBER(MATCH(B484,'FICHA SOLIC'!$AB$26:$AB$376,0)),1,0)</f>
        <v>1</v>
      </c>
      <c r="AE484" s="423" t="str">
        <f t="shared" si="7"/>
        <v>El BosqueArea Industrial/4</v>
      </c>
    </row>
    <row r="485" spans="1:31" x14ac:dyDescent="0.25">
      <c r="A485" s="423">
        <v>484</v>
      </c>
      <c r="B485" s="423" t="s">
        <v>407</v>
      </c>
      <c r="C485" s="423" t="s">
        <v>1060</v>
      </c>
      <c r="D485" s="428" t="s">
        <v>990</v>
      </c>
      <c r="E485" s="429" t="s">
        <v>991</v>
      </c>
      <c r="F485" s="429" t="s">
        <v>992</v>
      </c>
      <c r="G485" s="429" t="s">
        <v>1054</v>
      </c>
      <c r="H485" s="430" t="s">
        <v>699</v>
      </c>
      <c r="I485" s="429" t="s">
        <v>1055</v>
      </c>
      <c r="J485" s="428" t="s">
        <v>697</v>
      </c>
      <c r="K485" s="429" t="s">
        <v>995</v>
      </c>
      <c r="L485" s="429" t="s">
        <v>996</v>
      </c>
      <c r="M485" s="429" t="s">
        <v>997</v>
      </c>
      <c r="N485" s="429" t="s">
        <v>558</v>
      </c>
      <c r="O485" s="428" t="s">
        <v>998</v>
      </c>
      <c r="P485" s="429" t="s">
        <v>999</v>
      </c>
      <c r="Q485" s="429" t="s">
        <v>1000</v>
      </c>
      <c r="R485" s="429" t="s">
        <v>1001</v>
      </c>
      <c r="S485" s="429" t="s">
        <v>1002</v>
      </c>
      <c r="T485" s="423">
        <v>600</v>
      </c>
      <c r="U485" s="423">
        <v>300</v>
      </c>
      <c r="V485" s="423">
        <v>60</v>
      </c>
      <c r="W485" s="423">
        <v>1</v>
      </c>
      <c r="X485" s="423" t="s">
        <v>1026</v>
      </c>
      <c r="Y485" s="423" t="s">
        <v>1041</v>
      </c>
      <c r="Z485" s="423" t="s">
        <v>1059</v>
      </c>
      <c r="AD485" s="423">
        <f>IF(ISNUMBER(MATCH(B485,'FICHA SOLIC'!$AB$26:$AB$376,0)),1,0)</f>
        <v>1</v>
      </c>
      <c r="AE485" s="423" t="str">
        <f t="shared" si="7"/>
        <v>El BosqueC</v>
      </c>
    </row>
    <row r="486" spans="1:31" x14ac:dyDescent="0.25">
      <c r="A486" s="423">
        <v>485</v>
      </c>
      <c r="B486" s="423" t="s">
        <v>407</v>
      </c>
      <c r="C486" s="423" t="s">
        <v>1061</v>
      </c>
      <c r="D486" s="428" t="s">
        <v>990</v>
      </c>
      <c r="E486" s="429" t="s">
        <v>991</v>
      </c>
      <c r="F486" s="429" t="s">
        <v>992</v>
      </c>
      <c r="G486" s="429" t="s">
        <v>1054</v>
      </c>
      <c r="H486" s="430" t="s">
        <v>699</v>
      </c>
      <c r="I486" s="429" t="s">
        <v>1055</v>
      </c>
      <c r="J486" s="428" t="s">
        <v>697</v>
      </c>
      <c r="K486" s="429" t="s">
        <v>995</v>
      </c>
      <c r="L486" s="429" t="s">
        <v>996</v>
      </c>
      <c r="M486" s="429" t="s">
        <v>997</v>
      </c>
      <c r="N486" s="429" t="s">
        <v>558</v>
      </c>
      <c r="O486" s="428" t="s">
        <v>998</v>
      </c>
      <c r="P486" s="429" t="s">
        <v>999</v>
      </c>
      <c r="Q486" s="429" t="s">
        <v>1000</v>
      </c>
      <c r="R486" s="429" t="s">
        <v>1001</v>
      </c>
      <c r="S486" s="429" t="s">
        <v>1002</v>
      </c>
      <c r="T486" s="423">
        <v>400</v>
      </c>
      <c r="U486" s="423" t="s">
        <v>1026</v>
      </c>
      <c r="V486" s="423">
        <v>60</v>
      </c>
      <c r="W486" s="423" t="s">
        <v>1026</v>
      </c>
      <c r="X486" s="423">
        <v>14.4</v>
      </c>
      <c r="Y486" s="423" t="s">
        <v>1041</v>
      </c>
      <c r="Z486" s="423" t="s">
        <v>1059</v>
      </c>
      <c r="AD486" s="423">
        <f>IF(ISNUMBER(MATCH(B486,'FICHA SOLIC'!$AB$26:$AB$376,0)),1,0)</f>
        <v>1</v>
      </c>
      <c r="AE486" s="423" t="str">
        <f t="shared" si="7"/>
        <v>El BosqueH</v>
      </c>
    </row>
    <row r="487" spans="1:31" x14ac:dyDescent="0.25">
      <c r="A487" s="423">
        <v>486</v>
      </c>
      <c r="B487" s="423" t="s">
        <v>407</v>
      </c>
      <c r="C487" s="423" t="s">
        <v>1062</v>
      </c>
      <c r="D487" s="428" t="s">
        <v>990</v>
      </c>
      <c r="E487" s="429" t="s">
        <v>991</v>
      </c>
      <c r="F487" s="429" t="s">
        <v>992</v>
      </c>
      <c r="G487" s="429" t="s">
        <v>1054</v>
      </c>
      <c r="H487" s="430" t="s">
        <v>699</v>
      </c>
      <c r="I487" s="429" t="s">
        <v>1055</v>
      </c>
      <c r="J487" s="428" t="s">
        <v>697</v>
      </c>
      <c r="K487" s="429" t="s">
        <v>995</v>
      </c>
      <c r="L487" s="429" t="s">
        <v>996</v>
      </c>
      <c r="M487" s="429" t="s">
        <v>997</v>
      </c>
      <c r="N487" s="429" t="s">
        <v>558</v>
      </c>
      <c r="O487" s="428" t="s">
        <v>998</v>
      </c>
      <c r="P487" s="429" t="s">
        <v>999</v>
      </c>
      <c r="Q487" s="429" t="s">
        <v>1000</v>
      </c>
      <c r="R487" s="429" t="s">
        <v>1001</v>
      </c>
      <c r="S487" s="429" t="s">
        <v>1002</v>
      </c>
      <c r="T487" s="423">
        <v>400</v>
      </c>
      <c r="U487" s="423" t="s">
        <v>1026</v>
      </c>
      <c r="V487" s="423">
        <v>78</v>
      </c>
      <c r="W487" s="423" t="s">
        <v>1026</v>
      </c>
      <c r="X487" s="423">
        <v>14.4</v>
      </c>
      <c r="Y487" s="423" t="s">
        <v>1041</v>
      </c>
      <c r="Z487" s="423" t="s">
        <v>1059</v>
      </c>
      <c r="AD487" s="423">
        <f>IF(ISNUMBER(MATCH(B487,'FICHA SOLIC'!$AB$26:$AB$376,0)),1,0)</f>
        <v>1</v>
      </c>
      <c r="AE487" s="423" t="str">
        <f t="shared" si="7"/>
        <v>El BosqueHC</v>
      </c>
    </row>
    <row r="488" spans="1:31" x14ac:dyDescent="0.25">
      <c r="A488" s="423">
        <v>487</v>
      </c>
      <c r="B488" s="423" t="s">
        <v>407</v>
      </c>
      <c r="C488" s="423" t="s">
        <v>1070</v>
      </c>
      <c r="D488" s="428" t="s">
        <v>990</v>
      </c>
      <c r="E488" s="429" t="s">
        <v>991</v>
      </c>
      <c r="F488" s="429" t="s">
        <v>992</v>
      </c>
      <c r="G488" s="429" t="s">
        <v>1054</v>
      </c>
      <c r="H488" s="430" t="s">
        <v>699</v>
      </c>
      <c r="I488" s="429" t="s">
        <v>1055</v>
      </c>
      <c r="J488" s="428" t="s">
        <v>697</v>
      </c>
      <c r="K488" s="429" t="s">
        <v>995</v>
      </c>
      <c r="L488" s="429" t="s">
        <v>996</v>
      </c>
      <c r="M488" s="429" t="s">
        <v>997</v>
      </c>
      <c r="N488" s="429" t="s">
        <v>558</v>
      </c>
      <c r="O488" s="428" t="s">
        <v>998</v>
      </c>
      <c r="P488" s="429" t="s">
        <v>999</v>
      </c>
      <c r="Q488" s="429" t="s">
        <v>1000</v>
      </c>
      <c r="R488" s="429" t="s">
        <v>1001</v>
      </c>
      <c r="S488" s="429" t="s">
        <v>1002</v>
      </c>
      <c r="T488" s="423">
        <v>200</v>
      </c>
      <c r="U488" s="423" t="s">
        <v>1026</v>
      </c>
      <c r="V488" s="423">
        <v>91</v>
      </c>
      <c r="W488" s="423" t="s">
        <v>1041</v>
      </c>
      <c r="X488" s="423">
        <v>8.4</v>
      </c>
      <c r="Y488" s="423" t="s">
        <v>1041</v>
      </c>
      <c r="Z488" s="423" t="s">
        <v>1057</v>
      </c>
      <c r="AD488" s="423">
        <f>IF(ISNUMBER(MATCH(B488,'FICHA SOLIC'!$AB$26:$AB$376,0)),1,0)</f>
        <v>1</v>
      </c>
      <c r="AE488" s="423" t="str">
        <f t="shared" si="7"/>
        <v>El BosqueLMC</v>
      </c>
    </row>
    <row r="489" spans="1:31" x14ac:dyDescent="0.25">
      <c r="A489" s="423">
        <v>488</v>
      </c>
      <c r="B489" s="423" t="s">
        <v>407</v>
      </c>
      <c r="C489" s="423" t="s">
        <v>1069</v>
      </c>
      <c r="D489" s="428" t="s">
        <v>990</v>
      </c>
      <c r="E489" s="429" t="s">
        <v>991</v>
      </c>
      <c r="F489" s="429" t="s">
        <v>992</v>
      </c>
      <c r="G489" s="429" t="s">
        <v>1054</v>
      </c>
      <c r="H489" s="430" t="s">
        <v>699</v>
      </c>
      <c r="I489" s="429" t="s">
        <v>1055</v>
      </c>
      <c r="J489" s="428" t="s">
        <v>697</v>
      </c>
      <c r="K489" s="429" t="s">
        <v>995</v>
      </c>
      <c r="L489" s="429" t="s">
        <v>996</v>
      </c>
      <c r="M489" s="429" t="s">
        <v>997</v>
      </c>
      <c r="N489" s="429" t="s">
        <v>558</v>
      </c>
      <c r="O489" s="428" t="s">
        <v>998</v>
      </c>
      <c r="P489" s="429" t="s">
        <v>999</v>
      </c>
      <c r="Q489" s="429" t="s">
        <v>1000</v>
      </c>
      <c r="R489" s="429" t="s">
        <v>1001</v>
      </c>
      <c r="S489" s="429" t="s">
        <v>1002</v>
      </c>
      <c r="T489" s="423">
        <v>200</v>
      </c>
      <c r="U489" s="423" t="s">
        <v>1026</v>
      </c>
      <c r="V489" s="423">
        <v>70</v>
      </c>
      <c r="W489" s="423" t="s">
        <v>1041</v>
      </c>
      <c r="X489" s="423">
        <v>8.4</v>
      </c>
      <c r="Y489" s="423" t="s">
        <v>1041</v>
      </c>
      <c r="Z489" s="423" t="s">
        <v>1057</v>
      </c>
      <c r="AD489" s="423">
        <f>IF(ISNUMBER(MATCH(B489,'FICHA SOLIC'!$AB$26:$AB$376,0)),1,0)</f>
        <v>1</v>
      </c>
      <c r="AE489" s="423" t="str">
        <f t="shared" si="7"/>
        <v>El BosqueLo Moreno</v>
      </c>
    </row>
    <row r="490" spans="1:31" x14ac:dyDescent="0.25">
      <c r="A490" s="423">
        <v>489</v>
      </c>
      <c r="B490" s="423" t="s">
        <v>407</v>
      </c>
      <c r="C490" s="423" t="s">
        <v>1063</v>
      </c>
      <c r="D490" s="428" t="s">
        <v>990</v>
      </c>
      <c r="E490" s="429" t="s">
        <v>991</v>
      </c>
      <c r="F490" s="429" t="s">
        <v>992</v>
      </c>
      <c r="G490" s="429" t="s">
        <v>1054</v>
      </c>
      <c r="H490" s="430" t="s">
        <v>699</v>
      </c>
      <c r="I490" s="429" t="s">
        <v>1055</v>
      </c>
      <c r="J490" s="428" t="s">
        <v>697</v>
      </c>
      <c r="K490" s="429" t="s">
        <v>995</v>
      </c>
      <c r="L490" s="429" t="s">
        <v>996</v>
      </c>
      <c r="M490" s="429" t="s">
        <v>997</v>
      </c>
      <c r="N490" s="429" t="s">
        <v>558</v>
      </c>
      <c r="O490" s="428" t="s">
        <v>998</v>
      </c>
      <c r="P490" s="429" t="s">
        <v>999</v>
      </c>
      <c r="Q490" s="429" t="s">
        <v>1000</v>
      </c>
      <c r="R490" s="429" t="s">
        <v>1001</v>
      </c>
      <c r="S490" s="429" t="s">
        <v>1002</v>
      </c>
      <c r="T490" s="423">
        <v>160</v>
      </c>
      <c r="U490" s="423" t="s">
        <v>1026</v>
      </c>
      <c r="V490" s="423">
        <v>70</v>
      </c>
      <c r="W490" s="423" t="s">
        <v>1026</v>
      </c>
      <c r="X490" s="423">
        <v>14.4</v>
      </c>
      <c r="Y490" s="423" t="s">
        <v>1041</v>
      </c>
      <c r="Z490" s="423" t="s">
        <v>1057</v>
      </c>
      <c r="AD490" s="423">
        <f>IF(ISNUMBER(MATCH(B490,'FICHA SOLIC'!$AB$26:$AB$376,0)),1,0)</f>
        <v>1</v>
      </c>
      <c r="AE490" s="423" t="str">
        <f t="shared" si="7"/>
        <v>El BosqueR</v>
      </c>
    </row>
    <row r="491" spans="1:31" x14ac:dyDescent="0.25">
      <c r="A491" s="423">
        <v>490</v>
      </c>
      <c r="B491" s="423" t="s">
        <v>407</v>
      </c>
      <c r="C491" s="423" t="s">
        <v>1064</v>
      </c>
      <c r="D491" s="428" t="s">
        <v>990</v>
      </c>
      <c r="E491" s="429" t="s">
        <v>991</v>
      </c>
      <c r="F491" s="429" t="s">
        <v>992</v>
      </c>
      <c r="G491" s="429" t="s">
        <v>1054</v>
      </c>
      <c r="H491" s="430" t="s">
        <v>699</v>
      </c>
      <c r="I491" s="429" t="s">
        <v>1055</v>
      </c>
      <c r="J491" s="428" t="s">
        <v>697</v>
      </c>
      <c r="K491" s="429" t="s">
        <v>995</v>
      </c>
      <c r="L491" s="429" t="s">
        <v>996</v>
      </c>
      <c r="M491" s="429" t="s">
        <v>997</v>
      </c>
      <c r="N491" s="429" t="s">
        <v>558</v>
      </c>
      <c r="O491" s="428" t="s">
        <v>998</v>
      </c>
      <c r="P491" s="429" t="s">
        <v>999</v>
      </c>
      <c r="Q491" s="429" t="s">
        <v>1000</v>
      </c>
      <c r="R491" s="429" t="s">
        <v>1001</v>
      </c>
      <c r="S491" s="429" t="s">
        <v>1002</v>
      </c>
      <c r="T491" s="423">
        <v>160</v>
      </c>
      <c r="U491" s="423" t="s">
        <v>1026</v>
      </c>
      <c r="V491" s="423">
        <v>91</v>
      </c>
      <c r="W491" s="423" t="s">
        <v>1026</v>
      </c>
      <c r="X491" s="423">
        <v>14.4</v>
      </c>
      <c r="Y491" s="423" t="s">
        <v>1041</v>
      </c>
      <c r="Z491" s="423" t="s">
        <v>1057</v>
      </c>
      <c r="AD491" s="423">
        <f>IF(ISNUMBER(MATCH(B491,'FICHA SOLIC'!$AB$26:$AB$376,0)),1,0)</f>
        <v>1</v>
      </c>
      <c r="AE491" s="423" t="str">
        <f t="shared" si="7"/>
        <v>El BosqueRC</v>
      </c>
    </row>
    <row r="492" spans="1:31" x14ac:dyDescent="0.25">
      <c r="A492" s="423">
        <v>491</v>
      </c>
      <c r="B492" s="423" t="s">
        <v>451</v>
      </c>
      <c r="C492" s="423" t="s">
        <v>2032</v>
      </c>
      <c r="D492" s="428" t="s">
        <v>990</v>
      </c>
      <c r="E492" s="429" t="s">
        <v>991</v>
      </c>
      <c r="F492" s="429" t="s">
        <v>992</v>
      </c>
      <c r="G492" s="429" t="s">
        <v>1054</v>
      </c>
      <c r="H492" s="430" t="s">
        <v>699</v>
      </c>
      <c r="I492" s="429" t="s">
        <v>1055</v>
      </c>
      <c r="J492" s="428" t="s">
        <v>697</v>
      </c>
      <c r="K492" s="429" t="s">
        <v>995</v>
      </c>
      <c r="L492" s="429" t="s">
        <v>996</v>
      </c>
      <c r="M492" s="429" t="s">
        <v>997</v>
      </c>
      <c r="N492" s="429" t="s">
        <v>558</v>
      </c>
      <c r="O492" s="428" t="s">
        <v>998</v>
      </c>
      <c r="P492" s="429" t="s">
        <v>999</v>
      </c>
      <c r="Q492" s="429" t="s">
        <v>1000</v>
      </c>
      <c r="R492" s="429" t="s">
        <v>1001</v>
      </c>
      <c r="S492" s="429" t="s">
        <v>1002</v>
      </c>
      <c r="T492" s="423" t="s">
        <v>2032</v>
      </c>
      <c r="U492" s="423" t="s">
        <v>2032</v>
      </c>
      <c r="V492" s="423" t="s">
        <v>2032</v>
      </c>
      <c r="W492" s="423" t="s">
        <v>2032</v>
      </c>
      <c r="X492" s="423" t="s">
        <v>2032</v>
      </c>
      <c r="Y492" s="423" t="s">
        <v>2032</v>
      </c>
      <c r="Z492" s="423" t="s">
        <v>2032</v>
      </c>
      <c r="AD492" s="423">
        <f>IF(ISNUMBER(MATCH(B492,'FICHA SOLIC'!$AB$26:$AB$376,0)),1,0)</f>
        <v>1</v>
      </c>
      <c r="AE492" s="423" t="str">
        <f t="shared" si="7"/>
        <v>El MontePRMS</v>
      </c>
    </row>
    <row r="493" spans="1:31" x14ac:dyDescent="0.25">
      <c r="A493" s="423">
        <v>492</v>
      </c>
      <c r="B493" s="423" t="s">
        <v>174</v>
      </c>
      <c r="C493" s="423" t="s">
        <v>1041</v>
      </c>
      <c r="D493" s="975" t="s">
        <v>990</v>
      </c>
      <c r="E493" s="976" t="s">
        <v>991</v>
      </c>
      <c r="F493" s="976" t="s">
        <v>992</v>
      </c>
      <c r="G493" s="976" t="s">
        <v>1997</v>
      </c>
      <c r="H493" s="976" t="s">
        <v>1998</v>
      </c>
      <c r="I493" s="976" t="s">
        <v>1999</v>
      </c>
      <c r="J493" s="975" t="s">
        <v>697</v>
      </c>
      <c r="K493" s="976" t="s">
        <v>995</v>
      </c>
      <c r="L493" s="976" t="s">
        <v>996</v>
      </c>
      <c r="M493" s="976" t="s">
        <v>2000</v>
      </c>
      <c r="N493" s="976" t="s">
        <v>2001</v>
      </c>
      <c r="O493" s="975" t="s">
        <v>1971</v>
      </c>
      <c r="P493" s="976" t="s">
        <v>999</v>
      </c>
      <c r="Q493" s="976" t="s">
        <v>1000</v>
      </c>
      <c r="R493" s="976" t="s">
        <v>1001</v>
      </c>
      <c r="S493" s="976" t="s">
        <v>1002</v>
      </c>
      <c r="T493" s="423" t="s">
        <v>1041</v>
      </c>
      <c r="U493" s="423" t="s">
        <v>1041</v>
      </c>
      <c r="V493" s="423" t="s">
        <v>1041</v>
      </c>
      <c r="W493" s="423" t="s">
        <v>1041</v>
      </c>
      <c r="X493" s="423" t="s">
        <v>1041</v>
      </c>
      <c r="Y493" s="423" t="s">
        <v>1041</v>
      </c>
      <c r="Z493" s="423" t="s">
        <v>1041</v>
      </c>
      <c r="AD493" s="423">
        <f>IF(ISNUMBER(MATCH(B493,'FICHA SOLIC'!$AB$26:$AB$376,0)),1,0)</f>
        <v>1</v>
      </c>
      <c r="AE493" s="423" t="str">
        <f t="shared" si="7"/>
        <v>El QuiscoOGUC</v>
      </c>
    </row>
    <row r="494" spans="1:31" x14ac:dyDescent="0.25">
      <c r="A494" s="423">
        <v>493</v>
      </c>
      <c r="B494" s="423" t="s">
        <v>175</v>
      </c>
      <c r="C494" s="423" t="s">
        <v>1041</v>
      </c>
      <c r="D494" s="975" t="s">
        <v>990</v>
      </c>
      <c r="E494" s="976" t="s">
        <v>991</v>
      </c>
      <c r="F494" s="976" t="s">
        <v>992</v>
      </c>
      <c r="G494" s="976" t="s">
        <v>1997</v>
      </c>
      <c r="H494" s="976" t="s">
        <v>1998</v>
      </c>
      <c r="I494" s="976" t="s">
        <v>1999</v>
      </c>
      <c r="J494" s="975" t="s">
        <v>697</v>
      </c>
      <c r="K494" s="976" t="s">
        <v>995</v>
      </c>
      <c r="L494" s="976" t="s">
        <v>996</v>
      </c>
      <c r="M494" s="976" t="s">
        <v>2000</v>
      </c>
      <c r="N494" s="976" t="s">
        <v>2001</v>
      </c>
      <c r="O494" s="975" t="s">
        <v>1971</v>
      </c>
      <c r="P494" s="976" t="s">
        <v>999</v>
      </c>
      <c r="Q494" s="976" t="s">
        <v>1000</v>
      </c>
      <c r="R494" s="976" t="s">
        <v>1001</v>
      </c>
      <c r="S494" s="976" t="s">
        <v>1002</v>
      </c>
      <c r="T494" s="423" t="s">
        <v>1041</v>
      </c>
      <c r="U494" s="423" t="s">
        <v>1041</v>
      </c>
      <c r="V494" s="423" t="s">
        <v>1041</v>
      </c>
      <c r="W494" s="423" t="s">
        <v>1041</v>
      </c>
      <c r="X494" s="423" t="s">
        <v>1041</v>
      </c>
      <c r="Y494" s="423" t="s">
        <v>1041</v>
      </c>
      <c r="Z494" s="423" t="s">
        <v>1041</v>
      </c>
      <c r="AD494" s="423">
        <f>IF(ISNUMBER(MATCH(B494,'FICHA SOLIC'!$AB$26:$AB$376,0)),1,0)</f>
        <v>1</v>
      </c>
      <c r="AE494" s="423" t="str">
        <f t="shared" si="7"/>
        <v>El TaboOGUC</v>
      </c>
    </row>
    <row r="495" spans="1:31" x14ac:dyDescent="0.25">
      <c r="A495" s="423">
        <v>494</v>
      </c>
      <c r="B495" s="423" t="s">
        <v>2570</v>
      </c>
      <c r="C495" s="423" t="s">
        <v>1041</v>
      </c>
      <c r="D495" s="975" t="s">
        <v>990</v>
      </c>
      <c r="E495" s="976" t="s">
        <v>991</v>
      </c>
      <c r="F495" s="976" t="s">
        <v>992</v>
      </c>
      <c r="G495" s="976" t="s">
        <v>1997</v>
      </c>
      <c r="H495" s="976" t="s">
        <v>1998</v>
      </c>
      <c r="I495" s="976" t="s">
        <v>1999</v>
      </c>
      <c r="J495" s="975" t="s">
        <v>697</v>
      </c>
      <c r="K495" s="976" t="s">
        <v>995</v>
      </c>
      <c r="L495" s="976" t="s">
        <v>996</v>
      </c>
      <c r="M495" s="976" t="s">
        <v>2000</v>
      </c>
      <c r="N495" s="976" t="s">
        <v>2001</v>
      </c>
      <c r="O495" s="975" t="s">
        <v>1971</v>
      </c>
      <c r="P495" s="976" t="s">
        <v>999</v>
      </c>
      <c r="Q495" s="976" t="s">
        <v>1000</v>
      </c>
      <c r="R495" s="976" t="s">
        <v>1001</v>
      </c>
      <c r="S495" s="976" t="s">
        <v>1002</v>
      </c>
      <c r="T495" s="423" t="s">
        <v>1041</v>
      </c>
      <c r="U495" s="423" t="s">
        <v>1041</v>
      </c>
      <c r="V495" s="423" t="s">
        <v>1041</v>
      </c>
      <c r="W495" s="423" t="s">
        <v>1041</v>
      </c>
      <c r="X495" s="423" t="s">
        <v>1041</v>
      </c>
      <c r="Y495" s="423" t="s">
        <v>1041</v>
      </c>
      <c r="Z495" s="423" t="s">
        <v>1041</v>
      </c>
      <c r="AD495" s="423">
        <f>IF(ISNUMBER(MATCH(B495,'FICHA SOLIC'!$AB$26:$AB$376,0)),1,0)</f>
        <v>0</v>
      </c>
      <c r="AE495" s="423" t="str">
        <f t="shared" si="7"/>
        <v>EnsenadaOGUC</v>
      </c>
    </row>
    <row r="496" spans="1:31" x14ac:dyDescent="0.25">
      <c r="A496" s="423">
        <v>495</v>
      </c>
      <c r="B496" s="423" t="s">
        <v>408</v>
      </c>
      <c r="C496" s="423" t="s">
        <v>1579</v>
      </c>
      <c r="D496" s="428" t="s">
        <v>990</v>
      </c>
      <c r="E496" s="429" t="s">
        <v>991</v>
      </c>
      <c r="F496" s="429" t="s">
        <v>992</v>
      </c>
      <c r="G496" s="429" t="s">
        <v>1054</v>
      </c>
      <c r="H496" s="430" t="s">
        <v>699</v>
      </c>
      <c r="I496" s="429" t="s">
        <v>1055</v>
      </c>
      <c r="J496" s="428" t="s">
        <v>697</v>
      </c>
      <c r="K496" s="429" t="s">
        <v>995</v>
      </c>
      <c r="L496" s="429" t="s">
        <v>996</v>
      </c>
      <c r="M496" s="429" t="s">
        <v>997</v>
      </c>
      <c r="N496" s="429" t="s">
        <v>558</v>
      </c>
      <c r="O496" s="428" t="s">
        <v>998</v>
      </c>
      <c r="P496" s="429" t="s">
        <v>999</v>
      </c>
      <c r="Q496" s="429" t="s">
        <v>1000</v>
      </c>
      <c r="R496" s="429" t="s">
        <v>1001</v>
      </c>
      <c r="S496" s="429" t="s">
        <v>1002</v>
      </c>
      <c r="T496" s="423">
        <v>1500</v>
      </c>
      <c r="U496" s="423" t="s">
        <v>1041</v>
      </c>
      <c r="V496" s="423">
        <v>70</v>
      </c>
      <c r="W496" s="423">
        <v>2</v>
      </c>
      <c r="X496" s="423" t="s">
        <v>1041</v>
      </c>
      <c r="Y496" s="423" t="s">
        <v>1041</v>
      </c>
      <c r="Z496" s="423" t="s">
        <v>1058</v>
      </c>
      <c r="AD496" s="423">
        <f>IF(ISNUMBER(MATCH(B496,'FICHA SOLIC'!$AB$26:$AB$376,0)),1,0)</f>
        <v>1</v>
      </c>
      <c r="AE496" s="423" t="str">
        <f t="shared" si="7"/>
        <v>Estación CentralIPA</v>
      </c>
    </row>
    <row r="497" spans="1:31" x14ac:dyDescent="0.25">
      <c r="A497" s="423">
        <v>496</v>
      </c>
      <c r="B497" s="423" t="s">
        <v>408</v>
      </c>
      <c r="C497" s="423" t="s">
        <v>1580</v>
      </c>
      <c r="D497" s="428" t="s">
        <v>990</v>
      </c>
      <c r="E497" s="429" t="s">
        <v>991</v>
      </c>
      <c r="F497" s="429" t="s">
        <v>992</v>
      </c>
      <c r="G497" s="429" t="s">
        <v>1054</v>
      </c>
      <c r="H497" s="430" t="s">
        <v>699</v>
      </c>
      <c r="I497" s="429" t="s">
        <v>1055</v>
      </c>
      <c r="J497" s="428" t="s">
        <v>697</v>
      </c>
      <c r="K497" s="429" t="s">
        <v>995</v>
      </c>
      <c r="L497" s="429" t="s">
        <v>996</v>
      </c>
      <c r="M497" s="429" t="s">
        <v>997</v>
      </c>
      <c r="N497" s="429" t="s">
        <v>558</v>
      </c>
      <c r="O497" s="428" t="s">
        <v>998</v>
      </c>
      <c r="P497" s="429" t="s">
        <v>999</v>
      </c>
      <c r="Q497" s="429" t="s">
        <v>1000</v>
      </c>
      <c r="R497" s="429" t="s">
        <v>1001</v>
      </c>
      <c r="S497" s="429" t="s">
        <v>1002</v>
      </c>
      <c r="T497" s="434" t="s">
        <v>1041</v>
      </c>
      <c r="U497" s="434" t="s">
        <v>1041</v>
      </c>
      <c r="V497" s="434" t="s">
        <v>1041</v>
      </c>
      <c r="W497" s="434" t="s">
        <v>1041</v>
      </c>
      <c r="X497" s="423" t="s">
        <v>1041</v>
      </c>
      <c r="Y497" s="423" t="s">
        <v>1041</v>
      </c>
      <c r="Z497" s="423" t="s">
        <v>1589</v>
      </c>
      <c r="AD497" s="423">
        <f>IF(ISNUMBER(MATCH(B497,'FICHA SOLIC'!$AB$26:$AB$376,0)),1,0)</f>
        <v>1</v>
      </c>
      <c r="AE497" s="423" t="str">
        <f t="shared" si="7"/>
        <v>Estación CentralIPB</v>
      </c>
    </row>
    <row r="498" spans="1:31" x14ac:dyDescent="0.25">
      <c r="A498" s="423">
        <v>497</v>
      </c>
      <c r="B498" s="423" t="s">
        <v>408</v>
      </c>
      <c r="C498" s="423" t="s">
        <v>1581</v>
      </c>
      <c r="D498" s="428" t="s">
        <v>990</v>
      </c>
      <c r="E498" s="429" t="s">
        <v>991</v>
      </c>
      <c r="F498" s="429" t="s">
        <v>992</v>
      </c>
      <c r="G498" s="429" t="s">
        <v>1054</v>
      </c>
      <c r="H498" s="430" t="s">
        <v>699</v>
      </c>
      <c r="I498" s="429" t="s">
        <v>1055</v>
      </c>
      <c r="J498" s="428" t="s">
        <v>697</v>
      </c>
      <c r="K498" s="429" t="s">
        <v>995</v>
      </c>
      <c r="L498" s="429" t="s">
        <v>996</v>
      </c>
      <c r="M498" s="429" t="s">
        <v>997</v>
      </c>
      <c r="N498" s="429" t="s">
        <v>558</v>
      </c>
      <c r="O498" s="428" t="s">
        <v>998</v>
      </c>
      <c r="P498" s="429" t="s">
        <v>999</v>
      </c>
      <c r="Q498" s="429" t="s">
        <v>1000</v>
      </c>
      <c r="R498" s="429" t="s">
        <v>1001</v>
      </c>
      <c r="S498" s="429" t="s">
        <v>1002</v>
      </c>
      <c r="T498" s="434" t="s">
        <v>1041</v>
      </c>
      <c r="U498" s="434" t="s">
        <v>1041</v>
      </c>
      <c r="V498" s="434" t="s">
        <v>1041</v>
      </c>
      <c r="W498" s="434" t="s">
        <v>1041</v>
      </c>
      <c r="X498" s="423" t="s">
        <v>1041</v>
      </c>
      <c r="Y498" s="423" t="s">
        <v>1041</v>
      </c>
      <c r="Z498" s="423" t="s">
        <v>1057</v>
      </c>
      <c r="AD498" s="423">
        <f>IF(ISNUMBER(MATCH(B498,'FICHA SOLIC'!$AB$26:$AB$376,0)),1,0)</f>
        <v>1</v>
      </c>
      <c r="AE498" s="423" t="str">
        <f t="shared" si="7"/>
        <v>Estación CentralIPC</v>
      </c>
    </row>
    <row r="499" spans="1:31" x14ac:dyDescent="0.25">
      <c r="A499" s="423">
        <v>498</v>
      </c>
      <c r="B499" s="423" t="s">
        <v>408</v>
      </c>
      <c r="C499" s="423" t="s">
        <v>1582</v>
      </c>
      <c r="D499" s="428" t="s">
        <v>990</v>
      </c>
      <c r="E499" s="429" t="s">
        <v>991</v>
      </c>
      <c r="F499" s="429" t="s">
        <v>992</v>
      </c>
      <c r="G499" s="429" t="s">
        <v>1054</v>
      </c>
      <c r="H499" s="430" t="s">
        <v>699</v>
      </c>
      <c r="I499" s="429" t="s">
        <v>1055</v>
      </c>
      <c r="J499" s="428" t="s">
        <v>697</v>
      </c>
      <c r="K499" s="429" t="s">
        <v>995</v>
      </c>
      <c r="L499" s="429" t="s">
        <v>996</v>
      </c>
      <c r="M499" s="429" t="s">
        <v>997</v>
      </c>
      <c r="N499" s="429" t="s">
        <v>558</v>
      </c>
      <c r="O499" s="428" t="s">
        <v>998</v>
      </c>
      <c r="P499" s="429" t="s">
        <v>999</v>
      </c>
      <c r="Q499" s="429" t="s">
        <v>1000</v>
      </c>
      <c r="R499" s="429" t="s">
        <v>1001</v>
      </c>
      <c r="S499" s="429" t="s">
        <v>1002</v>
      </c>
      <c r="T499" s="434" t="s">
        <v>1041</v>
      </c>
      <c r="U499" s="434" t="s">
        <v>1041</v>
      </c>
      <c r="V499" s="423">
        <v>70</v>
      </c>
      <c r="W499" s="434" t="s">
        <v>1041</v>
      </c>
      <c r="X499" s="423" t="s">
        <v>1438</v>
      </c>
      <c r="Y499" s="423" t="s">
        <v>1041</v>
      </c>
      <c r="Z499" s="423" t="s">
        <v>1150</v>
      </c>
      <c r="AD499" s="423">
        <f>IF(ISNUMBER(MATCH(B499,'FICHA SOLIC'!$AB$26:$AB$376,0)),1,0)</f>
        <v>1</v>
      </c>
      <c r="AE499" s="423" t="str">
        <f t="shared" si="7"/>
        <v>Estación CentralIPD</v>
      </c>
    </row>
    <row r="500" spans="1:31" x14ac:dyDescent="0.25">
      <c r="A500" s="423">
        <v>499</v>
      </c>
      <c r="B500" s="423" t="s">
        <v>408</v>
      </c>
      <c r="C500" s="423" t="s">
        <v>1583</v>
      </c>
      <c r="D500" s="428" t="s">
        <v>990</v>
      </c>
      <c r="E500" s="429" t="s">
        <v>991</v>
      </c>
      <c r="F500" s="429" t="s">
        <v>992</v>
      </c>
      <c r="G500" s="429" t="s">
        <v>1054</v>
      </c>
      <c r="H500" s="430" t="s">
        <v>699</v>
      </c>
      <c r="I500" s="429" t="s">
        <v>1055</v>
      </c>
      <c r="J500" s="428" t="s">
        <v>697</v>
      </c>
      <c r="K500" s="429" t="s">
        <v>995</v>
      </c>
      <c r="L500" s="429" t="s">
        <v>996</v>
      </c>
      <c r="M500" s="429" t="s">
        <v>997</v>
      </c>
      <c r="N500" s="429" t="s">
        <v>558</v>
      </c>
      <c r="O500" s="428" t="s">
        <v>998</v>
      </c>
      <c r="P500" s="429" t="s">
        <v>999</v>
      </c>
      <c r="Q500" s="429" t="s">
        <v>1000</v>
      </c>
      <c r="R500" s="429" t="s">
        <v>1001</v>
      </c>
      <c r="S500" s="429" t="s">
        <v>1002</v>
      </c>
      <c r="T500" s="434" t="s">
        <v>1041</v>
      </c>
      <c r="U500" s="434" t="s">
        <v>1041</v>
      </c>
      <c r="V500" s="423">
        <v>60</v>
      </c>
      <c r="W500" s="434" t="s">
        <v>1041</v>
      </c>
      <c r="X500" s="423">
        <v>12</v>
      </c>
      <c r="Y500" s="423" t="s">
        <v>1041</v>
      </c>
      <c r="Z500" s="423" t="s">
        <v>1058</v>
      </c>
      <c r="AD500" s="423">
        <f>IF(ISNUMBER(MATCH(B500,'FICHA SOLIC'!$AB$26:$AB$376,0)),1,0)</f>
        <v>1</v>
      </c>
      <c r="AE500" s="423" t="str">
        <f t="shared" si="7"/>
        <v>Estación CentralIPE</v>
      </c>
    </row>
    <row r="501" spans="1:31" x14ac:dyDescent="0.25">
      <c r="A501" s="423">
        <v>500</v>
      </c>
      <c r="B501" s="423" t="s">
        <v>408</v>
      </c>
      <c r="C501" s="423" t="s">
        <v>1584</v>
      </c>
      <c r="D501" s="428" t="s">
        <v>990</v>
      </c>
      <c r="E501" s="429" t="s">
        <v>991</v>
      </c>
      <c r="F501" s="429" t="s">
        <v>992</v>
      </c>
      <c r="G501" s="429" t="s">
        <v>1054</v>
      </c>
      <c r="H501" s="430" t="s">
        <v>699</v>
      </c>
      <c r="I501" s="429" t="s">
        <v>1055</v>
      </c>
      <c r="J501" s="428" t="s">
        <v>697</v>
      </c>
      <c r="K501" s="429" t="s">
        <v>995</v>
      </c>
      <c r="L501" s="429" t="s">
        <v>996</v>
      </c>
      <c r="M501" s="429" t="s">
        <v>997</v>
      </c>
      <c r="N501" s="429" t="s">
        <v>558</v>
      </c>
      <c r="O501" s="428" t="s">
        <v>998</v>
      </c>
      <c r="P501" s="429" t="s">
        <v>999</v>
      </c>
      <c r="Q501" s="429" t="s">
        <v>1000</v>
      </c>
      <c r="R501" s="429" t="s">
        <v>1001</v>
      </c>
      <c r="S501" s="429" t="s">
        <v>1002</v>
      </c>
      <c r="T501" s="434" t="s">
        <v>1041</v>
      </c>
      <c r="U501" s="434" t="s">
        <v>1041</v>
      </c>
      <c r="V501" s="423">
        <v>50</v>
      </c>
      <c r="W501" s="434" t="s">
        <v>1041</v>
      </c>
      <c r="X501" s="423">
        <v>8</v>
      </c>
      <c r="Y501" s="423" t="s">
        <v>1041</v>
      </c>
      <c r="Z501" s="423" t="s">
        <v>1058</v>
      </c>
      <c r="AD501" s="423">
        <f>IF(ISNUMBER(MATCH(B501,'FICHA SOLIC'!$AB$26:$AB$376,0)),1,0)</f>
        <v>1</v>
      </c>
      <c r="AE501" s="423" t="str">
        <f t="shared" si="7"/>
        <v>Estación CentralIPF</v>
      </c>
    </row>
    <row r="502" spans="1:31" x14ac:dyDescent="0.25">
      <c r="A502" s="423">
        <v>501</v>
      </c>
      <c r="B502" s="423" t="s">
        <v>408</v>
      </c>
      <c r="C502" s="423" t="s">
        <v>1585</v>
      </c>
      <c r="D502" s="428" t="s">
        <v>990</v>
      </c>
      <c r="E502" s="429" t="s">
        <v>991</v>
      </c>
      <c r="F502" s="429" t="s">
        <v>992</v>
      </c>
      <c r="G502" s="429" t="s">
        <v>1054</v>
      </c>
      <c r="H502" s="430" t="s">
        <v>699</v>
      </c>
      <c r="I502" s="429" t="s">
        <v>1055</v>
      </c>
      <c r="J502" s="428" t="s">
        <v>697</v>
      </c>
      <c r="K502" s="429" t="s">
        <v>995</v>
      </c>
      <c r="L502" s="429" t="s">
        <v>996</v>
      </c>
      <c r="M502" s="429" t="s">
        <v>997</v>
      </c>
      <c r="N502" s="429" t="s">
        <v>558</v>
      </c>
      <c r="O502" s="428" t="s">
        <v>998</v>
      </c>
      <c r="P502" s="429" t="s">
        <v>999</v>
      </c>
      <c r="Q502" s="429" t="s">
        <v>1000</v>
      </c>
      <c r="R502" s="429" t="s">
        <v>1001</v>
      </c>
      <c r="S502" s="429" t="s">
        <v>1002</v>
      </c>
      <c r="T502" s="423" t="s">
        <v>1590</v>
      </c>
      <c r="U502" s="423" t="s">
        <v>1590</v>
      </c>
      <c r="V502" s="423" t="s">
        <v>1590</v>
      </c>
      <c r="W502" s="434" t="s">
        <v>1590</v>
      </c>
      <c r="X502" s="423" t="s">
        <v>1590</v>
      </c>
      <c r="Y502" s="423" t="s">
        <v>1041</v>
      </c>
      <c r="Z502" s="423" t="s">
        <v>1058</v>
      </c>
      <c r="AD502" s="423">
        <f>IF(ISNUMBER(MATCH(B502,'FICHA SOLIC'!$AB$26:$AB$376,0)),1,0)</f>
        <v>1</v>
      </c>
      <c r="AE502" s="423" t="str">
        <f t="shared" si="7"/>
        <v>Estación CentralIPG</v>
      </c>
    </row>
    <row r="503" spans="1:31" x14ac:dyDescent="0.25">
      <c r="A503" s="423">
        <v>502</v>
      </c>
      <c r="B503" s="423" t="s">
        <v>408</v>
      </c>
      <c r="C503" s="423" t="s">
        <v>1586</v>
      </c>
      <c r="D503" s="428" t="s">
        <v>990</v>
      </c>
      <c r="E503" s="429" t="s">
        <v>991</v>
      </c>
      <c r="F503" s="429" t="s">
        <v>992</v>
      </c>
      <c r="G503" s="429" t="s">
        <v>1054</v>
      </c>
      <c r="H503" s="430" t="s">
        <v>699</v>
      </c>
      <c r="I503" s="429" t="s">
        <v>1055</v>
      </c>
      <c r="J503" s="428" t="s">
        <v>697</v>
      </c>
      <c r="K503" s="429" t="s">
        <v>995</v>
      </c>
      <c r="L503" s="429" t="s">
        <v>996</v>
      </c>
      <c r="M503" s="429" t="s">
        <v>997</v>
      </c>
      <c r="N503" s="429" t="s">
        <v>558</v>
      </c>
      <c r="O503" s="428" t="s">
        <v>998</v>
      </c>
      <c r="P503" s="429" t="s">
        <v>999</v>
      </c>
      <c r="Q503" s="429" t="s">
        <v>1000</v>
      </c>
      <c r="R503" s="429" t="s">
        <v>1001</v>
      </c>
      <c r="S503" s="429" t="s">
        <v>1002</v>
      </c>
      <c r="T503" s="434" t="s">
        <v>1041</v>
      </c>
      <c r="U503" s="434" t="s">
        <v>1041</v>
      </c>
      <c r="V503" s="423">
        <v>50</v>
      </c>
      <c r="W503" s="423">
        <v>0.5</v>
      </c>
      <c r="X503" s="423" t="s">
        <v>1041</v>
      </c>
      <c r="Y503" s="423" t="s">
        <v>1041</v>
      </c>
      <c r="Z503" s="423" t="s">
        <v>1058</v>
      </c>
      <c r="AD503" s="423">
        <f>IF(ISNUMBER(MATCH(B503,'FICHA SOLIC'!$AB$26:$AB$376,0)),1,0)</f>
        <v>1</v>
      </c>
      <c r="AE503" s="423" t="str">
        <f t="shared" si="7"/>
        <v>Estación CentralIPH</v>
      </c>
    </row>
    <row r="504" spans="1:31" x14ac:dyDescent="0.25">
      <c r="A504" s="423">
        <v>503</v>
      </c>
      <c r="B504" s="423" t="s">
        <v>408</v>
      </c>
      <c r="C504" s="423" t="s">
        <v>1587</v>
      </c>
      <c r="D504" s="428" t="s">
        <v>990</v>
      </c>
      <c r="E504" s="429" t="s">
        <v>991</v>
      </c>
      <c r="F504" s="429" t="s">
        <v>992</v>
      </c>
      <c r="G504" s="429" t="s">
        <v>1054</v>
      </c>
      <c r="H504" s="430" t="s">
        <v>699</v>
      </c>
      <c r="I504" s="429" t="s">
        <v>1055</v>
      </c>
      <c r="J504" s="428" t="s">
        <v>697</v>
      </c>
      <c r="K504" s="429" t="s">
        <v>995</v>
      </c>
      <c r="L504" s="429" t="s">
        <v>996</v>
      </c>
      <c r="M504" s="429" t="s">
        <v>997</v>
      </c>
      <c r="N504" s="429" t="s">
        <v>558</v>
      </c>
      <c r="O504" s="428" t="s">
        <v>998</v>
      </c>
      <c r="P504" s="429" t="s">
        <v>999</v>
      </c>
      <c r="Q504" s="429" t="s">
        <v>1000</v>
      </c>
      <c r="R504" s="429" t="s">
        <v>1001</v>
      </c>
      <c r="S504" s="429" t="s">
        <v>1002</v>
      </c>
      <c r="T504" s="423" t="s">
        <v>1591</v>
      </c>
      <c r="U504" s="423" t="s">
        <v>1591</v>
      </c>
      <c r="V504" s="423" t="s">
        <v>1591</v>
      </c>
      <c r="W504" s="423" t="s">
        <v>1591</v>
      </c>
      <c r="X504" s="423" t="s">
        <v>1591</v>
      </c>
      <c r="Y504" s="423" t="s">
        <v>1591</v>
      </c>
      <c r="Z504" s="423" t="s">
        <v>1057</v>
      </c>
      <c r="AD504" s="423">
        <f>IF(ISNUMBER(MATCH(B504,'FICHA SOLIC'!$AB$26:$AB$376,0)),1,0)</f>
        <v>1</v>
      </c>
      <c r="AE504" s="423" t="str">
        <f t="shared" si="7"/>
        <v>Estación CentralIPI</v>
      </c>
    </row>
    <row r="505" spans="1:31" x14ac:dyDescent="0.25">
      <c r="A505" s="423">
        <v>504</v>
      </c>
      <c r="B505" s="423" t="s">
        <v>408</v>
      </c>
      <c r="C505" s="423" t="s">
        <v>1588</v>
      </c>
      <c r="D505" s="428" t="s">
        <v>990</v>
      </c>
      <c r="E505" s="429" t="s">
        <v>991</v>
      </c>
      <c r="F505" s="429" t="s">
        <v>992</v>
      </c>
      <c r="G505" s="429" t="s">
        <v>1054</v>
      </c>
      <c r="H505" s="430" t="s">
        <v>699</v>
      </c>
      <c r="I505" s="429" t="s">
        <v>1055</v>
      </c>
      <c r="J505" s="428" t="s">
        <v>697</v>
      </c>
      <c r="K505" s="429" t="s">
        <v>995</v>
      </c>
      <c r="L505" s="429" t="s">
        <v>996</v>
      </c>
      <c r="M505" s="429" t="s">
        <v>997</v>
      </c>
      <c r="N505" s="429" t="s">
        <v>558</v>
      </c>
      <c r="O505" s="428" t="s">
        <v>998</v>
      </c>
      <c r="P505" s="429" t="s">
        <v>999</v>
      </c>
      <c r="Q505" s="429" t="s">
        <v>1000</v>
      </c>
      <c r="R505" s="429" t="s">
        <v>1001</v>
      </c>
      <c r="S505" s="429" t="s">
        <v>1002</v>
      </c>
      <c r="T505" s="423" t="s">
        <v>1592</v>
      </c>
      <c r="U505" s="423" t="s">
        <v>1592</v>
      </c>
      <c r="V505" s="423" t="s">
        <v>1592</v>
      </c>
      <c r="W505" s="423" t="s">
        <v>1592</v>
      </c>
      <c r="X505" s="423" t="s">
        <v>1592</v>
      </c>
      <c r="Y505" s="423" t="s">
        <v>1592</v>
      </c>
      <c r="Z505" s="423" t="s">
        <v>1592</v>
      </c>
      <c r="AD505" s="423">
        <f>IF(ISNUMBER(MATCH(B505,'FICHA SOLIC'!$AB$26:$AB$376,0)),1,0)</f>
        <v>1</v>
      </c>
      <c r="AE505" s="423" t="str">
        <f t="shared" si="7"/>
        <v>Estación CentralIPX</v>
      </c>
    </row>
    <row r="506" spans="1:31" x14ac:dyDescent="0.25">
      <c r="A506" s="423">
        <v>505</v>
      </c>
      <c r="B506" s="423" t="s">
        <v>308</v>
      </c>
      <c r="C506" s="423" t="s">
        <v>1041</v>
      </c>
      <c r="D506" s="975" t="s">
        <v>990</v>
      </c>
      <c r="E506" s="976" t="s">
        <v>991</v>
      </c>
      <c r="F506" s="976" t="s">
        <v>992</v>
      </c>
      <c r="G506" s="976" t="s">
        <v>1997</v>
      </c>
      <c r="H506" s="976" t="s">
        <v>1998</v>
      </c>
      <c r="I506" s="976" t="s">
        <v>1999</v>
      </c>
      <c r="J506" s="975" t="s">
        <v>697</v>
      </c>
      <c r="K506" s="976" t="s">
        <v>995</v>
      </c>
      <c r="L506" s="976" t="s">
        <v>996</v>
      </c>
      <c r="M506" s="976" t="s">
        <v>2000</v>
      </c>
      <c r="N506" s="976" t="s">
        <v>2001</v>
      </c>
      <c r="O506" s="975" t="s">
        <v>1971</v>
      </c>
      <c r="P506" s="976" t="s">
        <v>999</v>
      </c>
      <c r="Q506" s="976" t="s">
        <v>1000</v>
      </c>
      <c r="R506" s="976" t="s">
        <v>1001</v>
      </c>
      <c r="S506" s="976" t="s">
        <v>1002</v>
      </c>
      <c r="T506" s="423" t="s">
        <v>1041</v>
      </c>
      <c r="U506" s="423" t="s">
        <v>1041</v>
      </c>
      <c r="V506" s="423" t="s">
        <v>1041</v>
      </c>
      <c r="W506" s="423" t="s">
        <v>1041</v>
      </c>
      <c r="X506" s="423" t="s">
        <v>1041</v>
      </c>
      <c r="Y506" s="423" t="s">
        <v>1041</v>
      </c>
      <c r="Z506" s="423" t="s">
        <v>1041</v>
      </c>
      <c r="AD506" s="423">
        <f>IF(ISNUMBER(MATCH(B506,'FICHA SOLIC'!$AB$26:$AB$376,0)),1,0)</f>
        <v>1</v>
      </c>
      <c r="AE506" s="423" t="str">
        <f t="shared" si="7"/>
        <v>FreireOGUC</v>
      </c>
    </row>
    <row r="507" spans="1:31" x14ac:dyDescent="0.25">
      <c r="A507" s="423">
        <v>506</v>
      </c>
      <c r="B507" s="423" t="s">
        <v>124</v>
      </c>
      <c r="C507" s="423" t="s">
        <v>1041</v>
      </c>
      <c r="D507" s="975" t="s">
        <v>990</v>
      </c>
      <c r="E507" s="976" t="s">
        <v>991</v>
      </c>
      <c r="F507" s="976" t="s">
        <v>992</v>
      </c>
      <c r="G507" s="976" t="s">
        <v>1997</v>
      </c>
      <c r="H507" s="976" t="s">
        <v>1998</v>
      </c>
      <c r="I507" s="976" t="s">
        <v>1999</v>
      </c>
      <c r="J507" s="975" t="s">
        <v>697</v>
      </c>
      <c r="K507" s="976" t="s">
        <v>995</v>
      </c>
      <c r="L507" s="976" t="s">
        <v>996</v>
      </c>
      <c r="M507" s="976" t="s">
        <v>2000</v>
      </c>
      <c r="N507" s="976" t="s">
        <v>2001</v>
      </c>
      <c r="O507" s="975" t="s">
        <v>1971</v>
      </c>
      <c r="P507" s="976" t="s">
        <v>999</v>
      </c>
      <c r="Q507" s="976" t="s">
        <v>1000</v>
      </c>
      <c r="R507" s="976" t="s">
        <v>1001</v>
      </c>
      <c r="S507" s="976" t="s">
        <v>1002</v>
      </c>
      <c r="T507" s="423" t="s">
        <v>1041</v>
      </c>
      <c r="U507" s="423" t="s">
        <v>1041</v>
      </c>
      <c r="V507" s="423" t="s">
        <v>1041</v>
      </c>
      <c r="W507" s="423" t="s">
        <v>1041</v>
      </c>
      <c r="X507" s="423" t="s">
        <v>1041</v>
      </c>
      <c r="Y507" s="423" t="s">
        <v>1041</v>
      </c>
      <c r="Z507" s="423" t="s">
        <v>1041</v>
      </c>
      <c r="AD507" s="423">
        <f>IF(ISNUMBER(MATCH(B507,'FICHA SOLIC'!$AB$26:$AB$376,0)),1,0)</f>
        <v>1</v>
      </c>
      <c r="AE507" s="423" t="str">
        <f t="shared" si="7"/>
        <v>FreirinaOGUC</v>
      </c>
    </row>
    <row r="508" spans="1:31" x14ac:dyDescent="0.25">
      <c r="A508" s="423">
        <v>507</v>
      </c>
      <c r="B508" s="423" t="s">
        <v>353</v>
      </c>
      <c r="C508" s="423" t="s">
        <v>1041</v>
      </c>
      <c r="D508" s="975" t="s">
        <v>990</v>
      </c>
      <c r="E508" s="976" t="s">
        <v>991</v>
      </c>
      <c r="F508" s="976" t="s">
        <v>992</v>
      </c>
      <c r="G508" s="976" t="s">
        <v>1997</v>
      </c>
      <c r="H508" s="976" t="s">
        <v>1998</v>
      </c>
      <c r="I508" s="976" t="s">
        <v>1999</v>
      </c>
      <c r="J508" s="975" t="s">
        <v>697</v>
      </c>
      <c r="K508" s="976" t="s">
        <v>995</v>
      </c>
      <c r="L508" s="976" t="s">
        <v>996</v>
      </c>
      <c r="M508" s="976" t="s">
        <v>2000</v>
      </c>
      <c r="N508" s="976" t="s">
        <v>2001</v>
      </c>
      <c r="O508" s="975" t="s">
        <v>1971</v>
      </c>
      <c r="P508" s="976" t="s">
        <v>999</v>
      </c>
      <c r="Q508" s="976" t="s">
        <v>1000</v>
      </c>
      <c r="R508" s="976" t="s">
        <v>1001</v>
      </c>
      <c r="S508" s="976" t="s">
        <v>1002</v>
      </c>
      <c r="T508" s="423" t="s">
        <v>1041</v>
      </c>
      <c r="U508" s="423" t="s">
        <v>1041</v>
      </c>
      <c r="V508" s="423" t="s">
        <v>1041</v>
      </c>
      <c r="W508" s="423" t="s">
        <v>1041</v>
      </c>
      <c r="X508" s="423" t="s">
        <v>1041</v>
      </c>
      <c r="Y508" s="423" t="s">
        <v>1041</v>
      </c>
      <c r="Z508" s="423" t="s">
        <v>1041</v>
      </c>
      <c r="AD508" s="423">
        <f>IF(ISNUMBER(MATCH(B508,'FICHA SOLIC'!$AB$26:$AB$376,0)),1,0)</f>
        <v>1</v>
      </c>
      <c r="AE508" s="423" t="str">
        <f t="shared" si="7"/>
        <v>FresiaOGUC</v>
      </c>
    </row>
    <row r="509" spans="1:31" x14ac:dyDescent="0.25">
      <c r="A509" s="423">
        <v>508</v>
      </c>
      <c r="B509" s="423" t="s">
        <v>354</v>
      </c>
      <c r="C509" s="423" t="s">
        <v>1478</v>
      </c>
      <c r="D509" s="975" t="s">
        <v>990</v>
      </c>
      <c r="E509" s="976" t="s">
        <v>991</v>
      </c>
      <c r="F509" s="976" t="s">
        <v>992</v>
      </c>
      <c r="G509" s="976" t="s">
        <v>1997</v>
      </c>
      <c r="H509" s="976" t="s">
        <v>1998</v>
      </c>
      <c r="I509" s="976" t="s">
        <v>1999</v>
      </c>
      <c r="J509" s="975" t="s">
        <v>697</v>
      </c>
      <c r="K509" s="976" t="s">
        <v>995</v>
      </c>
      <c r="L509" s="976" t="s">
        <v>996</v>
      </c>
      <c r="M509" s="976" t="s">
        <v>2000</v>
      </c>
      <c r="N509" s="976" t="s">
        <v>2001</v>
      </c>
      <c r="O509" s="975" t="s">
        <v>1971</v>
      </c>
      <c r="P509" s="976" t="s">
        <v>999</v>
      </c>
      <c r="Q509" s="976" t="s">
        <v>1000</v>
      </c>
      <c r="R509" s="976" t="s">
        <v>1001</v>
      </c>
      <c r="S509" s="976" t="s">
        <v>1002</v>
      </c>
      <c r="T509" s="423">
        <v>500</v>
      </c>
      <c r="U509" s="423" t="s">
        <v>1041</v>
      </c>
      <c r="V509" s="423">
        <v>80</v>
      </c>
      <c r="W509" s="423">
        <v>3.6</v>
      </c>
      <c r="X509" s="423">
        <v>12</v>
      </c>
      <c r="Y509" s="423" t="s">
        <v>1041</v>
      </c>
      <c r="Z509" s="423" t="s">
        <v>1057</v>
      </c>
      <c r="AD509" s="423">
        <f>IF(ISNUMBER(MATCH(B509,'FICHA SOLIC'!$AB$26:$AB$376,0)),1,0)</f>
        <v>1</v>
      </c>
      <c r="AE509" s="423" t="str">
        <f t="shared" si="7"/>
        <v>FrutillarZE-6</v>
      </c>
    </row>
    <row r="510" spans="1:31" x14ac:dyDescent="0.25">
      <c r="A510" s="423">
        <v>509</v>
      </c>
      <c r="B510" s="423" t="s">
        <v>354</v>
      </c>
      <c r="C510" s="423" t="s">
        <v>2288</v>
      </c>
      <c r="D510" s="975" t="s">
        <v>990</v>
      </c>
      <c r="E510" s="976" t="s">
        <v>991</v>
      </c>
      <c r="F510" s="976" t="s">
        <v>992</v>
      </c>
      <c r="G510" s="976" t="s">
        <v>1997</v>
      </c>
      <c r="H510" s="976" t="s">
        <v>1998</v>
      </c>
      <c r="I510" s="976" t="s">
        <v>1999</v>
      </c>
      <c r="J510" s="975" t="s">
        <v>697</v>
      </c>
      <c r="K510" s="976" t="s">
        <v>995</v>
      </c>
      <c r="L510" s="976" t="s">
        <v>996</v>
      </c>
      <c r="M510" s="976" t="s">
        <v>2000</v>
      </c>
      <c r="N510" s="976" t="s">
        <v>2001</v>
      </c>
      <c r="O510" s="975" t="s">
        <v>1971</v>
      </c>
      <c r="P510" s="976" t="s">
        <v>999</v>
      </c>
      <c r="Q510" s="976" t="s">
        <v>1000</v>
      </c>
      <c r="R510" s="976" t="s">
        <v>1001</v>
      </c>
      <c r="S510" s="976" t="s">
        <v>1002</v>
      </c>
      <c r="T510" s="423">
        <v>350</v>
      </c>
      <c r="U510" s="423" t="s">
        <v>1041</v>
      </c>
      <c r="V510" s="423">
        <v>50</v>
      </c>
      <c r="W510" s="423">
        <v>0.8</v>
      </c>
      <c r="X510" s="423">
        <v>6</v>
      </c>
      <c r="Y510" s="423" t="s">
        <v>1041</v>
      </c>
      <c r="Z510" s="423" t="s">
        <v>1057</v>
      </c>
      <c r="AD510" s="423">
        <f>IF(ISNUMBER(MATCH(B510,'FICHA SOLIC'!$AB$26:$AB$376,0)),1,0)</f>
        <v>1</v>
      </c>
      <c r="AE510" s="423" t="str">
        <f t="shared" si="7"/>
        <v>FrutillarZEx-1</v>
      </c>
    </row>
    <row r="511" spans="1:31" x14ac:dyDescent="0.25">
      <c r="A511" s="423">
        <v>510</v>
      </c>
      <c r="B511" s="423" t="s">
        <v>354</v>
      </c>
      <c r="C511" s="423" t="s">
        <v>2289</v>
      </c>
      <c r="D511" s="975" t="s">
        <v>990</v>
      </c>
      <c r="E511" s="976" t="s">
        <v>991</v>
      </c>
      <c r="F511" s="976" t="s">
        <v>992</v>
      </c>
      <c r="G511" s="976" t="s">
        <v>1997</v>
      </c>
      <c r="H511" s="976" t="s">
        <v>1998</v>
      </c>
      <c r="I511" s="976" t="s">
        <v>1999</v>
      </c>
      <c r="J511" s="975" t="s">
        <v>697</v>
      </c>
      <c r="K511" s="976" t="s">
        <v>995</v>
      </c>
      <c r="L511" s="976" t="s">
        <v>996</v>
      </c>
      <c r="M511" s="976" t="s">
        <v>2000</v>
      </c>
      <c r="N511" s="976" t="s">
        <v>2001</v>
      </c>
      <c r="O511" s="975" t="s">
        <v>1971</v>
      </c>
      <c r="P511" s="976" t="s">
        <v>999</v>
      </c>
      <c r="Q511" s="976" t="s">
        <v>1000</v>
      </c>
      <c r="R511" s="976" t="s">
        <v>1001</v>
      </c>
      <c r="S511" s="976" t="s">
        <v>1002</v>
      </c>
      <c r="T511" s="423">
        <v>400</v>
      </c>
      <c r="U511" s="423" t="s">
        <v>1041</v>
      </c>
      <c r="V511" s="423">
        <v>30</v>
      </c>
      <c r="W511" s="423">
        <v>0.5</v>
      </c>
      <c r="X511" s="423">
        <v>6</v>
      </c>
      <c r="Y511" s="423" t="s">
        <v>1041</v>
      </c>
      <c r="Z511" s="423" t="s">
        <v>1057</v>
      </c>
      <c r="AD511" s="423">
        <f>IF(ISNUMBER(MATCH(B511,'FICHA SOLIC'!$AB$26:$AB$376,0)),1,0)</f>
        <v>1</v>
      </c>
      <c r="AE511" s="423" t="str">
        <f t="shared" si="7"/>
        <v>FrutillarZEx-2</v>
      </c>
    </row>
    <row r="512" spans="1:31" x14ac:dyDescent="0.25">
      <c r="A512" s="423">
        <v>511</v>
      </c>
      <c r="B512" s="423" t="s">
        <v>354</v>
      </c>
      <c r="C512" s="423" t="s">
        <v>2290</v>
      </c>
      <c r="D512" s="975" t="s">
        <v>990</v>
      </c>
      <c r="E512" s="976" t="s">
        <v>991</v>
      </c>
      <c r="F512" s="976" t="s">
        <v>992</v>
      </c>
      <c r="G512" s="976" t="s">
        <v>1997</v>
      </c>
      <c r="H512" s="976" t="s">
        <v>1998</v>
      </c>
      <c r="I512" s="976" t="s">
        <v>1999</v>
      </c>
      <c r="J512" s="975" t="s">
        <v>697</v>
      </c>
      <c r="K512" s="976" t="s">
        <v>995</v>
      </c>
      <c r="L512" s="976" t="s">
        <v>996</v>
      </c>
      <c r="M512" s="976" t="s">
        <v>2000</v>
      </c>
      <c r="N512" s="976" t="s">
        <v>2001</v>
      </c>
      <c r="O512" s="975" t="s">
        <v>1971</v>
      </c>
      <c r="P512" s="976" t="s">
        <v>999</v>
      </c>
      <c r="Q512" s="976" t="s">
        <v>1000</v>
      </c>
      <c r="R512" s="976" t="s">
        <v>1001</v>
      </c>
      <c r="S512" s="976" t="s">
        <v>1002</v>
      </c>
      <c r="T512" s="423">
        <v>1200</v>
      </c>
      <c r="U512" s="423" t="s">
        <v>1041</v>
      </c>
      <c r="V512" s="423">
        <v>25</v>
      </c>
      <c r="W512" s="423">
        <v>0.4</v>
      </c>
      <c r="X512" s="423">
        <v>6</v>
      </c>
      <c r="Y512" s="423" t="s">
        <v>1041</v>
      </c>
      <c r="Z512" s="423" t="s">
        <v>1057</v>
      </c>
      <c r="AD512" s="423">
        <f>IF(ISNUMBER(MATCH(B512,'FICHA SOLIC'!$AB$26:$AB$376,0)),1,0)</f>
        <v>1</v>
      </c>
      <c r="AE512" s="423" t="str">
        <f t="shared" si="7"/>
        <v>FrutillarZEx-3</v>
      </c>
    </row>
    <row r="513" spans="1:31" x14ac:dyDescent="0.25">
      <c r="A513" s="423">
        <v>512</v>
      </c>
      <c r="B513" s="423" t="s">
        <v>354</v>
      </c>
      <c r="C513" s="423" t="s">
        <v>2291</v>
      </c>
      <c r="D513" s="975" t="s">
        <v>990</v>
      </c>
      <c r="E513" s="976" t="s">
        <v>991</v>
      </c>
      <c r="F513" s="976" t="s">
        <v>992</v>
      </c>
      <c r="G513" s="976" t="s">
        <v>1997</v>
      </c>
      <c r="H513" s="976" t="s">
        <v>1998</v>
      </c>
      <c r="I513" s="976" t="s">
        <v>1999</v>
      </c>
      <c r="J513" s="975" t="s">
        <v>697</v>
      </c>
      <c r="K513" s="976" t="s">
        <v>995</v>
      </c>
      <c r="L513" s="976" t="s">
        <v>996</v>
      </c>
      <c r="M513" s="976" t="s">
        <v>2000</v>
      </c>
      <c r="N513" s="976" t="s">
        <v>2001</v>
      </c>
      <c r="O513" s="975" t="s">
        <v>1971</v>
      </c>
      <c r="P513" s="976" t="s">
        <v>999</v>
      </c>
      <c r="Q513" s="976" t="s">
        <v>1000</v>
      </c>
      <c r="R513" s="976" t="s">
        <v>1001</v>
      </c>
      <c r="S513" s="976" t="s">
        <v>1002</v>
      </c>
      <c r="T513" s="423">
        <v>1000</v>
      </c>
      <c r="U513" s="423" t="s">
        <v>1041</v>
      </c>
      <c r="V513" s="423">
        <v>80</v>
      </c>
      <c r="W513" s="423">
        <v>2</v>
      </c>
      <c r="X513" s="423" t="s">
        <v>1041</v>
      </c>
      <c r="Y513" s="423" t="s">
        <v>1041</v>
      </c>
      <c r="Z513" s="423" t="s">
        <v>1058</v>
      </c>
      <c r="AD513" s="423">
        <f>IF(ISNUMBER(MATCH(B513,'FICHA SOLIC'!$AB$26:$AB$376,0)),1,0)</f>
        <v>1</v>
      </c>
      <c r="AE513" s="423" t="str">
        <f t="shared" si="7"/>
        <v>FrutillarZ-I</v>
      </c>
    </row>
    <row r="514" spans="1:31" x14ac:dyDescent="0.25">
      <c r="A514" s="423">
        <v>513</v>
      </c>
      <c r="B514" s="423" t="s">
        <v>354</v>
      </c>
      <c r="C514" s="423" t="s">
        <v>2292</v>
      </c>
      <c r="D514" s="975" t="s">
        <v>990</v>
      </c>
      <c r="E514" s="976" t="s">
        <v>991</v>
      </c>
      <c r="F514" s="976" t="s">
        <v>992</v>
      </c>
      <c r="G514" s="976" t="s">
        <v>1997</v>
      </c>
      <c r="H514" s="976" t="s">
        <v>1998</v>
      </c>
      <c r="I514" s="976" t="s">
        <v>1999</v>
      </c>
      <c r="J514" s="975" t="s">
        <v>697</v>
      </c>
      <c r="K514" s="976" t="s">
        <v>995</v>
      </c>
      <c r="L514" s="976" t="s">
        <v>996</v>
      </c>
      <c r="M514" s="976" t="s">
        <v>2000</v>
      </c>
      <c r="N514" s="976" t="s">
        <v>2001</v>
      </c>
      <c r="O514" s="975" t="s">
        <v>1971</v>
      </c>
      <c r="P514" s="976" t="s">
        <v>999</v>
      </c>
      <c r="Q514" s="976" t="s">
        <v>1000</v>
      </c>
      <c r="R514" s="976" t="s">
        <v>1001</v>
      </c>
      <c r="S514" s="976" t="s">
        <v>1002</v>
      </c>
      <c r="T514" s="423">
        <v>500</v>
      </c>
      <c r="U514" s="423" t="s">
        <v>1041</v>
      </c>
      <c r="V514" s="423">
        <v>40</v>
      </c>
      <c r="W514" s="423">
        <v>1</v>
      </c>
      <c r="X514" s="423">
        <v>9</v>
      </c>
      <c r="Y514" s="423" t="s">
        <v>1041</v>
      </c>
      <c r="Z514" s="423" t="s">
        <v>1057</v>
      </c>
      <c r="AD514" s="423">
        <f>IF(ISNUMBER(MATCH(B514,'FICHA SOLIC'!$AB$26:$AB$376,0)),1,0)</f>
        <v>1</v>
      </c>
      <c r="AE514" s="423" t="str">
        <f t="shared" si="7"/>
        <v>FrutillarZTH-1</v>
      </c>
    </row>
    <row r="515" spans="1:31" x14ac:dyDescent="0.25">
      <c r="A515" s="423">
        <v>514</v>
      </c>
      <c r="B515" s="423" t="s">
        <v>354</v>
      </c>
      <c r="C515" s="423" t="s">
        <v>2293</v>
      </c>
      <c r="D515" s="975" t="s">
        <v>990</v>
      </c>
      <c r="E515" s="976" t="s">
        <v>991</v>
      </c>
      <c r="F515" s="976" t="s">
        <v>992</v>
      </c>
      <c r="G515" s="976" t="s">
        <v>1997</v>
      </c>
      <c r="H515" s="976" t="s">
        <v>1998</v>
      </c>
      <c r="I515" s="976" t="s">
        <v>1999</v>
      </c>
      <c r="J515" s="975" t="s">
        <v>697</v>
      </c>
      <c r="K515" s="976" t="s">
        <v>995</v>
      </c>
      <c r="L515" s="976" t="s">
        <v>996</v>
      </c>
      <c r="M515" s="976" t="s">
        <v>2000</v>
      </c>
      <c r="N515" s="976" t="s">
        <v>2001</v>
      </c>
      <c r="O515" s="975" t="s">
        <v>1971</v>
      </c>
      <c r="P515" s="976" t="s">
        <v>999</v>
      </c>
      <c r="Q515" s="976" t="s">
        <v>1000</v>
      </c>
      <c r="R515" s="976" t="s">
        <v>1001</v>
      </c>
      <c r="S515" s="976" t="s">
        <v>1002</v>
      </c>
      <c r="T515" s="423">
        <v>300</v>
      </c>
      <c r="U515" s="423" t="s">
        <v>1041</v>
      </c>
      <c r="V515" s="423">
        <v>50</v>
      </c>
      <c r="W515" s="423">
        <v>1.2</v>
      </c>
      <c r="X515" s="423">
        <v>12</v>
      </c>
      <c r="Y515" s="423" t="s">
        <v>1041</v>
      </c>
      <c r="Z515" s="423" t="s">
        <v>1057</v>
      </c>
      <c r="AD515" s="423">
        <f>IF(ISNUMBER(MATCH(B515,'FICHA SOLIC'!$AB$26:$AB$376,0)),1,0)</f>
        <v>1</v>
      </c>
      <c r="AE515" s="423" t="str">
        <f t="shared" ref="AE515:AE578" si="8">B515&amp;C515</f>
        <v>FrutillarZTH-2</v>
      </c>
    </row>
    <row r="516" spans="1:31" x14ac:dyDescent="0.25">
      <c r="A516" s="423">
        <v>515</v>
      </c>
      <c r="B516" s="423" t="s">
        <v>354</v>
      </c>
      <c r="C516" s="423" t="s">
        <v>1241</v>
      </c>
      <c r="D516" s="975" t="s">
        <v>990</v>
      </c>
      <c r="E516" s="976" t="s">
        <v>991</v>
      </c>
      <c r="F516" s="976" t="s">
        <v>992</v>
      </c>
      <c r="G516" s="976" t="s">
        <v>1997</v>
      </c>
      <c r="H516" s="976" t="s">
        <v>1998</v>
      </c>
      <c r="I516" s="976" t="s">
        <v>1999</v>
      </c>
      <c r="J516" s="975" t="s">
        <v>697</v>
      </c>
      <c r="K516" s="976" t="s">
        <v>995</v>
      </c>
      <c r="L516" s="976" t="s">
        <v>996</v>
      </c>
      <c r="M516" s="976" t="s">
        <v>2000</v>
      </c>
      <c r="N516" s="976" t="s">
        <v>2001</v>
      </c>
      <c r="O516" s="975" t="s">
        <v>1971</v>
      </c>
      <c r="P516" s="976" t="s">
        <v>999</v>
      </c>
      <c r="Q516" s="976" t="s">
        <v>1000</v>
      </c>
      <c r="R516" s="976" t="s">
        <v>1001</v>
      </c>
      <c r="S516" s="976" t="s">
        <v>1002</v>
      </c>
      <c r="T516" s="423">
        <v>300</v>
      </c>
      <c r="U516" s="423" t="s">
        <v>1041</v>
      </c>
      <c r="V516" s="423">
        <v>75</v>
      </c>
      <c r="W516" s="423">
        <v>3</v>
      </c>
      <c r="X516" s="423">
        <v>12</v>
      </c>
      <c r="Y516" s="423" t="s">
        <v>1041</v>
      </c>
      <c r="Z516" s="423" t="s">
        <v>1059</v>
      </c>
      <c r="AD516" s="423">
        <f>IF(ISNUMBER(MATCH(B516,'FICHA SOLIC'!$AB$26:$AB$376,0)),1,0)</f>
        <v>1</v>
      </c>
      <c r="AE516" s="423" t="str">
        <f t="shared" si="8"/>
        <v>FrutillarZU-1</v>
      </c>
    </row>
    <row r="517" spans="1:31" x14ac:dyDescent="0.25">
      <c r="A517" s="423">
        <v>516</v>
      </c>
      <c r="B517" s="423" t="s">
        <v>354</v>
      </c>
      <c r="C517" s="423" t="s">
        <v>1242</v>
      </c>
      <c r="D517" s="975" t="s">
        <v>990</v>
      </c>
      <c r="E517" s="976" t="s">
        <v>991</v>
      </c>
      <c r="F517" s="976" t="s">
        <v>992</v>
      </c>
      <c r="G517" s="976" t="s">
        <v>1997</v>
      </c>
      <c r="H517" s="976" t="s">
        <v>1998</v>
      </c>
      <c r="I517" s="976" t="s">
        <v>1999</v>
      </c>
      <c r="J517" s="975" t="s">
        <v>697</v>
      </c>
      <c r="K517" s="976" t="s">
        <v>995</v>
      </c>
      <c r="L517" s="976" t="s">
        <v>996</v>
      </c>
      <c r="M517" s="976" t="s">
        <v>2000</v>
      </c>
      <c r="N517" s="976" t="s">
        <v>2001</v>
      </c>
      <c r="O517" s="975" t="s">
        <v>1971</v>
      </c>
      <c r="P517" s="976" t="s">
        <v>999</v>
      </c>
      <c r="Q517" s="976" t="s">
        <v>1000</v>
      </c>
      <c r="R517" s="976" t="s">
        <v>1001</v>
      </c>
      <c r="S517" s="976" t="s">
        <v>1002</v>
      </c>
      <c r="T517" s="423">
        <v>250</v>
      </c>
      <c r="U517" s="423" t="s">
        <v>1041</v>
      </c>
      <c r="V517" s="423">
        <v>60</v>
      </c>
      <c r="W517" s="423">
        <v>1.8</v>
      </c>
      <c r="X517" s="423">
        <v>9</v>
      </c>
      <c r="Y517" s="423" t="s">
        <v>1041</v>
      </c>
      <c r="Z517" s="423" t="s">
        <v>1059</v>
      </c>
      <c r="AD517" s="423">
        <f>IF(ISNUMBER(MATCH(B517,'FICHA SOLIC'!$AB$26:$AB$376,0)),1,0)</f>
        <v>1</v>
      </c>
      <c r="AE517" s="423" t="str">
        <f t="shared" si="8"/>
        <v>FrutillarZU-2</v>
      </c>
    </row>
    <row r="518" spans="1:31" x14ac:dyDescent="0.25">
      <c r="A518" s="423">
        <v>517</v>
      </c>
      <c r="B518" s="423" t="s">
        <v>354</v>
      </c>
      <c r="C518" s="423" t="s">
        <v>1243</v>
      </c>
      <c r="D518" s="975" t="s">
        <v>990</v>
      </c>
      <c r="E518" s="976" t="s">
        <v>991</v>
      </c>
      <c r="F518" s="976" t="s">
        <v>992</v>
      </c>
      <c r="G518" s="976" t="s">
        <v>1997</v>
      </c>
      <c r="H518" s="976" t="s">
        <v>1998</v>
      </c>
      <c r="I518" s="976" t="s">
        <v>1999</v>
      </c>
      <c r="J518" s="975" t="s">
        <v>697</v>
      </c>
      <c r="K518" s="976" t="s">
        <v>995</v>
      </c>
      <c r="L518" s="976" t="s">
        <v>996</v>
      </c>
      <c r="M518" s="976" t="s">
        <v>2000</v>
      </c>
      <c r="N518" s="976" t="s">
        <v>2001</v>
      </c>
      <c r="O518" s="975" t="s">
        <v>1971</v>
      </c>
      <c r="P518" s="976" t="s">
        <v>999</v>
      </c>
      <c r="Q518" s="976" t="s">
        <v>1000</v>
      </c>
      <c r="R518" s="976" t="s">
        <v>1001</v>
      </c>
      <c r="S518" s="976" t="s">
        <v>1002</v>
      </c>
      <c r="T518" s="423">
        <v>150</v>
      </c>
      <c r="U518" s="423" t="s">
        <v>1041</v>
      </c>
      <c r="V518" s="423">
        <v>60</v>
      </c>
      <c r="W518" s="423">
        <v>1.4</v>
      </c>
      <c r="X518" s="423">
        <v>6</v>
      </c>
      <c r="Y518" s="423" t="s">
        <v>1041</v>
      </c>
      <c r="Z518" s="423" t="s">
        <v>1057</v>
      </c>
      <c r="AD518" s="423">
        <f>IF(ISNUMBER(MATCH(B518,'FICHA SOLIC'!$AB$26:$AB$376,0)),1,0)</f>
        <v>1</v>
      </c>
      <c r="AE518" s="423" t="str">
        <f t="shared" si="8"/>
        <v>FrutillarZU-3</v>
      </c>
    </row>
    <row r="519" spans="1:31" x14ac:dyDescent="0.25">
      <c r="A519" s="423">
        <v>518</v>
      </c>
      <c r="B519" s="423" t="s">
        <v>354</v>
      </c>
      <c r="C519" s="423" t="s">
        <v>2294</v>
      </c>
      <c r="D519" s="975" t="s">
        <v>990</v>
      </c>
      <c r="E519" s="976" t="s">
        <v>991</v>
      </c>
      <c r="F519" s="976" t="s">
        <v>992</v>
      </c>
      <c r="G519" s="976" t="s">
        <v>1997</v>
      </c>
      <c r="H519" s="976" t="s">
        <v>1998</v>
      </c>
      <c r="I519" s="976" t="s">
        <v>1999</v>
      </c>
      <c r="J519" s="975" t="s">
        <v>697</v>
      </c>
      <c r="K519" s="976" t="s">
        <v>995</v>
      </c>
      <c r="L519" s="976" t="s">
        <v>996</v>
      </c>
      <c r="M519" s="976" t="s">
        <v>2000</v>
      </c>
      <c r="N519" s="976" t="s">
        <v>2001</v>
      </c>
      <c r="O519" s="975" t="s">
        <v>1971</v>
      </c>
      <c r="P519" s="976" t="s">
        <v>999</v>
      </c>
      <c r="Q519" s="976" t="s">
        <v>1000</v>
      </c>
      <c r="R519" s="976" t="s">
        <v>1001</v>
      </c>
      <c r="S519" s="976" t="s">
        <v>1002</v>
      </c>
      <c r="T519" s="423">
        <v>1200</v>
      </c>
      <c r="U519" s="423" t="s">
        <v>1041</v>
      </c>
      <c r="V519" s="423">
        <v>25</v>
      </c>
      <c r="W519" s="423">
        <v>0.4</v>
      </c>
      <c r="X519" s="423">
        <v>6</v>
      </c>
      <c r="Y519" s="423" t="s">
        <v>1041</v>
      </c>
      <c r="Z519" s="423" t="s">
        <v>1058</v>
      </c>
      <c r="AD519" s="423">
        <f>IF(ISNUMBER(MATCH(B519,'FICHA SOLIC'!$AB$26:$AB$376,0)),1,0)</f>
        <v>1</v>
      </c>
      <c r="AE519" s="423" t="str">
        <f t="shared" si="8"/>
        <v>FrutillarZU-R5</v>
      </c>
    </row>
    <row r="520" spans="1:31" x14ac:dyDescent="0.25">
      <c r="A520" s="423">
        <v>519</v>
      </c>
      <c r="B520" s="423" t="s">
        <v>354</v>
      </c>
      <c r="C520" s="423" t="s">
        <v>2295</v>
      </c>
      <c r="D520" s="975" t="s">
        <v>990</v>
      </c>
      <c r="E520" s="976" t="s">
        <v>991</v>
      </c>
      <c r="F520" s="976" t="s">
        <v>992</v>
      </c>
      <c r="G520" s="976" t="s">
        <v>1997</v>
      </c>
      <c r="H520" s="976" t="s">
        <v>1998</v>
      </c>
      <c r="I520" s="976" t="s">
        <v>1999</v>
      </c>
      <c r="J520" s="975" t="s">
        <v>697</v>
      </c>
      <c r="K520" s="976" t="s">
        <v>995</v>
      </c>
      <c r="L520" s="976" t="s">
        <v>996</v>
      </c>
      <c r="M520" s="976" t="s">
        <v>2000</v>
      </c>
      <c r="N520" s="976" t="s">
        <v>2001</v>
      </c>
      <c r="O520" s="975" t="s">
        <v>1971</v>
      </c>
      <c r="P520" s="976" t="s">
        <v>999</v>
      </c>
      <c r="Q520" s="976" t="s">
        <v>1000</v>
      </c>
      <c r="R520" s="976" t="s">
        <v>1001</v>
      </c>
      <c r="S520" s="976" t="s">
        <v>1002</v>
      </c>
      <c r="T520" s="423">
        <v>1200</v>
      </c>
      <c r="U520" s="423" t="s">
        <v>1041</v>
      </c>
      <c r="V520" s="423">
        <v>25</v>
      </c>
      <c r="W520" s="423">
        <v>0.4</v>
      </c>
      <c r="X520" s="423">
        <v>6</v>
      </c>
      <c r="Y520" s="423" t="s">
        <v>1041</v>
      </c>
      <c r="Z520" s="423" t="s">
        <v>1058</v>
      </c>
      <c r="AD520" s="423">
        <f>IF(ISNUMBER(MATCH(B520,'FICHA SOLIC'!$AB$26:$AB$376,0)),1,0)</f>
        <v>1</v>
      </c>
      <c r="AE520" s="423" t="str">
        <f t="shared" si="8"/>
        <v>FrutillarZU-R6</v>
      </c>
    </row>
    <row r="521" spans="1:31" x14ac:dyDescent="0.25">
      <c r="A521" s="423">
        <v>520</v>
      </c>
      <c r="B521" s="423" t="s">
        <v>339</v>
      </c>
      <c r="C521" s="423" t="s">
        <v>1041</v>
      </c>
      <c r="D521" s="975" t="s">
        <v>990</v>
      </c>
      <c r="E521" s="976" t="s">
        <v>991</v>
      </c>
      <c r="F521" s="976" t="s">
        <v>992</v>
      </c>
      <c r="G521" s="976" t="s">
        <v>1997</v>
      </c>
      <c r="H521" s="976" t="s">
        <v>1998</v>
      </c>
      <c r="I521" s="976" t="s">
        <v>1999</v>
      </c>
      <c r="J521" s="975" t="s">
        <v>697</v>
      </c>
      <c r="K521" s="976" t="s">
        <v>995</v>
      </c>
      <c r="L521" s="976" t="s">
        <v>996</v>
      </c>
      <c r="M521" s="976" t="s">
        <v>2000</v>
      </c>
      <c r="N521" s="976" t="s">
        <v>2001</v>
      </c>
      <c r="O521" s="975" t="s">
        <v>1971</v>
      </c>
      <c r="P521" s="976" t="s">
        <v>999</v>
      </c>
      <c r="Q521" s="976" t="s">
        <v>1000</v>
      </c>
      <c r="R521" s="976" t="s">
        <v>1001</v>
      </c>
      <c r="S521" s="976" t="s">
        <v>1002</v>
      </c>
      <c r="T521" s="423" t="s">
        <v>1041</v>
      </c>
      <c r="U521" s="423" t="s">
        <v>1041</v>
      </c>
      <c r="V521" s="423" t="s">
        <v>1041</v>
      </c>
      <c r="W521" s="423" t="s">
        <v>1041</v>
      </c>
      <c r="X521" s="423" t="s">
        <v>1041</v>
      </c>
      <c r="Y521" s="423" t="s">
        <v>1041</v>
      </c>
      <c r="Z521" s="423" t="s">
        <v>1041</v>
      </c>
      <c r="AD521" s="423">
        <f>IF(ISNUMBER(MATCH(B521,'FICHA SOLIC'!$AB$26:$AB$376,0)),1,0)</f>
        <v>1</v>
      </c>
      <c r="AE521" s="423" t="str">
        <f t="shared" si="8"/>
        <v>FutronoOGUC</v>
      </c>
    </row>
    <row r="522" spans="1:31" x14ac:dyDescent="0.25">
      <c r="A522" s="423">
        <v>521</v>
      </c>
      <c r="B522" s="423" t="s">
        <v>189</v>
      </c>
      <c r="C522" s="423" t="s">
        <v>1041</v>
      </c>
      <c r="D522" s="975" t="s">
        <v>990</v>
      </c>
      <c r="E522" s="976" t="s">
        <v>991</v>
      </c>
      <c r="F522" s="976" t="s">
        <v>992</v>
      </c>
      <c r="G522" s="976" t="s">
        <v>1997</v>
      </c>
      <c r="H522" s="976" t="s">
        <v>1998</v>
      </c>
      <c r="I522" s="976" t="s">
        <v>1999</v>
      </c>
      <c r="J522" s="975" t="s">
        <v>697</v>
      </c>
      <c r="K522" s="976" t="s">
        <v>995</v>
      </c>
      <c r="L522" s="976" t="s">
        <v>996</v>
      </c>
      <c r="M522" s="976" t="s">
        <v>2000</v>
      </c>
      <c r="N522" s="976" t="s">
        <v>2001</v>
      </c>
      <c r="O522" s="975" t="s">
        <v>1971</v>
      </c>
      <c r="P522" s="976" t="s">
        <v>999</v>
      </c>
      <c r="Q522" s="976" t="s">
        <v>1000</v>
      </c>
      <c r="R522" s="976" t="s">
        <v>1001</v>
      </c>
      <c r="S522" s="976" t="s">
        <v>1002</v>
      </c>
      <c r="T522" s="423" t="s">
        <v>1041</v>
      </c>
      <c r="U522" s="423" t="s">
        <v>1041</v>
      </c>
      <c r="V522" s="423" t="s">
        <v>1041</v>
      </c>
      <c r="W522" s="423" t="s">
        <v>1041</v>
      </c>
      <c r="X522" s="423" t="s">
        <v>1041</v>
      </c>
      <c r="Y522" s="423" t="s">
        <v>1041</v>
      </c>
      <c r="Z522" s="423" t="s">
        <v>1041</v>
      </c>
      <c r="AD522" s="423">
        <f>IF(ISNUMBER(MATCH(B522,'FICHA SOLIC'!$AB$26:$AB$376,0)),1,0)</f>
        <v>1</v>
      </c>
      <c r="AE522" s="423" t="str">
        <f t="shared" si="8"/>
        <v>GranerosOGUC</v>
      </c>
    </row>
    <row r="523" spans="1:31" x14ac:dyDescent="0.25">
      <c r="A523" s="423">
        <v>522</v>
      </c>
      <c r="B523" s="423" t="s">
        <v>166</v>
      </c>
      <c r="C523" s="423" t="s">
        <v>1041</v>
      </c>
      <c r="D523" s="975" t="s">
        <v>990</v>
      </c>
      <c r="E523" s="976" t="s">
        <v>991</v>
      </c>
      <c r="F523" s="976" t="s">
        <v>992</v>
      </c>
      <c r="G523" s="976" t="s">
        <v>1997</v>
      </c>
      <c r="H523" s="976" t="s">
        <v>1998</v>
      </c>
      <c r="I523" s="976" t="s">
        <v>1999</v>
      </c>
      <c r="J523" s="975" t="s">
        <v>697</v>
      </c>
      <c r="K523" s="976" t="s">
        <v>995</v>
      </c>
      <c r="L523" s="976" t="s">
        <v>996</v>
      </c>
      <c r="M523" s="976" t="s">
        <v>2000</v>
      </c>
      <c r="N523" s="976" t="s">
        <v>2001</v>
      </c>
      <c r="O523" s="975" t="s">
        <v>1971</v>
      </c>
      <c r="P523" s="976" t="s">
        <v>999</v>
      </c>
      <c r="Q523" s="976" t="s">
        <v>1000</v>
      </c>
      <c r="R523" s="976" t="s">
        <v>1001</v>
      </c>
      <c r="S523" s="976" t="s">
        <v>1002</v>
      </c>
      <c r="T523" s="423" t="s">
        <v>1041</v>
      </c>
      <c r="U523" s="423" t="s">
        <v>1041</v>
      </c>
      <c r="V523" s="423" t="s">
        <v>1041</v>
      </c>
      <c r="W523" s="423" t="s">
        <v>1041</v>
      </c>
      <c r="X523" s="423" t="s">
        <v>1041</v>
      </c>
      <c r="Y523" s="423" t="s">
        <v>1041</v>
      </c>
      <c r="Z523" s="423" t="s">
        <v>1041</v>
      </c>
      <c r="AD523" s="423">
        <f>IF(ISNUMBER(MATCH(B523,'FICHA SOLIC'!$AB$26:$AB$376,0)),1,0)</f>
        <v>1</v>
      </c>
      <c r="AE523" s="423" t="str">
        <f t="shared" si="8"/>
        <v>HijuelasOGUC</v>
      </c>
    </row>
    <row r="524" spans="1:31" x14ac:dyDescent="0.25">
      <c r="A524" s="423">
        <v>523</v>
      </c>
      <c r="B524" s="423" t="s">
        <v>2571</v>
      </c>
      <c r="C524" s="423" t="s">
        <v>2014</v>
      </c>
      <c r="D524" s="975" t="s">
        <v>990</v>
      </c>
      <c r="E524" s="976" t="s">
        <v>991</v>
      </c>
      <c r="F524" s="976" t="s">
        <v>992</v>
      </c>
      <c r="G524" s="976" t="s">
        <v>1997</v>
      </c>
      <c r="H524" s="976" t="s">
        <v>1998</v>
      </c>
      <c r="I524" s="976" t="s">
        <v>1999</v>
      </c>
      <c r="J524" s="975" t="s">
        <v>697</v>
      </c>
      <c r="K524" s="976" t="s">
        <v>995</v>
      </c>
      <c r="L524" s="976" t="s">
        <v>996</v>
      </c>
      <c r="M524" s="976" t="s">
        <v>2000</v>
      </c>
      <c r="N524" s="976" t="s">
        <v>2001</v>
      </c>
      <c r="O524" s="975" t="s">
        <v>1971</v>
      </c>
      <c r="P524" s="976" t="s">
        <v>999</v>
      </c>
      <c r="Q524" s="976" t="s">
        <v>1000</v>
      </c>
      <c r="R524" s="976" t="s">
        <v>1001</v>
      </c>
      <c r="S524" s="976" t="s">
        <v>1002</v>
      </c>
      <c r="T524" s="423">
        <v>350</v>
      </c>
      <c r="U524" s="423" t="s">
        <v>1041</v>
      </c>
      <c r="V524" s="423">
        <v>100</v>
      </c>
      <c r="W524" s="423">
        <v>2</v>
      </c>
      <c r="X524" s="423">
        <v>7</v>
      </c>
      <c r="Y524" s="423" t="s">
        <v>1041</v>
      </c>
      <c r="Z524" s="423" t="s">
        <v>2068</v>
      </c>
      <c r="AD524" s="423">
        <f>IF(ISNUMBER(MATCH(B524,'FICHA SOLIC'!$AB$26:$AB$376,0)),1,0)</f>
        <v>0</v>
      </c>
      <c r="AE524" s="423" t="str">
        <f t="shared" si="8"/>
        <v>HorcónZ1</v>
      </c>
    </row>
    <row r="525" spans="1:31" x14ac:dyDescent="0.25">
      <c r="A525" s="423">
        <v>524</v>
      </c>
      <c r="B525" s="423" t="s">
        <v>2296</v>
      </c>
      <c r="C525" s="423" t="s">
        <v>2015</v>
      </c>
      <c r="D525" s="975" t="s">
        <v>990</v>
      </c>
      <c r="E525" s="976" t="s">
        <v>991</v>
      </c>
      <c r="F525" s="976" t="s">
        <v>992</v>
      </c>
      <c r="G525" s="976" t="s">
        <v>1997</v>
      </c>
      <c r="H525" s="976" t="s">
        <v>1998</v>
      </c>
      <c r="I525" s="976" t="s">
        <v>1999</v>
      </c>
      <c r="J525" s="975" t="s">
        <v>697</v>
      </c>
      <c r="K525" s="976" t="s">
        <v>995</v>
      </c>
      <c r="L525" s="976" t="s">
        <v>996</v>
      </c>
      <c r="M525" s="976" t="s">
        <v>2000</v>
      </c>
      <c r="N525" s="976" t="s">
        <v>2001</v>
      </c>
      <c r="O525" s="975" t="s">
        <v>1971</v>
      </c>
      <c r="P525" s="976" t="s">
        <v>999</v>
      </c>
      <c r="Q525" s="976" t="s">
        <v>1000</v>
      </c>
      <c r="R525" s="976" t="s">
        <v>1001</v>
      </c>
      <c r="S525" s="976" t="s">
        <v>1002</v>
      </c>
      <c r="T525" s="423">
        <v>600</v>
      </c>
      <c r="U525" s="423" t="s">
        <v>1041</v>
      </c>
      <c r="V525" s="423">
        <v>30</v>
      </c>
      <c r="W525" s="423">
        <v>0.6</v>
      </c>
      <c r="X525" s="423">
        <v>35</v>
      </c>
      <c r="Y525" s="423" t="s">
        <v>1041</v>
      </c>
      <c r="Z525" s="423" t="s">
        <v>1057</v>
      </c>
      <c r="AD525" s="423">
        <f>IF(ISNUMBER(MATCH(B525,'FICHA SOLIC'!$AB$26:$AB$376,0)),1,0)</f>
        <v>0</v>
      </c>
      <c r="AE525" s="423" t="str">
        <f t="shared" si="8"/>
        <v>HorconZ10</v>
      </c>
    </row>
    <row r="526" spans="1:31" x14ac:dyDescent="0.25">
      <c r="A526" s="423">
        <v>525</v>
      </c>
      <c r="B526" s="423" t="s">
        <v>2296</v>
      </c>
      <c r="C526" s="423" t="s">
        <v>2016</v>
      </c>
      <c r="D526" s="975" t="s">
        <v>990</v>
      </c>
      <c r="E526" s="976" t="s">
        <v>991</v>
      </c>
      <c r="F526" s="976" t="s">
        <v>992</v>
      </c>
      <c r="G526" s="976" t="s">
        <v>1997</v>
      </c>
      <c r="H526" s="976" t="s">
        <v>1998</v>
      </c>
      <c r="I526" s="976" t="s">
        <v>1999</v>
      </c>
      <c r="J526" s="975" t="s">
        <v>697</v>
      </c>
      <c r="K526" s="976" t="s">
        <v>995</v>
      </c>
      <c r="L526" s="976" t="s">
        <v>996</v>
      </c>
      <c r="M526" s="976" t="s">
        <v>2000</v>
      </c>
      <c r="N526" s="976" t="s">
        <v>2001</v>
      </c>
      <c r="O526" s="975" t="s">
        <v>1971</v>
      </c>
      <c r="P526" s="976" t="s">
        <v>999</v>
      </c>
      <c r="Q526" s="976" t="s">
        <v>1000</v>
      </c>
      <c r="R526" s="976" t="s">
        <v>1001</v>
      </c>
      <c r="S526" s="976" t="s">
        <v>1002</v>
      </c>
      <c r="T526" s="423">
        <v>1000</v>
      </c>
      <c r="U526" s="423" t="s">
        <v>1041</v>
      </c>
      <c r="V526" s="423">
        <v>25</v>
      </c>
      <c r="W526" s="423">
        <v>0.4</v>
      </c>
      <c r="X526" s="423">
        <v>35</v>
      </c>
      <c r="Y526" s="423" t="s">
        <v>1041</v>
      </c>
      <c r="Z526" s="423" t="s">
        <v>1057</v>
      </c>
      <c r="AD526" s="423">
        <f>IF(ISNUMBER(MATCH(B526,'FICHA SOLIC'!$AB$26:$AB$376,0)),1,0)</f>
        <v>0</v>
      </c>
      <c r="AE526" s="423" t="str">
        <f t="shared" si="8"/>
        <v>HorconZ11</v>
      </c>
    </row>
    <row r="527" spans="1:31" x14ac:dyDescent="0.25">
      <c r="A527" s="423">
        <v>526</v>
      </c>
      <c r="B527" s="423" t="s">
        <v>2296</v>
      </c>
      <c r="C527" s="423" t="s">
        <v>1458</v>
      </c>
      <c r="D527" s="975" t="s">
        <v>990</v>
      </c>
      <c r="E527" s="976" t="s">
        <v>991</v>
      </c>
      <c r="F527" s="976" t="s">
        <v>992</v>
      </c>
      <c r="G527" s="976" t="s">
        <v>1997</v>
      </c>
      <c r="H527" s="976" t="s">
        <v>1998</v>
      </c>
      <c r="I527" s="976" t="s">
        <v>1999</v>
      </c>
      <c r="J527" s="975" t="s">
        <v>697</v>
      </c>
      <c r="K527" s="976" t="s">
        <v>995</v>
      </c>
      <c r="L527" s="976" t="s">
        <v>996</v>
      </c>
      <c r="M527" s="976" t="s">
        <v>2000</v>
      </c>
      <c r="N527" s="976" t="s">
        <v>2001</v>
      </c>
      <c r="O527" s="975" t="s">
        <v>1971</v>
      </c>
      <c r="P527" s="976" t="s">
        <v>999</v>
      </c>
      <c r="Q527" s="976" t="s">
        <v>1000</v>
      </c>
      <c r="R527" s="976" t="s">
        <v>1001</v>
      </c>
      <c r="S527" s="976" t="s">
        <v>1002</v>
      </c>
      <c r="T527" s="423">
        <v>350</v>
      </c>
      <c r="U527" s="423" t="s">
        <v>1041</v>
      </c>
      <c r="V527" s="423">
        <v>30</v>
      </c>
      <c r="W527" s="423">
        <v>1.5</v>
      </c>
      <c r="X527" s="423">
        <v>21</v>
      </c>
      <c r="Y527" s="423" t="s">
        <v>1041</v>
      </c>
      <c r="Z527" s="423" t="s">
        <v>1057</v>
      </c>
      <c r="AD527" s="423">
        <f>IF(ISNUMBER(MATCH(B527,'FICHA SOLIC'!$AB$26:$AB$376,0)),1,0)</f>
        <v>0</v>
      </c>
      <c r="AE527" s="423" t="str">
        <f t="shared" si="8"/>
        <v>HorconZ2</v>
      </c>
    </row>
    <row r="528" spans="1:31" x14ac:dyDescent="0.25">
      <c r="A528" s="423">
        <v>527</v>
      </c>
      <c r="B528" s="423" t="s">
        <v>2296</v>
      </c>
      <c r="C528" s="423" t="s">
        <v>2022</v>
      </c>
      <c r="D528" s="975" t="s">
        <v>990</v>
      </c>
      <c r="E528" s="976" t="s">
        <v>991</v>
      </c>
      <c r="F528" s="976" t="s">
        <v>992</v>
      </c>
      <c r="G528" s="976" t="s">
        <v>1997</v>
      </c>
      <c r="H528" s="976" t="s">
        <v>1998</v>
      </c>
      <c r="I528" s="976" t="s">
        <v>1999</v>
      </c>
      <c r="J528" s="975" t="s">
        <v>697</v>
      </c>
      <c r="K528" s="976" t="s">
        <v>995</v>
      </c>
      <c r="L528" s="976" t="s">
        <v>996</v>
      </c>
      <c r="M528" s="976" t="s">
        <v>2000</v>
      </c>
      <c r="N528" s="976" t="s">
        <v>2001</v>
      </c>
      <c r="O528" s="975" t="s">
        <v>1971</v>
      </c>
      <c r="P528" s="976" t="s">
        <v>999</v>
      </c>
      <c r="Q528" s="976" t="s">
        <v>1000</v>
      </c>
      <c r="R528" s="976" t="s">
        <v>1001</v>
      </c>
      <c r="S528" s="976" t="s">
        <v>1002</v>
      </c>
      <c r="T528" s="423">
        <v>160</v>
      </c>
      <c r="U528" s="423" t="s">
        <v>1041</v>
      </c>
      <c r="V528" s="423">
        <v>40</v>
      </c>
      <c r="W528" s="423">
        <v>0.8</v>
      </c>
      <c r="X528" s="423">
        <v>10</v>
      </c>
      <c r="Y528" s="423" t="s">
        <v>1041</v>
      </c>
      <c r="Z528" s="423" t="s">
        <v>1059</v>
      </c>
      <c r="AD528" s="423">
        <f>IF(ISNUMBER(MATCH(B528,'FICHA SOLIC'!$AB$26:$AB$376,0)),1,0)</f>
        <v>0</v>
      </c>
      <c r="AE528" s="423" t="str">
        <f t="shared" si="8"/>
        <v>HorconZ3</v>
      </c>
    </row>
    <row r="529" spans="1:31" x14ac:dyDescent="0.25">
      <c r="A529" s="423">
        <v>528</v>
      </c>
      <c r="B529" s="423" t="s">
        <v>2296</v>
      </c>
      <c r="C529" s="423" t="s">
        <v>2024</v>
      </c>
      <c r="D529" s="975" t="s">
        <v>990</v>
      </c>
      <c r="E529" s="976" t="s">
        <v>991</v>
      </c>
      <c r="F529" s="976" t="s">
        <v>992</v>
      </c>
      <c r="G529" s="976" t="s">
        <v>1997</v>
      </c>
      <c r="H529" s="976" t="s">
        <v>1998</v>
      </c>
      <c r="I529" s="976" t="s">
        <v>1999</v>
      </c>
      <c r="J529" s="975" t="s">
        <v>697</v>
      </c>
      <c r="K529" s="976" t="s">
        <v>995</v>
      </c>
      <c r="L529" s="976" t="s">
        <v>996</v>
      </c>
      <c r="M529" s="976" t="s">
        <v>2000</v>
      </c>
      <c r="N529" s="976" t="s">
        <v>2001</v>
      </c>
      <c r="O529" s="975" t="s">
        <v>1971</v>
      </c>
      <c r="P529" s="976" t="s">
        <v>999</v>
      </c>
      <c r="Q529" s="976" t="s">
        <v>1000</v>
      </c>
      <c r="R529" s="976" t="s">
        <v>1001</v>
      </c>
      <c r="S529" s="976" t="s">
        <v>1002</v>
      </c>
      <c r="T529" s="423">
        <v>800</v>
      </c>
      <c r="U529" s="423" t="s">
        <v>1041</v>
      </c>
      <c r="V529" s="423">
        <v>25</v>
      </c>
      <c r="W529" s="423">
        <v>0.25</v>
      </c>
      <c r="X529" s="423">
        <v>10</v>
      </c>
      <c r="Y529" s="423" t="s">
        <v>1041</v>
      </c>
      <c r="Z529" s="423" t="s">
        <v>1058</v>
      </c>
      <c r="AD529" s="423">
        <f>IF(ISNUMBER(MATCH(B529,'FICHA SOLIC'!$AB$26:$AB$376,0)),1,0)</f>
        <v>0</v>
      </c>
      <c r="AE529" s="423" t="str">
        <f t="shared" si="8"/>
        <v>HorconZ4</v>
      </c>
    </row>
    <row r="530" spans="1:31" x14ac:dyDescent="0.25">
      <c r="A530" s="423">
        <v>529</v>
      </c>
      <c r="B530" s="423" t="s">
        <v>2296</v>
      </c>
      <c r="C530" s="423" t="s">
        <v>2025</v>
      </c>
      <c r="D530" s="975" t="s">
        <v>990</v>
      </c>
      <c r="E530" s="976" t="s">
        <v>991</v>
      </c>
      <c r="F530" s="976" t="s">
        <v>992</v>
      </c>
      <c r="G530" s="976" t="s">
        <v>1997</v>
      </c>
      <c r="H530" s="976" t="s">
        <v>1998</v>
      </c>
      <c r="I530" s="976" t="s">
        <v>1999</v>
      </c>
      <c r="J530" s="975" t="s">
        <v>697</v>
      </c>
      <c r="K530" s="976" t="s">
        <v>995</v>
      </c>
      <c r="L530" s="976" t="s">
        <v>996</v>
      </c>
      <c r="M530" s="976" t="s">
        <v>2000</v>
      </c>
      <c r="N530" s="976" t="s">
        <v>2001</v>
      </c>
      <c r="O530" s="975" t="s">
        <v>1971</v>
      </c>
      <c r="P530" s="976" t="s">
        <v>999</v>
      </c>
      <c r="Q530" s="976" t="s">
        <v>1000</v>
      </c>
      <c r="R530" s="976" t="s">
        <v>1001</v>
      </c>
      <c r="S530" s="976" t="s">
        <v>1002</v>
      </c>
      <c r="T530" s="423">
        <v>400</v>
      </c>
      <c r="U530" s="423" t="s">
        <v>1041</v>
      </c>
      <c r="V530" s="423">
        <v>40</v>
      </c>
      <c r="W530" s="423">
        <v>0.7</v>
      </c>
      <c r="X530" s="423">
        <v>7</v>
      </c>
      <c r="Y530" s="423" t="s">
        <v>1041</v>
      </c>
      <c r="Z530" s="423" t="s">
        <v>1058</v>
      </c>
      <c r="AD530" s="423">
        <f>IF(ISNUMBER(MATCH(B530,'FICHA SOLIC'!$AB$26:$AB$376,0)),1,0)</f>
        <v>0</v>
      </c>
      <c r="AE530" s="423" t="str">
        <f t="shared" si="8"/>
        <v>HorconZ5</v>
      </c>
    </row>
    <row r="531" spans="1:31" x14ac:dyDescent="0.25">
      <c r="A531" s="423">
        <v>530</v>
      </c>
      <c r="B531" s="423" t="s">
        <v>2296</v>
      </c>
      <c r="C531" s="423" t="s">
        <v>2026</v>
      </c>
      <c r="D531" s="975" t="s">
        <v>990</v>
      </c>
      <c r="E531" s="976" t="s">
        <v>991</v>
      </c>
      <c r="F531" s="976" t="s">
        <v>992</v>
      </c>
      <c r="G531" s="976" t="s">
        <v>1997</v>
      </c>
      <c r="H531" s="976" t="s">
        <v>1998</v>
      </c>
      <c r="I531" s="976" t="s">
        <v>1999</v>
      </c>
      <c r="J531" s="975" t="s">
        <v>697</v>
      </c>
      <c r="K531" s="976" t="s">
        <v>995</v>
      </c>
      <c r="L531" s="976" t="s">
        <v>996</v>
      </c>
      <c r="M531" s="976" t="s">
        <v>2000</v>
      </c>
      <c r="N531" s="976" t="s">
        <v>2001</v>
      </c>
      <c r="O531" s="975" t="s">
        <v>1971</v>
      </c>
      <c r="P531" s="976" t="s">
        <v>999</v>
      </c>
      <c r="Q531" s="976" t="s">
        <v>1000</v>
      </c>
      <c r="R531" s="976" t="s">
        <v>1001</v>
      </c>
      <c r="S531" s="976" t="s">
        <v>1002</v>
      </c>
      <c r="T531" s="423">
        <v>300</v>
      </c>
      <c r="U531" s="423" t="s">
        <v>1041</v>
      </c>
      <c r="V531" s="423">
        <v>20</v>
      </c>
      <c r="W531" s="423">
        <v>0.2</v>
      </c>
      <c r="X531" s="423">
        <v>3.5</v>
      </c>
      <c r="Y531" s="423" t="s">
        <v>1041</v>
      </c>
      <c r="Z531" s="423" t="s">
        <v>1058</v>
      </c>
      <c r="AD531" s="423">
        <f>IF(ISNUMBER(MATCH(B531,'FICHA SOLIC'!$AB$26:$AB$376,0)),1,0)</f>
        <v>0</v>
      </c>
      <c r="AE531" s="423" t="str">
        <f t="shared" si="8"/>
        <v>HorconZ6</v>
      </c>
    </row>
    <row r="532" spans="1:31" x14ac:dyDescent="0.25">
      <c r="A532" s="423">
        <v>531</v>
      </c>
      <c r="B532" s="423" t="s">
        <v>2296</v>
      </c>
      <c r="C532" s="423" t="s">
        <v>2297</v>
      </c>
      <c r="D532" s="975" t="s">
        <v>990</v>
      </c>
      <c r="E532" s="976" t="s">
        <v>991</v>
      </c>
      <c r="F532" s="976" t="s">
        <v>992</v>
      </c>
      <c r="G532" s="976" t="s">
        <v>1997</v>
      </c>
      <c r="H532" s="976" t="s">
        <v>1998</v>
      </c>
      <c r="I532" s="976" t="s">
        <v>1999</v>
      </c>
      <c r="J532" s="975" t="s">
        <v>697</v>
      </c>
      <c r="K532" s="976" t="s">
        <v>995</v>
      </c>
      <c r="L532" s="976" t="s">
        <v>996</v>
      </c>
      <c r="M532" s="976" t="s">
        <v>2000</v>
      </c>
      <c r="N532" s="976" t="s">
        <v>2001</v>
      </c>
      <c r="O532" s="975" t="s">
        <v>1971</v>
      </c>
      <c r="P532" s="976" t="s">
        <v>999</v>
      </c>
      <c r="Q532" s="976" t="s">
        <v>1000</v>
      </c>
      <c r="R532" s="976" t="s">
        <v>1001</v>
      </c>
      <c r="S532" s="976" t="s">
        <v>1002</v>
      </c>
      <c r="T532" s="423">
        <v>400</v>
      </c>
      <c r="U532" s="423" t="s">
        <v>1041</v>
      </c>
      <c r="V532" s="423">
        <v>30</v>
      </c>
      <c r="W532" s="423">
        <v>0.6</v>
      </c>
      <c r="X532" s="423">
        <v>7</v>
      </c>
      <c r="Y532" s="423" t="s">
        <v>1041</v>
      </c>
      <c r="Z532" s="423" t="s">
        <v>1058</v>
      </c>
      <c r="AD532" s="423">
        <f>IF(ISNUMBER(MATCH(B532,'FICHA SOLIC'!$AB$26:$AB$376,0)),1,0)</f>
        <v>0</v>
      </c>
      <c r="AE532" s="423" t="str">
        <f t="shared" si="8"/>
        <v>HorconZ7</v>
      </c>
    </row>
    <row r="533" spans="1:31" x14ac:dyDescent="0.25">
      <c r="A533" s="423">
        <v>532</v>
      </c>
      <c r="B533" s="423" t="s">
        <v>2296</v>
      </c>
      <c r="C533" s="423" t="s">
        <v>2029</v>
      </c>
      <c r="D533" s="975" t="s">
        <v>990</v>
      </c>
      <c r="E533" s="976" t="s">
        <v>991</v>
      </c>
      <c r="F533" s="976" t="s">
        <v>992</v>
      </c>
      <c r="G533" s="976" t="s">
        <v>1997</v>
      </c>
      <c r="H533" s="976" t="s">
        <v>1998</v>
      </c>
      <c r="I533" s="976" t="s">
        <v>1999</v>
      </c>
      <c r="J533" s="975" t="s">
        <v>697</v>
      </c>
      <c r="K533" s="976" t="s">
        <v>995</v>
      </c>
      <c r="L533" s="976" t="s">
        <v>996</v>
      </c>
      <c r="M533" s="976" t="s">
        <v>2000</v>
      </c>
      <c r="N533" s="976" t="s">
        <v>2001</v>
      </c>
      <c r="O533" s="975" t="s">
        <v>1971</v>
      </c>
      <c r="P533" s="976" t="s">
        <v>999</v>
      </c>
      <c r="Q533" s="976" t="s">
        <v>1000</v>
      </c>
      <c r="R533" s="976" t="s">
        <v>1001</v>
      </c>
      <c r="S533" s="976" t="s">
        <v>1002</v>
      </c>
      <c r="T533" s="423">
        <v>300</v>
      </c>
      <c r="U533" s="423" t="s">
        <v>1041</v>
      </c>
      <c r="V533" s="423">
        <v>20</v>
      </c>
      <c r="W533" s="423">
        <v>0.4</v>
      </c>
      <c r="X533" s="423">
        <v>7</v>
      </c>
      <c r="Y533" s="423" t="s">
        <v>1041</v>
      </c>
      <c r="Z533" s="423" t="s">
        <v>1058</v>
      </c>
      <c r="AD533" s="423">
        <f>IF(ISNUMBER(MATCH(B533,'FICHA SOLIC'!$AB$26:$AB$376,0)),1,0)</f>
        <v>0</v>
      </c>
      <c r="AE533" s="423" t="str">
        <f t="shared" si="8"/>
        <v>HorconZ8</v>
      </c>
    </row>
    <row r="534" spans="1:31" x14ac:dyDescent="0.25">
      <c r="A534" s="423">
        <v>533</v>
      </c>
      <c r="B534" s="423" t="s">
        <v>2296</v>
      </c>
      <c r="C534" s="423" t="s">
        <v>2030</v>
      </c>
      <c r="D534" s="975" t="s">
        <v>990</v>
      </c>
      <c r="E534" s="976" t="s">
        <v>991</v>
      </c>
      <c r="F534" s="976" t="s">
        <v>992</v>
      </c>
      <c r="G534" s="976" t="s">
        <v>1997</v>
      </c>
      <c r="H534" s="976" t="s">
        <v>1998</v>
      </c>
      <c r="I534" s="976" t="s">
        <v>1999</v>
      </c>
      <c r="J534" s="975" t="s">
        <v>697</v>
      </c>
      <c r="K534" s="976" t="s">
        <v>995</v>
      </c>
      <c r="L534" s="976" t="s">
        <v>996</v>
      </c>
      <c r="M534" s="976" t="s">
        <v>2000</v>
      </c>
      <c r="N534" s="976" t="s">
        <v>2001</v>
      </c>
      <c r="O534" s="975" t="s">
        <v>1971</v>
      </c>
      <c r="P534" s="976" t="s">
        <v>999</v>
      </c>
      <c r="Q534" s="976" t="s">
        <v>1000</v>
      </c>
      <c r="R534" s="976" t="s">
        <v>1001</v>
      </c>
      <c r="S534" s="976" t="s">
        <v>1002</v>
      </c>
      <c r="T534" s="423">
        <v>350</v>
      </c>
      <c r="U534" s="423" t="s">
        <v>1041</v>
      </c>
      <c r="V534" s="423">
        <v>50</v>
      </c>
      <c r="W534" s="423">
        <v>1</v>
      </c>
      <c r="X534" s="423">
        <v>7</v>
      </c>
      <c r="Y534" s="423" t="s">
        <v>1041</v>
      </c>
      <c r="Z534" s="423" t="s">
        <v>1057</v>
      </c>
      <c r="AD534" s="423">
        <f>IF(ISNUMBER(MATCH(B534,'FICHA SOLIC'!$AB$26:$AB$376,0)),1,0)</f>
        <v>0</v>
      </c>
      <c r="AE534" s="423" t="str">
        <f t="shared" si="8"/>
        <v>HorconZ9</v>
      </c>
    </row>
    <row r="535" spans="1:31" x14ac:dyDescent="0.25">
      <c r="A535" s="423">
        <v>534</v>
      </c>
      <c r="B535" s="423" t="s">
        <v>2296</v>
      </c>
      <c r="C535" s="423" t="s">
        <v>2040</v>
      </c>
      <c r="D535" s="975" t="s">
        <v>990</v>
      </c>
      <c r="E535" s="976" t="s">
        <v>991</v>
      </c>
      <c r="F535" s="976" t="s">
        <v>992</v>
      </c>
      <c r="G535" s="976" t="s">
        <v>1997</v>
      </c>
      <c r="H535" s="976" t="s">
        <v>1998</v>
      </c>
      <c r="I535" s="976" t="s">
        <v>1999</v>
      </c>
      <c r="J535" s="975" t="s">
        <v>697</v>
      </c>
      <c r="K535" s="976" t="s">
        <v>995</v>
      </c>
      <c r="L535" s="976" t="s">
        <v>996</v>
      </c>
      <c r="M535" s="976" t="s">
        <v>2000</v>
      </c>
      <c r="N535" s="976" t="s">
        <v>2001</v>
      </c>
      <c r="O535" s="975" t="s">
        <v>1971</v>
      </c>
      <c r="P535" s="976" t="s">
        <v>999</v>
      </c>
      <c r="Q535" s="976" t="s">
        <v>1000</v>
      </c>
      <c r="R535" s="976" t="s">
        <v>1001</v>
      </c>
      <c r="S535" s="976" t="s">
        <v>1002</v>
      </c>
      <c r="T535" s="423">
        <v>1000</v>
      </c>
      <c r="U535" s="423" t="s">
        <v>1041</v>
      </c>
      <c r="V535" s="423">
        <v>20</v>
      </c>
      <c r="W535" s="423">
        <v>0.2</v>
      </c>
      <c r="X535" s="423">
        <v>14</v>
      </c>
      <c r="Y535" s="423" t="s">
        <v>1041</v>
      </c>
      <c r="Z535" s="423" t="s">
        <v>1058</v>
      </c>
      <c r="AD535" s="423">
        <f>IF(ISNUMBER(MATCH(B535,'FICHA SOLIC'!$AB$26:$AB$376,0)),1,0)</f>
        <v>0</v>
      </c>
      <c r="AE535" s="423" t="str">
        <f t="shared" si="8"/>
        <v>HorconZED</v>
      </c>
    </row>
    <row r="536" spans="1:31" x14ac:dyDescent="0.25">
      <c r="A536" s="423">
        <v>535</v>
      </c>
      <c r="B536" s="423" t="s">
        <v>2296</v>
      </c>
      <c r="C536" s="423" t="s">
        <v>2298</v>
      </c>
      <c r="D536" s="975" t="s">
        <v>990</v>
      </c>
      <c r="E536" s="976" t="s">
        <v>991</v>
      </c>
      <c r="F536" s="976" t="s">
        <v>992</v>
      </c>
      <c r="G536" s="976" t="s">
        <v>1997</v>
      </c>
      <c r="H536" s="976" t="s">
        <v>1998</v>
      </c>
      <c r="I536" s="976" t="s">
        <v>1999</v>
      </c>
      <c r="J536" s="975" t="s">
        <v>697</v>
      </c>
      <c r="K536" s="976" t="s">
        <v>995</v>
      </c>
      <c r="L536" s="976" t="s">
        <v>996</v>
      </c>
      <c r="M536" s="976" t="s">
        <v>2000</v>
      </c>
      <c r="N536" s="976" t="s">
        <v>2001</v>
      </c>
      <c r="O536" s="975" t="s">
        <v>1971</v>
      </c>
      <c r="P536" s="976" t="s">
        <v>999</v>
      </c>
      <c r="Q536" s="976" t="s">
        <v>1000</v>
      </c>
      <c r="R536" s="976" t="s">
        <v>1001</v>
      </c>
      <c r="S536" s="976" t="s">
        <v>1002</v>
      </c>
      <c r="T536" s="423">
        <v>5000</v>
      </c>
      <c r="U536" s="423" t="s">
        <v>1041</v>
      </c>
      <c r="V536" s="423">
        <v>40</v>
      </c>
      <c r="W536" s="423">
        <v>4</v>
      </c>
      <c r="X536" s="423">
        <v>28</v>
      </c>
      <c r="Y536" s="423" t="s">
        <v>1041</v>
      </c>
      <c r="Z536" s="423" t="s">
        <v>1058</v>
      </c>
      <c r="AD536" s="423">
        <f>IF(ISNUMBER(MATCH(B536,'FICHA SOLIC'!$AB$26:$AB$376,0)),1,0)</f>
        <v>0</v>
      </c>
      <c r="AE536" s="423" t="str">
        <f t="shared" si="8"/>
        <v>HorconZEH</v>
      </c>
    </row>
    <row r="537" spans="1:31" x14ac:dyDescent="0.25">
      <c r="A537" s="423">
        <v>536</v>
      </c>
      <c r="B537" s="423" t="s">
        <v>2296</v>
      </c>
      <c r="C537" s="423" t="s">
        <v>2299</v>
      </c>
      <c r="D537" s="975" t="s">
        <v>990</v>
      </c>
      <c r="E537" s="976" t="s">
        <v>991</v>
      </c>
      <c r="F537" s="976" t="s">
        <v>992</v>
      </c>
      <c r="G537" s="976" t="s">
        <v>1997</v>
      </c>
      <c r="H537" s="976" t="s">
        <v>1998</v>
      </c>
      <c r="I537" s="976" t="s">
        <v>1999</v>
      </c>
      <c r="J537" s="975" t="s">
        <v>697</v>
      </c>
      <c r="K537" s="976" t="s">
        <v>995</v>
      </c>
      <c r="L537" s="976" t="s">
        <v>996</v>
      </c>
      <c r="M537" s="976" t="s">
        <v>2000</v>
      </c>
      <c r="N537" s="976" t="s">
        <v>2001</v>
      </c>
      <c r="O537" s="975" t="s">
        <v>1971</v>
      </c>
      <c r="P537" s="976" t="s">
        <v>999</v>
      </c>
      <c r="Q537" s="976" t="s">
        <v>1000</v>
      </c>
      <c r="R537" s="976" t="s">
        <v>1001</v>
      </c>
      <c r="S537" s="976" t="s">
        <v>1002</v>
      </c>
      <c r="T537" s="423">
        <v>500</v>
      </c>
      <c r="U537" s="423" t="s">
        <v>1041</v>
      </c>
      <c r="V537" s="423">
        <v>40</v>
      </c>
      <c r="W537" s="423">
        <v>0.8</v>
      </c>
      <c r="X537" s="423">
        <v>7</v>
      </c>
      <c r="Y537" s="423" t="s">
        <v>1041</v>
      </c>
      <c r="Z537" s="423" t="s">
        <v>1058</v>
      </c>
      <c r="AD537" s="423">
        <f>IF(ISNUMBER(MATCH(B537,'FICHA SOLIC'!$AB$26:$AB$376,0)),1,0)</f>
        <v>0</v>
      </c>
      <c r="AE537" s="423" t="str">
        <f t="shared" si="8"/>
        <v>HorconZEM</v>
      </c>
    </row>
    <row r="538" spans="1:31" x14ac:dyDescent="0.25">
      <c r="A538" s="423">
        <v>537</v>
      </c>
      <c r="B538" s="423" t="s">
        <v>2296</v>
      </c>
      <c r="C538" s="423" t="s">
        <v>2300</v>
      </c>
      <c r="D538" s="975" t="s">
        <v>990</v>
      </c>
      <c r="E538" s="976" t="s">
        <v>991</v>
      </c>
      <c r="F538" s="976" t="s">
        <v>992</v>
      </c>
      <c r="G538" s="976" t="s">
        <v>1997</v>
      </c>
      <c r="H538" s="976" t="s">
        <v>1998</v>
      </c>
      <c r="I538" s="976" t="s">
        <v>1999</v>
      </c>
      <c r="J538" s="975" t="s">
        <v>697</v>
      </c>
      <c r="K538" s="976" t="s">
        <v>995</v>
      </c>
      <c r="L538" s="976" t="s">
        <v>996</v>
      </c>
      <c r="M538" s="976" t="s">
        <v>2000</v>
      </c>
      <c r="N538" s="976" t="s">
        <v>2001</v>
      </c>
      <c r="O538" s="975" t="s">
        <v>1971</v>
      </c>
      <c r="P538" s="976" t="s">
        <v>999</v>
      </c>
      <c r="Q538" s="976" t="s">
        <v>1000</v>
      </c>
      <c r="R538" s="976" t="s">
        <v>1001</v>
      </c>
      <c r="S538" s="976" t="s">
        <v>1002</v>
      </c>
      <c r="T538" s="423">
        <v>5000</v>
      </c>
      <c r="U538" s="423" t="s">
        <v>1041</v>
      </c>
      <c r="V538" s="423">
        <v>15</v>
      </c>
      <c r="W538" s="423">
        <v>0.15</v>
      </c>
      <c r="X538" s="423">
        <v>5.6</v>
      </c>
      <c r="Y538" s="423" t="s">
        <v>1041</v>
      </c>
      <c r="Z538" s="423" t="s">
        <v>1058</v>
      </c>
      <c r="AD538" s="423">
        <f>IF(ISNUMBER(MATCH(B538,'FICHA SOLIC'!$AB$26:$AB$376,0)),1,0)</f>
        <v>0</v>
      </c>
      <c r="AE538" s="423" t="str">
        <f t="shared" si="8"/>
        <v>HorconZEQC</v>
      </c>
    </row>
    <row r="539" spans="1:31" x14ac:dyDescent="0.25">
      <c r="A539" s="423">
        <v>538</v>
      </c>
      <c r="B539" s="423" t="s">
        <v>260</v>
      </c>
      <c r="C539" s="423" t="s">
        <v>1041</v>
      </c>
      <c r="D539" s="975" t="s">
        <v>990</v>
      </c>
      <c r="E539" s="976" t="s">
        <v>991</v>
      </c>
      <c r="F539" s="976" t="s">
        <v>992</v>
      </c>
      <c r="G539" s="976" t="s">
        <v>1997</v>
      </c>
      <c r="H539" s="976" t="s">
        <v>1998</v>
      </c>
      <c r="I539" s="976" t="s">
        <v>1999</v>
      </c>
      <c r="J539" s="975" t="s">
        <v>697</v>
      </c>
      <c r="K539" s="976" t="s">
        <v>995</v>
      </c>
      <c r="L539" s="976" t="s">
        <v>996</v>
      </c>
      <c r="M539" s="976" t="s">
        <v>2000</v>
      </c>
      <c r="N539" s="976" t="s">
        <v>2001</v>
      </c>
      <c r="O539" s="975" t="s">
        <v>1971</v>
      </c>
      <c r="P539" s="976" t="s">
        <v>999</v>
      </c>
      <c r="Q539" s="976" t="s">
        <v>1000</v>
      </c>
      <c r="R539" s="976" t="s">
        <v>1001</v>
      </c>
      <c r="S539" s="976" t="s">
        <v>1002</v>
      </c>
      <c r="T539" s="423" t="s">
        <v>1041</v>
      </c>
      <c r="U539" s="423" t="s">
        <v>1041</v>
      </c>
      <c r="V539" s="423" t="s">
        <v>1041</v>
      </c>
      <c r="W539" s="423" t="s">
        <v>1041</v>
      </c>
      <c r="X539" s="423" t="s">
        <v>1041</v>
      </c>
      <c r="Y539" s="423" t="s">
        <v>1041</v>
      </c>
      <c r="Z539" s="423" t="s">
        <v>1041</v>
      </c>
      <c r="AD539" s="423">
        <f>IF(ISNUMBER(MATCH(B539,'FICHA SOLIC'!$AB$26:$AB$376,0)),1,0)</f>
        <v>1</v>
      </c>
      <c r="AE539" s="423" t="str">
        <f t="shared" si="8"/>
        <v>HualpénOGUC</v>
      </c>
    </row>
    <row r="540" spans="1:31" x14ac:dyDescent="0.25">
      <c r="A540" s="423">
        <v>539</v>
      </c>
      <c r="B540" s="423" t="s">
        <v>253</v>
      </c>
      <c r="C540" s="423" t="s">
        <v>1041</v>
      </c>
      <c r="D540" s="975" t="s">
        <v>990</v>
      </c>
      <c r="E540" s="976" t="s">
        <v>991</v>
      </c>
      <c r="F540" s="976" t="s">
        <v>992</v>
      </c>
      <c r="G540" s="976" t="s">
        <v>1997</v>
      </c>
      <c r="H540" s="976" t="s">
        <v>1998</v>
      </c>
      <c r="I540" s="976" t="s">
        <v>1999</v>
      </c>
      <c r="J540" s="975" t="s">
        <v>697</v>
      </c>
      <c r="K540" s="976" t="s">
        <v>995</v>
      </c>
      <c r="L540" s="976" t="s">
        <v>996</v>
      </c>
      <c r="M540" s="976" t="s">
        <v>2000</v>
      </c>
      <c r="N540" s="976" t="s">
        <v>2001</v>
      </c>
      <c r="O540" s="975" t="s">
        <v>1971</v>
      </c>
      <c r="P540" s="976" t="s">
        <v>999</v>
      </c>
      <c r="Q540" s="976" t="s">
        <v>1000</v>
      </c>
      <c r="R540" s="976" t="s">
        <v>1001</v>
      </c>
      <c r="S540" s="976" t="s">
        <v>1002</v>
      </c>
      <c r="T540" s="423" t="s">
        <v>1041</v>
      </c>
      <c r="U540" s="423" t="s">
        <v>1041</v>
      </c>
      <c r="V540" s="423" t="s">
        <v>1041</v>
      </c>
      <c r="W540" s="423" t="s">
        <v>1041</v>
      </c>
      <c r="X540" s="423" t="s">
        <v>1041</v>
      </c>
      <c r="Y540" s="423" t="s">
        <v>1041</v>
      </c>
      <c r="Z540" s="423" t="s">
        <v>1041</v>
      </c>
      <c r="AD540" s="423">
        <f>IF(ISNUMBER(MATCH(B540,'FICHA SOLIC'!$AB$26:$AB$376,0)),1,0)</f>
        <v>1</v>
      </c>
      <c r="AE540" s="423" t="str">
        <f t="shared" si="8"/>
        <v>HualquiOGUC</v>
      </c>
    </row>
    <row r="541" spans="1:31" x14ac:dyDescent="0.25">
      <c r="A541" s="423">
        <v>540</v>
      </c>
      <c r="B541" s="423" t="s">
        <v>126</v>
      </c>
      <c r="C541" s="423" t="s">
        <v>1041</v>
      </c>
      <c r="D541" s="975" t="s">
        <v>990</v>
      </c>
      <c r="E541" s="976" t="s">
        <v>991</v>
      </c>
      <c r="F541" s="976" t="s">
        <v>992</v>
      </c>
      <c r="G541" s="976" t="s">
        <v>1997</v>
      </c>
      <c r="H541" s="976" t="s">
        <v>1998</v>
      </c>
      <c r="I541" s="976" t="s">
        <v>1999</v>
      </c>
      <c r="J541" s="975" t="s">
        <v>697</v>
      </c>
      <c r="K541" s="976" t="s">
        <v>995</v>
      </c>
      <c r="L541" s="976" t="s">
        <v>996</v>
      </c>
      <c r="M541" s="976" t="s">
        <v>2000</v>
      </c>
      <c r="N541" s="976" t="s">
        <v>2001</v>
      </c>
      <c r="O541" s="975" t="s">
        <v>1971</v>
      </c>
      <c r="P541" s="976" t="s">
        <v>999</v>
      </c>
      <c r="Q541" s="976" t="s">
        <v>1000</v>
      </c>
      <c r="R541" s="976" t="s">
        <v>1001</v>
      </c>
      <c r="S541" s="976" t="s">
        <v>1002</v>
      </c>
      <c r="T541" s="423" t="s">
        <v>1041</v>
      </c>
      <c r="U541" s="423" t="s">
        <v>1041</v>
      </c>
      <c r="V541" s="423" t="s">
        <v>1041</v>
      </c>
      <c r="W541" s="423" t="s">
        <v>1041</v>
      </c>
      <c r="X541" s="423" t="s">
        <v>1041</v>
      </c>
      <c r="Y541" s="423" t="s">
        <v>1041</v>
      </c>
      <c r="Z541" s="423" t="s">
        <v>1041</v>
      </c>
      <c r="AD541" s="423">
        <f>IF(ISNUMBER(MATCH(B541,'FICHA SOLIC'!$AB$26:$AB$376,0)),1,0)</f>
        <v>1</v>
      </c>
      <c r="AE541" s="423" t="str">
        <f t="shared" si="8"/>
        <v>HuascoOGUC</v>
      </c>
    </row>
    <row r="542" spans="1:31" x14ac:dyDescent="0.25">
      <c r="A542" s="423">
        <v>541</v>
      </c>
      <c r="B542" s="423" t="s">
        <v>409</v>
      </c>
      <c r="C542" s="423" t="s">
        <v>1593</v>
      </c>
      <c r="D542" s="428" t="s">
        <v>990</v>
      </c>
      <c r="E542" s="429" t="s">
        <v>991</v>
      </c>
      <c r="F542" s="429" t="s">
        <v>992</v>
      </c>
      <c r="G542" s="429" t="s">
        <v>1054</v>
      </c>
      <c r="H542" s="430" t="s">
        <v>699</v>
      </c>
      <c r="I542" s="429" t="s">
        <v>1055</v>
      </c>
      <c r="J542" s="428" t="s">
        <v>697</v>
      </c>
      <c r="K542" s="429" t="s">
        <v>995</v>
      </c>
      <c r="L542" s="429" t="s">
        <v>996</v>
      </c>
      <c r="M542" s="429" t="s">
        <v>997</v>
      </c>
      <c r="N542" s="429" t="s">
        <v>558</v>
      </c>
      <c r="O542" s="428" t="s">
        <v>998</v>
      </c>
      <c r="P542" s="429" t="s">
        <v>999</v>
      </c>
      <c r="Q542" s="429" t="s">
        <v>1000</v>
      </c>
      <c r="R542" s="429" t="s">
        <v>1001</v>
      </c>
      <c r="S542" s="429" t="s">
        <v>1002</v>
      </c>
      <c r="T542" s="423">
        <v>360</v>
      </c>
      <c r="U542" s="423">
        <v>480</v>
      </c>
      <c r="V542" s="423">
        <v>80</v>
      </c>
      <c r="W542" s="423">
        <v>2.5</v>
      </c>
      <c r="X542" s="423">
        <v>14</v>
      </c>
      <c r="Y542" s="423" t="s">
        <v>1041</v>
      </c>
      <c r="Z542" s="423" t="s">
        <v>1573</v>
      </c>
      <c r="AD542" s="423">
        <f>IF(ISNUMBER(MATCH(B542,'FICHA SOLIC'!$AB$26:$AB$376,0)),1,0)</f>
        <v>1</v>
      </c>
      <c r="AE542" s="423" t="str">
        <f t="shared" si="8"/>
        <v>HuechurabaZC1</v>
      </c>
    </row>
    <row r="543" spans="1:31" x14ac:dyDescent="0.25">
      <c r="A543" s="423">
        <v>542</v>
      </c>
      <c r="B543" s="423" t="s">
        <v>409</v>
      </c>
      <c r="C543" s="423" t="s">
        <v>1594</v>
      </c>
      <c r="D543" s="428" t="s">
        <v>990</v>
      </c>
      <c r="E543" s="429" t="s">
        <v>991</v>
      </c>
      <c r="F543" s="429" t="s">
        <v>992</v>
      </c>
      <c r="G543" s="429" t="s">
        <v>1054</v>
      </c>
      <c r="H543" s="430" t="s">
        <v>699</v>
      </c>
      <c r="I543" s="429" t="s">
        <v>1055</v>
      </c>
      <c r="J543" s="428" t="s">
        <v>697</v>
      </c>
      <c r="K543" s="429" t="s">
        <v>995</v>
      </c>
      <c r="L543" s="429" t="s">
        <v>996</v>
      </c>
      <c r="M543" s="429" t="s">
        <v>997</v>
      </c>
      <c r="N543" s="429" t="s">
        <v>558</v>
      </c>
      <c r="O543" s="428" t="s">
        <v>998</v>
      </c>
      <c r="P543" s="429" t="s">
        <v>999</v>
      </c>
      <c r="Q543" s="429" t="s">
        <v>1000</v>
      </c>
      <c r="R543" s="429" t="s">
        <v>1001</v>
      </c>
      <c r="S543" s="429" t="s">
        <v>1002</v>
      </c>
      <c r="T543" s="423">
        <v>480</v>
      </c>
      <c r="U543" s="423" t="s">
        <v>1041</v>
      </c>
      <c r="V543" s="423">
        <v>70</v>
      </c>
      <c r="W543" s="423">
        <v>1.4</v>
      </c>
      <c r="X543" s="423">
        <v>14</v>
      </c>
      <c r="Y543" s="423" t="s">
        <v>1041</v>
      </c>
      <c r="Z543" s="423" t="s">
        <v>1057</v>
      </c>
      <c r="AD543" s="423">
        <f>IF(ISNUMBER(MATCH(B543,'FICHA SOLIC'!$AB$26:$AB$376,0)),1,0)</f>
        <v>1</v>
      </c>
      <c r="AE543" s="423" t="str">
        <f t="shared" si="8"/>
        <v>HuechurabaZC2</v>
      </c>
    </row>
    <row r="544" spans="1:31" x14ac:dyDescent="0.25">
      <c r="A544" s="423">
        <v>543</v>
      </c>
      <c r="B544" s="423" t="s">
        <v>409</v>
      </c>
      <c r="C544" s="423" t="s">
        <v>1595</v>
      </c>
      <c r="D544" s="428" t="s">
        <v>990</v>
      </c>
      <c r="E544" s="429" t="s">
        <v>991</v>
      </c>
      <c r="F544" s="429" t="s">
        <v>992</v>
      </c>
      <c r="G544" s="429" t="s">
        <v>1054</v>
      </c>
      <c r="H544" s="430" t="s">
        <v>699</v>
      </c>
      <c r="I544" s="429" t="s">
        <v>1055</v>
      </c>
      <c r="J544" s="428" t="s">
        <v>697</v>
      </c>
      <c r="K544" s="429" t="s">
        <v>995</v>
      </c>
      <c r="L544" s="429" t="s">
        <v>996</v>
      </c>
      <c r="M544" s="429" t="s">
        <v>997</v>
      </c>
      <c r="N544" s="429" t="s">
        <v>558</v>
      </c>
      <c r="O544" s="428" t="s">
        <v>998</v>
      </c>
      <c r="P544" s="429" t="s">
        <v>999</v>
      </c>
      <c r="Q544" s="429" t="s">
        <v>1000</v>
      </c>
      <c r="R544" s="429" t="s">
        <v>1001</v>
      </c>
      <c r="S544" s="429" t="s">
        <v>1002</v>
      </c>
      <c r="T544" s="423">
        <v>800</v>
      </c>
      <c r="U544" s="423" t="s">
        <v>1041</v>
      </c>
      <c r="V544" s="423">
        <v>50</v>
      </c>
      <c r="W544" s="423">
        <v>2</v>
      </c>
      <c r="X544" s="423">
        <v>14</v>
      </c>
      <c r="Y544" s="423" t="s">
        <v>1041</v>
      </c>
      <c r="Z544" s="423" t="s">
        <v>1058</v>
      </c>
      <c r="AD544" s="423">
        <f>IF(ISNUMBER(MATCH(B544,'FICHA SOLIC'!$AB$26:$AB$376,0)),1,0)</f>
        <v>1</v>
      </c>
      <c r="AE544" s="423" t="str">
        <f t="shared" si="8"/>
        <v>HuechurabaZC3</v>
      </c>
    </row>
    <row r="545" spans="1:31" x14ac:dyDescent="0.25">
      <c r="A545" s="423">
        <v>544</v>
      </c>
      <c r="B545" s="423" t="s">
        <v>409</v>
      </c>
      <c r="C545" s="423" t="s">
        <v>1596</v>
      </c>
      <c r="D545" s="428" t="s">
        <v>990</v>
      </c>
      <c r="E545" s="429" t="s">
        <v>991</v>
      </c>
      <c r="F545" s="429" t="s">
        <v>992</v>
      </c>
      <c r="G545" s="429" t="s">
        <v>1054</v>
      </c>
      <c r="H545" s="430" t="s">
        <v>699</v>
      </c>
      <c r="I545" s="429" t="s">
        <v>1055</v>
      </c>
      <c r="J545" s="428" t="s">
        <v>697</v>
      </c>
      <c r="K545" s="429" t="s">
        <v>995</v>
      </c>
      <c r="L545" s="429" t="s">
        <v>996</v>
      </c>
      <c r="M545" s="429" t="s">
        <v>997</v>
      </c>
      <c r="N545" s="429" t="s">
        <v>558</v>
      </c>
      <c r="O545" s="428" t="s">
        <v>998</v>
      </c>
      <c r="P545" s="429" t="s">
        <v>999</v>
      </c>
      <c r="Q545" s="429" t="s">
        <v>1000</v>
      </c>
      <c r="R545" s="429" t="s">
        <v>1001</v>
      </c>
      <c r="S545" s="429" t="s">
        <v>1002</v>
      </c>
      <c r="T545" s="423">
        <v>1000</v>
      </c>
      <c r="U545" s="423" t="s">
        <v>1041</v>
      </c>
      <c r="V545" s="423">
        <v>30</v>
      </c>
      <c r="W545" s="423">
        <v>1.2</v>
      </c>
      <c r="X545" s="423">
        <v>14</v>
      </c>
      <c r="Y545" s="423">
        <v>6</v>
      </c>
      <c r="Z545" s="423" t="s">
        <v>1058</v>
      </c>
      <c r="AD545" s="423">
        <f>IF(ISNUMBER(MATCH(B545,'FICHA SOLIC'!$AB$26:$AB$376,0)),1,0)</f>
        <v>1</v>
      </c>
      <c r="AE545" s="423" t="str">
        <f t="shared" si="8"/>
        <v>HuechurabaZC4</v>
      </c>
    </row>
    <row r="546" spans="1:31" x14ac:dyDescent="0.25">
      <c r="A546" s="423">
        <v>545</v>
      </c>
      <c r="B546" s="423" t="s">
        <v>409</v>
      </c>
      <c r="C546" s="423" t="s">
        <v>1609</v>
      </c>
      <c r="D546" s="428" t="s">
        <v>990</v>
      </c>
      <c r="E546" s="429" t="s">
        <v>991</v>
      </c>
      <c r="F546" s="429" t="s">
        <v>992</v>
      </c>
      <c r="G546" s="429" t="s">
        <v>1054</v>
      </c>
      <c r="H546" s="430" t="s">
        <v>699</v>
      </c>
      <c r="I546" s="429" t="s">
        <v>1055</v>
      </c>
      <c r="J546" s="428" t="s">
        <v>697</v>
      </c>
      <c r="K546" s="429" t="s">
        <v>995</v>
      </c>
      <c r="L546" s="429" t="s">
        <v>996</v>
      </c>
      <c r="M546" s="429" t="s">
        <v>997</v>
      </c>
      <c r="N546" s="429" t="s">
        <v>558</v>
      </c>
      <c r="O546" s="428" t="s">
        <v>998</v>
      </c>
      <c r="P546" s="429" t="s">
        <v>999</v>
      </c>
      <c r="Q546" s="429" t="s">
        <v>1000</v>
      </c>
      <c r="R546" s="429" t="s">
        <v>1001</v>
      </c>
      <c r="S546" s="429" t="s">
        <v>1002</v>
      </c>
      <c r="T546" s="423">
        <v>3000</v>
      </c>
      <c r="U546" s="423" t="s">
        <v>1041</v>
      </c>
      <c r="V546" s="423">
        <v>30</v>
      </c>
      <c r="W546" s="423">
        <v>2.4</v>
      </c>
      <c r="X546" s="423" t="s">
        <v>1610</v>
      </c>
      <c r="Y546" s="423">
        <v>10</v>
      </c>
      <c r="Z546" s="423" t="s">
        <v>1058</v>
      </c>
      <c r="AD546" s="423">
        <f>IF(ISNUMBER(MATCH(B546,'FICHA SOLIC'!$AB$26:$AB$376,0)),1,0)</f>
        <v>1</v>
      </c>
      <c r="AE546" s="423" t="str">
        <f t="shared" si="8"/>
        <v>HuechurabaZC4-2</v>
      </c>
    </row>
    <row r="547" spans="1:31" x14ac:dyDescent="0.25">
      <c r="A547" s="423">
        <v>546</v>
      </c>
      <c r="B547" s="423" t="s">
        <v>409</v>
      </c>
      <c r="C547" s="423" t="s">
        <v>1341</v>
      </c>
      <c r="D547" s="428" t="s">
        <v>990</v>
      </c>
      <c r="E547" s="429" t="s">
        <v>991</v>
      </c>
      <c r="F547" s="429" t="s">
        <v>992</v>
      </c>
      <c r="G547" s="429" t="s">
        <v>1054</v>
      </c>
      <c r="H547" s="430" t="s">
        <v>699</v>
      </c>
      <c r="I547" s="429" t="s">
        <v>1055</v>
      </c>
      <c r="J547" s="428" t="s">
        <v>697</v>
      </c>
      <c r="K547" s="429" t="s">
        <v>995</v>
      </c>
      <c r="L547" s="429" t="s">
        <v>996</v>
      </c>
      <c r="M547" s="429" t="s">
        <v>997</v>
      </c>
      <c r="N547" s="429" t="s">
        <v>558</v>
      </c>
      <c r="O547" s="428" t="s">
        <v>998</v>
      </c>
      <c r="P547" s="429" t="s">
        <v>999</v>
      </c>
      <c r="Q547" s="429" t="s">
        <v>1000</v>
      </c>
      <c r="R547" s="429" t="s">
        <v>1001</v>
      </c>
      <c r="S547" s="429" t="s">
        <v>1002</v>
      </c>
      <c r="T547" s="423" t="s">
        <v>1611</v>
      </c>
      <c r="U547" s="423" t="s">
        <v>1041</v>
      </c>
      <c r="V547" s="423" t="s">
        <v>1041</v>
      </c>
      <c r="W547" s="423" t="s">
        <v>1041</v>
      </c>
      <c r="X547" s="423" t="s">
        <v>1041</v>
      </c>
      <c r="Y547" s="423" t="s">
        <v>1041</v>
      </c>
      <c r="Z547" s="423" t="s">
        <v>1041</v>
      </c>
      <c r="AD547" s="423">
        <f>IF(ISNUMBER(MATCH(B547,'FICHA SOLIC'!$AB$26:$AB$376,0)),1,0)</f>
        <v>1</v>
      </c>
      <c r="AE547" s="423" t="str">
        <f t="shared" si="8"/>
        <v>HuechurabaZE1</v>
      </c>
    </row>
    <row r="548" spans="1:31" x14ac:dyDescent="0.25">
      <c r="A548" s="423">
        <v>547</v>
      </c>
      <c r="B548" s="423" t="s">
        <v>409</v>
      </c>
      <c r="C548" s="423" t="s">
        <v>1608</v>
      </c>
      <c r="D548" s="428" t="s">
        <v>990</v>
      </c>
      <c r="E548" s="429" t="s">
        <v>991</v>
      </c>
      <c r="F548" s="429" t="s">
        <v>992</v>
      </c>
      <c r="G548" s="429" t="s">
        <v>1054</v>
      </c>
      <c r="H548" s="430" t="s">
        <v>699</v>
      </c>
      <c r="I548" s="429" t="s">
        <v>1055</v>
      </c>
      <c r="J548" s="428" t="s">
        <v>697</v>
      </c>
      <c r="K548" s="429" t="s">
        <v>995</v>
      </c>
      <c r="L548" s="429" t="s">
        <v>996</v>
      </c>
      <c r="M548" s="429" t="s">
        <v>997</v>
      </c>
      <c r="N548" s="429" t="s">
        <v>558</v>
      </c>
      <c r="O548" s="428" t="s">
        <v>998</v>
      </c>
      <c r="P548" s="429" t="s">
        <v>999</v>
      </c>
      <c r="Q548" s="429" t="s">
        <v>1000</v>
      </c>
      <c r="R548" s="429" t="s">
        <v>1001</v>
      </c>
      <c r="S548" s="429" t="s">
        <v>1002</v>
      </c>
      <c r="T548" s="423">
        <v>120</v>
      </c>
      <c r="U548" s="423" t="s">
        <v>1041</v>
      </c>
      <c r="V548" s="423">
        <v>80</v>
      </c>
      <c r="W548" s="423">
        <v>1.2</v>
      </c>
      <c r="X548" s="423" t="s">
        <v>1041</v>
      </c>
      <c r="Y548" s="423" t="s">
        <v>1041</v>
      </c>
      <c r="Z548" s="423" t="s">
        <v>1041</v>
      </c>
      <c r="AD548" s="423">
        <f>IF(ISNUMBER(MATCH(B548,'FICHA SOLIC'!$AB$26:$AB$376,0)),1,0)</f>
        <v>1</v>
      </c>
      <c r="AE548" s="423" t="str">
        <f t="shared" si="8"/>
        <v>HuechurabaZE10</v>
      </c>
    </row>
    <row r="549" spans="1:31" x14ac:dyDescent="0.25">
      <c r="A549" s="423">
        <v>548</v>
      </c>
      <c r="B549" s="423" t="s">
        <v>409</v>
      </c>
      <c r="C549" s="423" t="s">
        <v>1342</v>
      </c>
      <c r="D549" s="424" t="s">
        <v>990</v>
      </c>
      <c r="E549" s="425" t="s">
        <v>991</v>
      </c>
      <c r="F549" s="425" t="s">
        <v>992</v>
      </c>
      <c r="G549" s="425" t="s">
        <v>1054</v>
      </c>
      <c r="H549" s="426" t="s">
        <v>699</v>
      </c>
      <c r="I549" s="425" t="s">
        <v>1055</v>
      </c>
      <c r="J549" s="424" t="s">
        <v>697</v>
      </c>
      <c r="K549" s="425" t="s">
        <v>995</v>
      </c>
      <c r="L549" s="425" t="s">
        <v>996</v>
      </c>
      <c r="M549" s="425" t="s">
        <v>997</v>
      </c>
      <c r="N549" s="425" t="s">
        <v>558</v>
      </c>
      <c r="O549" s="424" t="s">
        <v>998</v>
      </c>
      <c r="P549" s="425" t="s">
        <v>999</v>
      </c>
      <c r="Q549" s="425" t="s">
        <v>1000</v>
      </c>
      <c r="R549" s="425" t="s">
        <v>1001</v>
      </c>
      <c r="S549" s="425" t="s">
        <v>1002</v>
      </c>
      <c r="T549" s="423" t="s">
        <v>1612</v>
      </c>
      <c r="U549" s="423" t="s">
        <v>1041</v>
      </c>
      <c r="V549" s="423" t="s">
        <v>1041</v>
      </c>
      <c r="W549" s="423" t="s">
        <v>1041</v>
      </c>
      <c r="X549" s="423" t="s">
        <v>1041</v>
      </c>
      <c r="Y549" s="423" t="s">
        <v>1041</v>
      </c>
      <c r="Z549" s="423" t="s">
        <v>1041</v>
      </c>
      <c r="AD549" s="423">
        <f>IF(ISNUMBER(MATCH(B549,'FICHA SOLIC'!$AB$26:$AB$376,0)),1,0)</f>
        <v>1</v>
      </c>
      <c r="AE549" s="423" t="str">
        <f t="shared" si="8"/>
        <v>HuechurabaZE2</v>
      </c>
    </row>
    <row r="550" spans="1:31" x14ac:dyDescent="0.25">
      <c r="A550" s="423">
        <v>549</v>
      </c>
      <c r="B550" s="423" t="s">
        <v>409</v>
      </c>
      <c r="C550" s="423" t="s">
        <v>1343</v>
      </c>
      <c r="D550" s="424" t="s">
        <v>990</v>
      </c>
      <c r="E550" s="425" t="s">
        <v>991</v>
      </c>
      <c r="F550" s="425" t="s">
        <v>992</v>
      </c>
      <c r="G550" s="425" t="s">
        <v>1054</v>
      </c>
      <c r="H550" s="426" t="s">
        <v>699</v>
      </c>
      <c r="I550" s="425" t="s">
        <v>1055</v>
      </c>
      <c r="J550" s="424" t="s">
        <v>697</v>
      </c>
      <c r="K550" s="425" t="s">
        <v>995</v>
      </c>
      <c r="L550" s="425" t="s">
        <v>996</v>
      </c>
      <c r="M550" s="425" t="s">
        <v>997</v>
      </c>
      <c r="N550" s="425" t="s">
        <v>558</v>
      </c>
      <c r="O550" s="424" t="s">
        <v>998</v>
      </c>
      <c r="P550" s="425" t="s">
        <v>999</v>
      </c>
      <c r="Q550" s="425" t="s">
        <v>1000</v>
      </c>
      <c r="R550" s="425" t="s">
        <v>1001</v>
      </c>
      <c r="S550" s="425" t="s">
        <v>1002</v>
      </c>
      <c r="T550" s="423">
        <v>10000</v>
      </c>
      <c r="U550" s="423" t="s">
        <v>1041</v>
      </c>
      <c r="V550" s="423">
        <v>25</v>
      </c>
      <c r="W550" s="423">
        <v>0.25</v>
      </c>
      <c r="X550" s="423">
        <v>14</v>
      </c>
      <c r="Y550" s="423" t="s">
        <v>1041</v>
      </c>
      <c r="Z550" s="423" t="s">
        <v>1058</v>
      </c>
      <c r="AD550" s="423">
        <f>IF(ISNUMBER(MATCH(B550,'FICHA SOLIC'!$AB$26:$AB$376,0)),1,0)</f>
        <v>1</v>
      </c>
      <c r="AE550" s="423" t="str">
        <f t="shared" si="8"/>
        <v>HuechurabaZE3</v>
      </c>
    </row>
    <row r="551" spans="1:31" x14ac:dyDescent="0.25">
      <c r="A551" s="423">
        <v>550</v>
      </c>
      <c r="B551" s="423" t="s">
        <v>409</v>
      </c>
      <c r="C551" s="423" t="s">
        <v>1344</v>
      </c>
      <c r="D551" s="424" t="s">
        <v>990</v>
      </c>
      <c r="E551" s="425" t="s">
        <v>991</v>
      </c>
      <c r="F551" s="425" t="s">
        <v>992</v>
      </c>
      <c r="G551" s="425" t="s">
        <v>1054</v>
      </c>
      <c r="H551" s="426" t="s">
        <v>699</v>
      </c>
      <c r="I551" s="425" t="s">
        <v>1055</v>
      </c>
      <c r="J551" s="424" t="s">
        <v>697</v>
      </c>
      <c r="K551" s="425" t="s">
        <v>995</v>
      </c>
      <c r="L551" s="425" t="s">
        <v>996</v>
      </c>
      <c r="M551" s="425" t="s">
        <v>997</v>
      </c>
      <c r="N551" s="425" t="s">
        <v>558</v>
      </c>
      <c r="O551" s="424" t="s">
        <v>998</v>
      </c>
      <c r="P551" s="425" t="s">
        <v>999</v>
      </c>
      <c r="Q551" s="425" t="s">
        <v>1000</v>
      </c>
      <c r="R551" s="425" t="s">
        <v>1001</v>
      </c>
      <c r="S551" s="425" t="s">
        <v>1002</v>
      </c>
      <c r="T551" s="423" t="s">
        <v>1025</v>
      </c>
      <c r="U551" s="423" t="s">
        <v>1041</v>
      </c>
      <c r="V551" s="423">
        <v>20</v>
      </c>
      <c r="W551" s="423">
        <v>0.2</v>
      </c>
      <c r="X551" s="423">
        <v>10.5</v>
      </c>
      <c r="Y551" s="423" t="s">
        <v>1041</v>
      </c>
      <c r="Z551" s="423" t="s">
        <v>1058</v>
      </c>
      <c r="AD551" s="423">
        <f>IF(ISNUMBER(MATCH(B551,'FICHA SOLIC'!$AB$26:$AB$376,0)),1,0)</f>
        <v>1</v>
      </c>
      <c r="AE551" s="423" t="str">
        <f t="shared" si="8"/>
        <v>HuechurabaZE4</v>
      </c>
    </row>
    <row r="552" spans="1:31" x14ac:dyDescent="0.25">
      <c r="A552" s="423">
        <v>551</v>
      </c>
      <c r="B552" s="423" t="s">
        <v>409</v>
      </c>
      <c r="C552" s="423" t="s">
        <v>1345</v>
      </c>
      <c r="D552" s="424" t="s">
        <v>990</v>
      </c>
      <c r="E552" s="425" t="s">
        <v>991</v>
      </c>
      <c r="F552" s="425" t="s">
        <v>992</v>
      </c>
      <c r="G552" s="425" t="s">
        <v>1054</v>
      </c>
      <c r="H552" s="426" t="s">
        <v>699</v>
      </c>
      <c r="I552" s="425" t="s">
        <v>1055</v>
      </c>
      <c r="J552" s="424" t="s">
        <v>697</v>
      </c>
      <c r="K552" s="425" t="s">
        <v>995</v>
      </c>
      <c r="L552" s="425" t="s">
        <v>996</v>
      </c>
      <c r="M552" s="425" t="s">
        <v>997</v>
      </c>
      <c r="N552" s="425" t="s">
        <v>558</v>
      </c>
      <c r="O552" s="424" t="s">
        <v>998</v>
      </c>
      <c r="P552" s="425" t="s">
        <v>999</v>
      </c>
      <c r="Q552" s="425" t="s">
        <v>1000</v>
      </c>
      <c r="R552" s="425" t="s">
        <v>1001</v>
      </c>
      <c r="S552" s="425" t="s">
        <v>1002</v>
      </c>
      <c r="T552" s="423" t="s">
        <v>1025</v>
      </c>
      <c r="U552" s="423" t="s">
        <v>1041</v>
      </c>
      <c r="V552" s="423">
        <v>5</v>
      </c>
      <c r="W552" s="423">
        <v>0.05</v>
      </c>
      <c r="X552" s="423" t="s">
        <v>1041</v>
      </c>
      <c r="Y552" s="423" t="s">
        <v>1041</v>
      </c>
      <c r="Z552" s="423" t="s">
        <v>1041</v>
      </c>
      <c r="AD552" s="423">
        <f>IF(ISNUMBER(MATCH(B552,'FICHA SOLIC'!$AB$26:$AB$376,0)),1,0)</f>
        <v>1</v>
      </c>
      <c r="AE552" s="423" t="str">
        <f t="shared" si="8"/>
        <v>HuechurabaZE5</v>
      </c>
    </row>
    <row r="553" spans="1:31" x14ac:dyDescent="0.25">
      <c r="A553" s="423">
        <v>552</v>
      </c>
      <c r="B553" s="423" t="s">
        <v>409</v>
      </c>
      <c r="C553" s="423" t="s">
        <v>1346</v>
      </c>
      <c r="D553" s="424" t="s">
        <v>990</v>
      </c>
      <c r="E553" s="425" t="s">
        <v>991</v>
      </c>
      <c r="F553" s="425" t="s">
        <v>992</v>
      </c>
      <c r="G553" s="425" t="s">
        <v>1054</v>
      </c>
      <c r="H553" s="426" t="s">
        <v>699</v>
      </c>
      <c r="I553" s="425" t="s">
        <v>1055</v>
      </c>
      <c r="J553" s="424" t="s">
        <v>697</v>
      </c>
      <c r="K553" s="425" t="s">
        <v>995</v>
      </c>
      <c r="L553" s="425" t="s">
        <v>996</v>
      </c>
      <c r="M553" s="425" t="s">
        <v>997</v>
      </c>
      <c r="N553" s="425" t="s">
        <v>558</v>
      </c>
      <c r="O553" s="424" t="s">
        <v>998</v>
      </c>
      <c r="P553" s="425" t="s">
        <v>999</v>
      </c>
      <c r="Q553" s="425" t="s">
        <v>1000</v>
      </c>
      <c r="R553" s="425" t="s">
        <v>1001</v>
      </c>
      <c r="S553" s="425" t="s">
        <v>1002</v>
      </c>
      <c r="T553" s="423" t="s">
        <v>1613</v>
      </c>
      <c r="U553" s="423" t="s">
        <v>1041</v>
      </c>
      <c r="V553" s="423" t="s">
        <v>1041</v>
      </c>
      <c r="W553" s="423" t="s">
        <v>1041</v>
      </c>
      <c r="X553" s="423" t="s">
        <v>1041</v>
      </c>
      <c r="Y553" s="423" t="s">
        <v>1041</v>
      </c>
      <c r="Z553" s="423" t="s">
        <v>1041</v>
      </c>
      <c r="AD553" s="423">
        <f>IF(ISNUMBER(MATCH(B553,'FICHA SOLIC'!$AB$26:$AB$376,0)),1,0)</f>
        <v>1</v>
      </c>
      <c r="AE553" s="423" t="str">
        <f t="shared" si="8"/>
        <v>HuechurabaZE6</v>
      </c>
    </row>
    <row r="554" spans="1:31" x14ac:dyDescent="0.25">
      <c r="A554" s="423">
        <v>553</v>
      </c>
      <c r="B554" s="423" t="s">
        <v>409</v>
      </c>
      <c r="C554" s="423" t="s">
        <v>1347</v>
      </c>
      <c r="D554" s="424" t="s">
        <v>990</v>
      </c>
      <c r="E554" s="425" t="s">
        <v>991</v>
      </c>
      <c r="F554" s="425" t="s">
        <v>992</v>
      </c>
      <c r="G554" s="425" t="s">
        <v>1054</v>
      </c>
      <c r="H554" s="426" t="s">
        <v>699</v>
      </c>
      <c r="I554" s="425" t="s">
        <v>1055</v>
      </c>
      <c r="J554" s="424" t="s">
        <v>697</v>
      </c>
      <c r="K554" s="425" t="s">
        <v>995</v>
      </c>
      <c r="L554" s="425" t="s">
        <v>996</v>
      </c>
      <c r="M554" s="425" t="s">
        <v>997</v>
      </c>
      <c r="N554" s="425" t="s">
        <v>558</v>
      </c>
      <c r="O554" s="424" t="s">
        <v>998</v>
      </c>
      <c r="P554" s="425" t="s">
        <v>999</v>
      </c>
      <c r="Q554" s="425" t="s">
        <v>1000</v>
      </c>
      <c r="R554" s="425" t="s">
        <v>1001</v>
      </c>
      <c r="S554" s="425" t="s">
        <v>1002</v>
      </c>
      <c r="T554" s="423">
        <v>10000</v>
      </c>
      <c r="U554" s="423" t="s">
        <v>1041</v>
      </c>
      <c r="V554" s="423">
        <v>20</v>
      </c>
      <c r="W554" s="423">
        <v>0.2</v>
      </c>
      <c r="X554" s="423">
        <v>10.5</v>
      </c>
      <c r="Y554" s="423" t="s">
        <v>1041</v>
      </c>
      <c r="Z554" s="423" t="s">
        <v>1058</v>
      </c>
      <c r="AD554" s="423">
        <f>IF(ISNUMBER(MATCH(B554,'FICHA SOLIC'!$AB$26:$AB$376,0)),1,0)</f>
        <v>1</v>
      </c>
      <c r="AE554" s="423" t="str">
        <f t="shared" si="8"/>
        <v>HuechurabaZE7</v>
      </c>
    </row>
    <row r="555" spans="1:31" x14ac:dyDescent="0.25">
      <c r="A555" s="423">
        <v>554</v>
      </c>
      <c r="B555" s="423" t="s">
        <v>409</v>
      </c>
      <c r="C555" s="423" t="s">
        <v>1606</v>
      </c>
      <c r="D555" s="424" t="s">
        <v>990</v>
      </c>
      <c r="E555" s="425" t="s">
        <v>991</v>
      </c>
      <c r="F555" s="425" t="s">
        <v>992</v>
      </c>
      <c r="G555" s="425" t="s">
        <v>1054</v>
      </c>
      <c r="H555" s="426" t="s">
        <v>699</v>
      </c>
      <c r="I555" s="425" t="s">
        <v>1055</v>
      </c>
      <c r="J555" s="424" t="s">
        <v>697</v>
      </c>
      <c r="K555" s="425" t="s">
        <v>995</v>
      </c>
      <c r="L555" s="425" t="s">
        <v>996</v>
      </c>
      <c r="M555" s="425" t="s">
        <v>997</v>
      </c>
      <c r="N555" s="425" t="s">
        <v>558</v>
      </c>
      <c r="O555" s="424" t="s">
        <v>998</v>
      </c>
      <c r="P555" s="425" t="s">
        <v>999</v>
      </c>
      <c r="Q555" s="425" t="s">
        <v>1000</v>
      </c>
      <c r="R555" s="425" t="s">
        <v>1001</v>
      </c>
      <c r="S555" s="425" t="s">
        <v>1002</v>
      </c>
      <c r="T555" s="423" t="s">
        <v>1025</v>
      </c>
      <c r="U555" s="423" t="s">
        <v>1041</v>
      </c>
      <c r="V555" s="423">
        <v>10</v>
      </c>
      <c r="W555" s="423" t="s">
        <v>1041</v>
      </c>
      <c r="X555" s="423" t="s">
        <v>1041</v>
      </c>
      <c r="Y555" s="423" t="s">
        <v>1041</v>
      </c>
      <c r="Z555" s="423" t="s">
        <v>1041</v>
      </c>
      <c r="AD555" s="423">
        <f>IF(ISNUMBER(MATCH(B555,'FICHA SOLIC'!$AB$26:$AB$376,0)),1,0)</f>
        <v>1</v>
      </c>
      <c r="AE555" s="423" t="str">
        <f t="shared" si="8"/>
        <v>HuechurabaZE8</v>
      </c>
    </row>
    <row r="556" spans="1:31" x14ac:dyDescent="0.25">
      <c r="A556" s="423">
        <v>555</v>
      </c>
      <c r="B556" s="423" t="s">
        <v>409</v>
      </c>
      <c r="C556" s="423" t="s">
        <v>1607</v>
      </c>
      <c r="D556" s="424" t="s">
        <v>990</v>
      </c>
      <c r="E556" s="425" t="s">
        <v>991</v>
      </c>
      <c r="F556" s="425" t="s">
        <v>992</v>
      </c>
      <c r="G556" s="425" t="s">
        <v>1054</v>
      </c>
      <c r="H556" s="426" t="s">
        <v>699</v>
      </c>
      <c r="I556" s="425" t="s">
        <v>1055</v>
      </c>
      <c r="J556" s="424" t="s">
        <v>697</v>
      </c>
      <c r="K556" s="425" t="s">
        <v>995</v>
      </c>
      <c r="L556" s="425" t="s">
        <v>996</v>
      </c>
      <c r="M556" s="425" t="s">
        <v>997</v>
      </c>
      <c r="N556" s="425" t="s">
        <v>558</v>
      </c>
      <c r="O556" s="424" t="s">
        <v>998</v>
      </c>
      <c r="P556" s="425" t="s">
        <v>999</v>
      </c>
      <c r="Q556" s="425" t="s">
        <v>1000</v>
      </c>
      <c r="R556" s="425" t="s">
        <v>1001</v>
      </c>
      <c r="S556" s="425" t="s">
        <v>1002</v>
      </c>
      <c r="T556" s="423" t="s">
        <v>1614</v>
      </c>
      <c r="U556" s="423" t="s">
        <v>1097</v>
      </c>
      <c r="V556" s="423" t="s">
        <v>1097</v>
      </c>
      <c r="W556" s="423" t="s">
        <v>1097</v>
      </c>
      <c r="X556" s="423" t="s">
        <v>1097</v>
      </c>
      <c r="Y556" s="423" t="s">
        <v>1097</v>
      </c>
      <c r="Z556" s="423" t="s">
        <v>1097</v>
      </c>
      <c r="AD556" s="423">
        <f>IF(ISNUMBER(MATCH(B556,'FICHA SOLIC'!$AB$26:$AB$376,0)),1,0)</f>
        <v>1</v>
      </c>
      <c r="AE556" s="423" t="str">
        <f t="shared" si="8"/>
        <v>HuechurabaZE9</v>
      </c>
    </row>
    <row r="557" spans="1:31" x14ac:dyDescent="0.25">
      <c r="A557" s="423">
        <v>556</v>
      </c>
      <c r="B557" s="423" t="s">
        <v>409</v>
      </c>
      <c r="C557" s="423" t="s">
        <v>1597</v>
      </c>
      <c r="D557" s="424" t="s">
        <v>990</v>
      </c>
      <c r="E557" s="425" t="s">
        <v>991</v>
      </c>
      <c r="F557" s="425" t="s">
        <v>992</v>
      </c>
      <c r="G557" s="425" t="s">
        <v>1054</v>
      </c>
      <c r="H557" s="426" t="s">
        <v>699</v>
      </c>
      <c r="I557" s="425" t="s">
        <v>1055</v>
      </c>
      <c r="J557" s="424" t="s">
        <v>697</v>
      </c>
      <c r="K557" s="425" t="s">
        <v>995</v>
      </c>
      <c r="L557" s="425" t="s">
        <v>996</v>
      </c>
      <c r="M557" s="425" t="s">
        <v>997</v>
      </c>
      <c r="N557" s="425" t="s">
        <v>558</v>
      </c>
      <c r="O557" s="424" t="s">
        <v>998</v>
      </c>
      <c r="P557" s="425" t="s">
        <v>999</v>
      </c>
      <c r="Q557" s="425" t="s">
        <v>1000</v>
      </c>
      <c r="R557" s="425" t="s">
        <v>1001</v>
      </c>
      <c r="S557" s="425" t="s">
        <v>1002</v>
      </c>
      <c r="T557" s="423">
        <v>160</v>
      </c>
      <c r="U557" s="423" t="s">
        <v>1041</v>
      </c>
      <c r="V557" s="423">
        <v>70</v>
      </c>
      <c r="W557" s="423">
        <v>1.4</v>
      </c>
      <c r="X557" s="423">
        <v>10.5</v>
      </c>
      <c r="Y557" s="423" t="s">
        <v>1041</v>
      </c>
      <c r="Z557" s="423" t="s">
        <v>1059</v>
      </c>
      <c r="AD557" s="423">
        <f>IF(ISNUMBER(MATCH(B557,'FICHA SOLIC'!$AB$26:$AB$376,0)),1,0)</f>
        <v>1</v>
      </c>
      <c r="AE557" s="423" t="str">
        <f t="shared" si="8"/>
        <v>HuechurabaZH1</v>
      </c>
    </row>
    <row r="558" spans="1:31" x14ac:dyDescent="0.25">
      <c r="A558" s="423">
        <v>557</v>
      </c>
      <c r="B558" s="423" t="s">
        <v>409</v>
      </c>
      <c r="C558" s="423" t="s">
        <v>1598</v>
      </c>
      <c r="D558" s="424" t="s">
        <v>990</v>
      </c>
      <c r="E558" s="425" t="s">
        <v>991</v>
      </c>
      <c r="F558" s="425" t="s">
        <v>992</v>
      </c>
      <c r="G558" s="425" t="s">
        <v>1054</v>
      </c>
      <c r="H558" s="426" t="s">
        <v>699</v>
      </c>
      <c r="I558" s="425" t="s">
        <v>1055</v>
      </c>
      <c r="J558" s="424" t="s">
        <v>697</v>
      </c>
      <c r="K558" s="425" t="s">
        <v>995</v>
      </c>
      <c r="L558" s="425" t="s">
        <v>996</v>
      </c>
      <c r="M558" s="425" t="s">
        <v>997</v>
      </c>
      <c r="N558" s="425" t="s">
        <v>558</v>
      </c>
      <c r="O558" s="424" t="s">
        <v>998</v>
      </c>
      <c r="P558" s="425" t="s">
        <v>999</v>
      </c>
      <c r="Q558" s="425" t="s">
        <v>1000</v>
      </c>
      <c r="R558" s="425" t="s">
        <v>1001</v>
      </c>
      <c r="S558" s="425" t="s">
        <v>1002</v>
      </c>
      <c r="T558" s="423">
        <v>160</v>
      </c>
      <c r="U558" s="423" t="s">
        <v>1041</v>
      </c>
      <c r="V558" s="423">
        <v>50</v>
      </c>
      <c r="W558" s="423">
        <v>1</v>
      </c>
      <c r="X558" s="423">
        <v>10.5</v>
      </c>
      <c r="Y558" s="423" t="s">
        <v>1041</v>
      </c>
      <c r="Z558" s="423" t="s">
        <v>1057</v>
      </c>
      <c r="AD558" s="423">
        <f>IF(ISNUMBER(MATCH(B558,'FICHA SOLIC'!$AB$26:$AB$376,0)),1,0)</f>
        <v>1</v>
      </c>
      <c r="AE558" s="423" t="str">
        <f t="shared" si="8"/>
        <v>HuechurabaZH2</v>
      </c>
    </row>
    <row r="559" spans="1:31" x14ac:dyDescent="0.25">
      <c r="A559" s="423">
        <v>558</v>
      </c>
      <c r="B559" s="423" t="s">
        <v>409</v>
      </c>
      <c r="C559" s="423" t="s">
        <v>1599</v>
      </c>
      <c r="D559" s="424" t="s">
        <v>990</v>
      </c>
      <c r="E559" s="425" t="s">
        <v>991</v>
      </c>
      <c r="F559" s="425" t="s">
        <v>992</v>
      </c>
      <c r="G559" s="425" t="s">
        <v>1054</v>
      </c>
      <c r="H559" s="426" t="s">
        <v>699</v>
      </c>
      <c r="I559" s="425" t="s">
        <v>1055</v>
      </c>
      <c r="J559" s="424" t="s">
        <v>697</v>
      </c>
      <c r="K559" s="425" t="s">
        <v>995</v>
      </c>
      <c r="L559" s="425" t="s">
        <v>996</v>
      </c>
      <c r="M559" s="425" t="s">
        <v>997</v>
      </c>
      <c r="N559" s="425" t="s">
        <v>558</v>
      </c>
      <c r="O559" s="424" t="s">
        <v>998</v>
      </c>
      <c r="P559" s="425" t="s">
        <v>999</v>
      </c>
      <c r="Q559" s="425" t="s">
        <v>1000</v>
      </c>
      <c r="R559" s="425" t="s">
        <v>1001</v>
      </c>
      <c r="S559" s="425" t="s">
        <v>1002</v>
      </c>
      <c r="T559" s="423">
        <v>200</v>
      </c>
      <c r="U559" s="423" t="s">
        <v>1041</v>
      </c>
      <c r="V559" s="423">
        <v>60</v>
      </c>
      <c r="W559" s="423">
        <v>1.2</v>
      </c>
      <c r="X559" s="423">
        <v>10.5</v>
      </c>
      <c r="Y559" s="423" t="s">
        <v>1041</v>
      </c>
      <c r="Z559" s="423" t="s">
        <v>1057</v>
      </c>
      <c r="AD559" s="423">
        <f>IF(ISNUMBER(MATCH(B559,'FICHA SOLIC'!$AB$26:$AB$376,0)),1,0)</f>
        <v>1</v>
      </c>
      <c r="AE559" s="423" t="str">
        <f t="shared" si="8"/>
        <v>HuechurabaZH3</v>
      </c>
    </row>
    <row r="560" spans="1:31" x14ac:dyDescent="0.25">
      <c r="A560" s="423">
        <v>559</v>
      </c>
      <c r="B560" s="423" t="s">
        <v>409</v>
      </c>
      <c r="C560" s="423" t="s">
        <v>1600</v>
      </c>
      <c r="D560" s="424" t="s">
        <v>990</v>
      </c>
      <c r="E560" s="425" t="s">
        <v>991</v>
      </c>
      <c r="F560" s="425" t="s">
        <v>992</v>
      </c>
      <c r="G560" s="425" t="s">
        <v>1054</v>
      </c>
      <c r="H560" s="426" t="s">
        <v>699</v>
      </c>
      <c r="I560" s="425" t="s">
        <v>1055</v>
      </c>
      <c r="J560" s="424" t="s">
        <v>697</v>
      </c>
      <c r="K560" s="425" t="s">
        <v>995</v>
      </c>
      <c r="L560" s="425" t="s">
        <v>996</v>
      </c>
      <c r="M560" s="425" t="s">
        <v>997</v>
      </c>
      <c r="N560" s="425" t="s">
        <v>558</v>
      </c>
      <c r="O560" s="424" t="s">
        <v>998</v>
      </c>
      <c r="P560" s="425" t="s">
        <v>999</v>
      </c>
      <c r="Q560" s="425" t="s">
        <v>1000</v>
      </c>
      <c r="R560" s="425" t="s">
        <v>1001</v>
      </c>
      <c r="S560" s="425" t="s">
        <v>1002</v>
      </c>
      <c r="T560" s="423">
        <v>4000</v>
      </c>
      <c r="U560" s="423" t="s">
        <v>1041</v>
      </c>
      <c r="V560" s="423">
        <v>20</v>
      </c>
      <c r="W560" s="423">
        <v>2.2000000000000002</v>
      </c>
      <c r="X560" s="423">
        <v>42</v>
      </c>
      <c r="Y560" s="423" t="s">
        <v>1041</v>
      </c>
      <c r="Z560" s="423" t="s">
        <v>1058</v>
      </c>
      <c r="AD560" s="423">
        <f>IF(ISNUMBER(MATCH(B560,'FICHA SOLIC'!$AB$26:$AB$376,0)),1,0)</f>
        <v>1</v>
      </c>
      <c r="AE560" s="423" t="str">
        <f t="shared" si="8"/>
        <v>HuechurabaZH4</v>
      </c>
    </row>
    <row r="561" spans="1:31" x14ac:dyDescent="0.25">
      <c r="A561" s="423">
        <v>560</v>
      </c>
      <c r="B561" s="423" t="s">
        <v>409</v>
      </c>
      <c r="C561" s="423" t="s">
        <v>1601</v>
      </c>
      <c r="D561" s="424" t="s">
        <v>990</v>
      </c>
      <c r="E561" s="425" t="s">
        <v>991</v>
      </c>
      <c r="F561" s="425" t="s">
        <v>992</v>
      </c>
      <c r="G561" s="425" t="s">
        <v>1054</v>
      </c>
      <c r="H561" s="426" t="s">
        <v>699</v>
      </c>
      <c r="I561" s="425" t="s">
        <v>1055</v>
      </c>
      <c r="J561" s="424" t="s">
        <v>697</v>
      </c>
      <c r="K561" s="425" t="s">
        <v>995</v>
      </c>
      <c r="L561" s="425" t="s">
        <v>996</v>
      </c>
      <c r="M561" s="425" t="s">
        <v>997</v>
      </c>
      <c r="N561" s="425" t="s">
        <v>558</v>
      </c>
      <c r="O561" s="424" t="s">
        <v>998</v>
      </c>
      <c r="P561" s="425" t="s">
        <v>999</v>
      </c>
      <c r="Q561" s="425" t="s">
        <v>1000</v>
      </c>
      <c r="R561" s="425" t="s">
        <v>1001</v>
      </c>
      <c r="S561" s="425" t="s">
        <v>1002</v>
      </c>
      <c r="T561" s="423">
        <v>800</v>
      </c>
      <c r="U561" s="423" t="s">
        <v>1041</v>
      </c>
      <c r="V561" s="423">
        <v>30</v>
      </c>
      <c r="W561" s="423">
        <v>0.3</v>
      </c>
      <c r="X561" s="423">
        <v>10.5</v>
      </c>
      <c r="Y561" s="423" t="s">
        <v>1041</v>
      </c>
      <c r="Z561" s="423" t="s">
        <v>1057</v>
      </c>
      <c r="AD561" s="423">
        <f>IF(ISNUMBER(MATCH(B561,'FICHA SOLIC'!$AB$26:$AB$376,0)),1,0)</f>
        <v>1</v>
      </c>
      <c r="AE561" s="423" t="str">
        <f t="shared" si="8"/>
        <v>HuechurabaZH5</v>
      </c>
    </row>
    <row r="562" spans="1:31" x14ac:dyDescent="0.25">
      <c r="A562" s="423">
        <v>561</v>
      </c>
      <c r="B562" s="423" t="s">
        <v>409</v>
      </c>
      <c r="C562" s="423" t="s">
        <v>1602</v>
      </c>
      <c r="D562" s="424" t="s">
        <v>990</v>
      </c>
      <c r="E562" s="425" t="s">
        <v>991</v>
      </c>
      <c r="F562" s="425" t="s">
        <v>992</v>
      </c>
      <c r="G562" s="425" t="s">
        <v>1054</v>
      </c>
      <c r="H562" s="426" t="s">
        <v>699</v>
      </c>
      <c r="I562" s="425" t="s">
        <v>1055</v>
      </c>
      <c r="J562" s="424" t="s">
        <v>697</v>
      </c>
      <c r="K562" s="425" t="s">
        <v>995</v>
      </c>
      <c r="L562" s="425" t="s">
        <v>996</v>
      </c>
      <c r="M562" s="425" t="s">
        <v>997</v>
      </c>
      <c r="N562" s="425" t="s">
        <v>558</v>
      </c>
      <c r="O562" s="424" t="s">
        <v>998</v>
      </c>
      <c r="P562" s="425" t="s">
        <v>999</v>
      </c>
      <c r="Q562" s="425" t="s">
        <v>1000</v>
      </c>
      <c r="R562" s="425" t="s">
        <v>1001</v>
      </c>
      <c r="S562" s="425" t="s">
        <v>1002</v>
      </c>
      <c r="T562" s="423">
        <v>500</v>
      </c>
      <c r="U562" s="423" t="s">
        <v>1041</v>
      </c>
      <c r="V562" s="423">
        <v>50</v>
      </c>
      <c r="W562" s="423">
        <v>0.8</v>
      </c>
      <c r="X562" s="423">
        <v>10.5</v>
      </c>
      <c r="Y562" s="423" t="s">
        <v>1041</v>
      </c>
      <c r="Z562" s="423" t="s">
        <v>1057</v>
      </c>
      <c r="AD562" s="423">
        <f>IF(ISNUMBER(MATCH(B562,'FICHA SOLIC'!$AB$26:$AB$376,0)),1,0)</f>
        <v>1</v>
      </c>
      <c r="AE562" s="423" t="str">
        <f t="shared" si="8"/>
        <v>HuechurabaZH6</v>
      </c>
    </row>
    <row r="563" spans="1:31" x14ac:dyDescent="0.25">
      <c r="A563" s="423">
        <v>562</v>
      </c>
      <c r="B563" s="423" t="s">
        <v>409</v>
      </c>
      <c r="C563" s="423" t="s">
        <v>1603</v>
      </c>
      <c r="D563" s="424" t="s">
        <v>990</v>
      </c>
      <c r="E563" s="425" t="s">
        <v>991</v>
      </c>
      <c r="F563" s="425" t="s">
        <v>992</v>
      </c>
      <c r="G563" s="425" t="s">
        <v>1054</v>
      </c>
      <c r="H563" s="426" t="s">
        <v>699</v>
      </c>
      <c r="I563" s="425" t="s">
        <v>1055</v>
      </c>
      <c r="J563" s="424" t="s">
        <v>697</v>
      </c>
      <c r="K563" s="425" t="s">
        <v>995</v>
      </c>
      <c r="L563" s="425" t="s">
        <v>996</v>
      </c>
      <c r="M563" s="425" t="s">
        <v>997</v>
      </c>
      <c r="N563" s="425" t="s">
        <v>558</v>
      </c>
      <c r="O563" s="424" t="s">
        <v>998</v>
      </c>
      <c r="P563" s="425" t="s">
        <v>999</v>
      </c>
      <c r="Q563" s="425" t="s">
        <v>1000</v>
      </c>
      <c r="R563" s="425" t="s">
        <v>1001</v>
      </c>
      <c r="S563" s="425" t="s">
        <v>1002</v>
      </c>
      <c r="T563" s="423">
        <v>2000</v>
      </c>
      <c r="U563" s="423" t="s">
        <v>1041</v>
      </c>
      <c r="V563" s="423">
        <v>30</v>
      </c>
      <c r="W563" s="423">
        <v>2</v>
      </c>
      <c r="X563" s="423" t="s">
        <v>1041</v>
      </c>
      <c r="Y563" s="423" t="s">
        <v>1041</v>
      </c>
      <c r="Z563" s="423" t="s">
        <v>1058</v>
      </c>
      <c r="AD563" s="423">
        <f>IF(ISNUMBER(MATCH(B563,'FICHA SOLIC'!$AB$26:$AB$376,0)),1,0)</f>
        <v>1</v>
      </c>
      <c r="AE563" s="423" t="str">
        <f t="shared" si="8"/>
        <v>HuechurabaZH7</v>
      </c>
    </row>
    <row r="564" spans="1:31" x14ac:dyDescent="0.25">
      <c r="A564" s="423">
        <v>563</v>
      </c>
      <c r="B564" s="423" t="s">
        <v>409</v>
      </c>
      <c r="C564" s="423" t="s">
        <v>1604</v>
      </c>
      <c r="D564" s="424" t="s">
        <v>990</v>
      </c>
      <c r="E564" s="425" t="s">
        <v>991</v>
      </c>
      <c r="F564" s="425" t="s">
        <v>992</v>
      </c>
      <c r="G564" s="425" t="s">
        <v>1054</v>
      </c>
      <c r="H564" s="426" t="s">
        <v>699</v>
      </c>
      <c r="I564" s="425" t="s">
        <v>1055</v>
      </c>
      <c r="J564" s="424" t="s">
        <v>697</v>
      </c>
      <c r="K564" s="425" t="s">
        <v>995</v>
      </c>
      <c r="L564" s="425" t="s">
        <v>996</v>
      </c>
      <c r="M564" s="425" t="s">
        <v>997</v>
      </c>
      <c r="N564" s="425" t="s">
        <v>558</v>
      </c>
      <c r="O564" s="424" t="s">
        <v>998</v>
      </c>
      <c r="P564" s="425" t="s">
        <v>999</v>
      </c>
      <c r="Q564" s="425" t="s">
        <v>1000</v>
      </c>
      <c r="R564" s="425" t="s">
        <v>1001</v>
      </c>
      <c r="S564" s="425" t="s">
        <v>1002</v>
      </c>
      <c r="T564" s="423">
        <v>2000</v>
      </c>
      <c r="U564" s="423" t="s">
        <v>1041</v>
      </c>
      <c r="V564" s="423">
        <v>30</v>
      </c>
      <c r="W564" s="423">
        <v>1.8</v>
      </c>
      <c r="X564" s="423">
        <v>21</v>
      </c>
      <c r="Y564" s="423" t="s">
        <v>1041</v>
      </c>
      <c r="Z564" s="423" t="s">
        <v>1058</v>
      </c>
      <c r="AD564" s="423">
        <f>IF(ISNUMBER(MATCH(B564,'FICHA SOLIC'!$AB$26:$AB$376,0)),1,0)</f>
        <v>1</v>
      </c>
      <c r="AE564" s="423" t="str">
        <f t="shared" si="8"/>
        <v>HuechurabaZH8</v>
      </c>
    </row>
    <row r="565" spans="1:31" x14ac:dyDescent="0.25">
      <c r="A565" s="423">
        <v>564</v>
      </c>
      <c r="B565" s="423" t="s">
        <v>409</v>
      </c>
      <c r="C565" s="423" t="s">
        <v>1605</v>
      </c>
      <c r="D565" s="424" t="s">
        <v>990</v>
      </c>
      <c r="E565" s="425" t="s">
        <v>991</v>
      </c>
      <c r="F565" s="425" t="s">
        <v>992</v>
      </c>
      <c r="G565" s="425" t="s">
        <v>1054</v>
      </c>
      <c r="H565" s="426" t="s">
        <v>699</v>
      </c>
      <c r="I565" s="425" t="s">
        <v>1055</v>
      </c>
      <c r="J565" s="424" t="s">
        <v>697</v>
      </c>
      <c r="K565" s="425" t="s">
        <v>995</v>
      </c>
      <c r="L565" s="425" t="s">
        <v>996</v>
      </c>
      <c r="M565" s="425" t="s">
        <v>997</v>
      </c>
      <c r="N565" s="425" t="s">
        <v>558</v>
      </c>
      <c r="O565" s="424" t="s">
        <v>998</v>
      </c>
      <c r="P565" s="425" t="s">
        <v>999</v>
      </c>
      <c r="Q565" s="425" t="s">
        <v>1000</v>
      </c>
      <c r="R565" s="425" t="s">
        <v>1001</v>
      </c>
      <c r="S565" s="425" t="s">
        <v>1002</v>
      </c>
      <c r="T565" s="423">
        <v>2000</v>
      </c>
      <c r="U565" s="423" t="s">
        <v>1041</v>
      </c>
      <c r="V565" s="423">
        <v>20</v>
      </c>
      <c r="W565" s="423">
        <v>0.2</v>
      </c>
      <c r="X565" s="423" t="s">
        <v>1041</v>
      </c>
      <c r="Y565" s="423" t="s">
        <v>1041</v>
      </c>
      <c r="Z565" s="423" t="s">
        <v>1058</v>
      </c>
      <c r="AD565" s="423">
        <f>IF(ISNUMBER(MATCH(B565,'FICHA SOLIC'!$AB$26:$AB$376,0)),1,0)</f>
        <v>1</v>
      </c>
      <c r="AE565" s="423" t="str">
        <f t="shared" si="8"/>
        <v>HuechurabaZH9</v>
      </c>
    </row>
    <row r="566" spans="1:31" x14ac:dyDescent="0.25">
      <c r="A566" s="423">
        <v>565</v>
      </c>
      <c r="B566" s="423" t="s">
        <v>409</v>
      </c>
      <c r="C566" s="423" t="s">
        <v>1339</v>
      </c>
      <c r="D566" s="424" t="s">
        <v>990</v>
      </c>
      <c r="E566" s="425" t="s">
        <v>991</v>
      </c>
      <c r="F566" s="425" t="s">
        <v>992</v>
      </c>
      <c r="G566" s="425" t="s">
        <v>1054</v>
      </c>
      <c r="H566" s="426" t="s">
        <v>699</v>
      </c>
      <c r="I566" s="425" t="s">
        <v>1055</v>
      </c>
      <c r="J566" s="424" t="s">
        <v>697</v>
      </c>
      <c r="K566" s="425" t="s">
        <v>995</v>
      </c>
      <c r="L566" s="425" t="s">
        <v>996</v>
      </c>
      <c r="M566" s="425" t="s">
        <v>997</v>
      </c>
      <c r="N566" s="425" t="s">
        <v>558</v>
      </c>
      <c r="O566" s="424" t="s">
        <v>998</v>
      </c>
      <c r="P566" s="425" t="s">
        <v>999</v>
      </c>
      <c r="Q566" s="425" t="s">
        <v>1000</v>
      </c>
      <c r="R566" s="425" t="s">
        <v>1001</v>
      </c>
      <c r="S566" s="425" t="s">
        <v>1002</v>
      </c>
      <c r="T566" s="423">
        <v>1500</v>
      </c>
      <c r="U566" s="423" t="s">
        <v>1041</v>
      </c>
      <c r="V566" s="423">
        <v>50</v>
      </c>
      <c r="W566" s="423">
        <v>1.2</v>
      </c>
      <c r="X566" s="423" t="s">
        <v>1041</v>
      </c>
      <c r="Y566" s="423" t="s">
        <v>1041</v>
      </c>
      <c r="Z566" s="423" t="s">
        <v>1058</v>
      </c>
      <c r="AD566" s="423">
        <f>IF(ISNUMBER(MATCH(B566,'FICHA SOLIC'!$AB$26:$AB$376,0)),1,0)</f>
        <v>1</v>
      </c>
      <c r="AE566" s="423" t="str">
        <f t="shared" si="8"/>
        <v>HuechurabaZI1</v>
      </c>
    </row>
    <row r="567" spans="1:31" x14ac:dyDescent="0.25">
      <c r="A567" s="423">
        <v>566</v>
      </c>
      <c r="B567" s="423" t="s">
        <v>409</v>
      </c>
      <c r="C567" s="423" t="s">
        <v>1340</v>
      </c>
      <c r="D567" s="424" t="s">
        <v>990</v>
      </c>
      <c r="E567" s="425" t="s">
        <v>991</v>
      </c>
      <c r="F567" s="425" t="s">
        <v>992</v>
      </c>
      <c r="G567" s="425" t="s">
        <v>1054</v>
      </c>
      <c r="H567" s="426" t="s">
        <v>699</v>
      </c>
      <c r="I567" s="425" t="s">
        <v>1055</v>
      </c>
      <c r="J567" s="424" t="s">
        <v>697</v>
      </c>
      <c r="K567" s="425" t="s">
        <v>995</v>
      </c>
      <c r="L567" s="425" t="s">
        <v>996</v>
      </c>
      <c r="M567" s="425" t="s">
        <v>997</v>
      </c>
      <c r="N567" s="425" t="s">
        <v>558</v>
      </c>
      <c r="O567" s="424" t="s">
        <v>998</v>
      </c>
      <c r="P567" s="425" t="s">
        <v>999</v>
      </c>
      <c r="Q567" s="425" t="s">
        <v>1000</v>
      </c>
      <c r="R567" s="425" t="s">
        <v>1001</v>
      </c>
      <c r="S567" s="425" t="s">
        <v>1002</v>
      </c>
      <c r="T567" s="423">
        <v>2000</v>
      </c>
      <c r="U567" s="423" t="s">
        <v>1041</v>
      </c>
      <c r="V567" s="423">
        <v>70</v>
      </c>
      <c r="W567" s="423">
        <v>1.2</v>
      </c>
      <c r="X567" s="423" t="s">
        <v>1041</v>
      </c>
      <c r="Y567" s="423" t="s">
        <v>1041</v>
      </c>
      <c r="Z567" s="423" t="s">
        <v>1058</v>
      </c>
      <c r="AD567" s="423">
        <f>IF(ISNUMBER(MATCH(B567,'FICHA SOLIC'!$AB$26:$AB$376,0)),1,0)</f>
        <v>1</v>
      </c>
      <c r="AE567" s="423" t="str">
        <f t="shared" si="8"/>
        <v>HuechurabaZI2</v>
      </c>
    </row>
    <row r="568" spans="1:31" x14ac:dyDescent="0.25">
      <c r="A568" s="423">
        <v>567</v>
      </c>
      <c r="B568" s="423" t="s">
        <v>135</v>
      </c>
      <c r="C568" s="423" t="s">
        <v>1041</v>
      </c>
      <c r="D568" s="972" t="s">
        <v>990</v>
      </c>
      <c r="E568" s="973" t="s">
        <v>991</v>
      </c>
      <c r="F568" s="973" t="s">
        <v>992</v>
      </c>
      <c r="G568" s="973" t="s">
        <v>1997</v>
      </c>
      <c r="H568" s="973" t="s">
        <v>1998</v>
      </c>
      <c r="I568" s="973" t="s">
        <v>1999</v>
      </c>
      <c r="J568" s="972" t="s">
        <v>697</v>
      </c>
      <c r="K568" s="973" t="s">
        <v>995</v>
      </c>
      <c r="L568" s="973" t="s">
        <v>996</v>
      </c>
      <c r="M568" s="973" t="s">
        <v>2000</v>
      </c>
      <c r="N568" s="973" t="s">
        <v>2001</v>
      </c>
      <c r="O568" s="972" t="s">
        <v>1971</v>
      </c>
      <c r="P568" s="973" t="s">
        <v>999</v>
      </c>
      <c r="Q568" s="973" t="s">
        <v>1000</v>
      </c>
      <c r="R568" s="973" t="s">
        <v>1001</v>
      </c>
      <c r="S568" s="973" t="s">
        <v>1002</v>
      </c>
      <c r="T568" s="423" t="s">
        <v>1041</v>
      </c>
      <c r="U568" s="423" t="s">
        <v>1041</v>
      </c>
      <c r="V568" s="423" t="s">
        <v>1041</v>
      </c>
      <c r="W568" s="423" t="s">
        <v>1041</v>
      </c>
      <c r="X568" s="423" t="s">
        <v>1041</v>
      </c>
      <c r="Y568" s="423" t="s">
        <v>1041</v>
      </c>
      <c r="Z568" s="423" t="s">
        <v>1041</v>
      </c>
      <c r="AD568" s="423">
        <f>IF(ISNUMBER(MATCH(B568,'FICHA SOLIC'!$AB$26:$AB$376,0)),1,0)</f>
        <v>1</v>
      </c>
      <c r="AE568" s="423" t="str">
        <f t="shared" si="8"/>
        <v>IllapelOGUC</v>
      </c>
    </row>
    <row r="569" spans="1:31" x14ac:dyDescent="0.25">
      <c r="A569" s="423">
        <v>568</v>
      </c>
      <c r="B569" s="423" t="s">
        <v>410</v>
      </c>
      <c r="C569" s="423" t="s">
        <v>1177</v>
      </c>
      <c r="D569" s="424" t="s">
        <v>990</v>
      </c>
      <c r="E569" s="425" t="s">
        <v>991</v>
      </c>
      <c r="F569" s="425" t="s">
        <v>992</v>
      </c>
      <c r="G569" s="425" t="s">
        <v>1054</v>
      </c>
      <c r="H569" s="426" t="s">
        <v>699</v>
      </c>
      <c r="I569" s="425" t="s">
        <v>1055</v>
      </c>
      <c r="J569" s="424" t="s">
        <v>697</v>
      </c>
      <c r="K569" s="425" t="s">
        <v>995</v>
      </c>
      <c r="L569" s="425" t="s">
        <v>996</v>
      </c>
      <c r="M569" s="425" t="s">
        <v>997</v>
      </c>
      <c r="N569" s="425" t="s">
        <v>558</v>
      </c>
      <c r="O569" s="424" t="s">
        <v>998</v>
      </c>
      <c r="P569" s="425" t="s">
        <v>999</v>
      </c>
      <c r="Q569" s="425" t="s">
        <v>1000</v>
      </c>
      <c r="R569" s="425" t="s">
        <v>1001</v>
      </c>
      <c r="S569" s="425" t="s">
        <v>1002</v>
      </c>
      <c r="T569" s="423">
        <v>200</v>
      </c>
      <c r="U569" s="423" t="s">
        <v>1041</v>
      </c>
      <c r="V569" s="423">
        <v>50</v>
      </c>
      <c r="W569" s="423">
        <v>1.5</v>
      </c>
      <c r="X569" s="423">
        <v>9</v>
      </c>
      <c r="Y569" s="423" t="s">
        <v>1041</v>
      </c>
      <c r="Z569" s="423" t="s">
        <v>1059</v>
      </c>
      <c r="AD569" s="423">
        <f>IF(ISNUMBER(MATCH(B569,'FICHA SOLIC'!$AB$26:$AB$376,0)),1,0)</f>
        <v>1</v>
      </c>
      <c r="AE569" s="423" t="str">
        <f t="shared" si="8"/>
        <v>IndependenciaA</v>
      </c>
    </row>
    <row r="570" spans="1:31" x14ac:dyDescent="0.25">
      <c r="A570" s="423">
        <v>569</v>
      </c>
      <c r="B570" s="423" t="s">
        <v>410</v>
      </c>
      <c r="C570" s="423" t="s">
        <v>1615</v>
      </c>
      <c r="D570" s="424" t="s">
        <v>990</v>
      </c>
      <c r="E570" s="425" t="s">
        <v>991</v>
      </c>
      <c r="F570" s="425" t="s">
        <v>992</v>
      </c>
      <c r="G570" s="425" t="s">
        <v>1054</v>
      </c>
      <c r="H570" s="426" t="s">
        <v>699</v>
      </c>
      <c r="I570" s="425" t="s">
        <v>1055</v>
      </c>
      <c r="J570" s="424" t="s">
        <v>697</v>
      </c>
      <c r="K570" s="425" t="s">
        <v>995</v>
      </c>
      <c r="L570" s="425" t="s">
        <v>996</v>
      </c>
      <c r="M570" s="425" t="s">
        <v>997</v>
      </c>
      <c r="N570" s="425" t="s">
        <v>558</v>
      </c>
      <c r="O570" s="424" t="s">
        <v>998</v>
      </c>
      <c r="P570" s="425" t="s">
        <v>999</v>
      </c>
      <c r="Q570" s="425" t="s">
        <v>1000</v>
      </c>
      <c r="R570" s="425" t="s">
        <v>1001</v>
      </c>
      <c r="S570" s="425" t="s">
        <v>1002</v>
      </c>
      <c r="T570" s="423">
        <v>200</v>
      </c>
      <c r="U570" s="423" t="s">
        <v>1041</v>
      </c>
      <c r="V570" s="423">
        <v>50</v>
      </c>
      <c r="W570" s="423">
        <v>1.5</v>
      </c>
      <c r="X570" s="423">
        <v>9</v>
      </c>
      <c r="Y570" s="423" t="s">
        <v>1041</v>
      </c>
      <c r="Z570" s="423" t="s">
        <v>1059</v>
      </c>
      <c r="AD570" s="423">
        <f>IF(ISNUMBER(MATCH(B570,'FICHA SOLIC'!$AB$26:$AB$376,0)),1,0)</f>
        <v>1</v>
      </c>
      <c r="AE570" s="423" t="str">
        <f t="shared" si="8"/>
        <v>IndependenciaA-1</v>
      </c>
    </row>
    <row r="571" spans="1:31" x14ac:dyDescent="0.25">
      <c r="A571" s="423">
        <v>570</v>
      </c>
      <c r="B571" s="423" t="s">
        <v>410</v>
      </c>
      <c r="C571" s="423" t="s">
        <v>1616</v>
      </c>
      <c r="D571" s="424" t="s">
        <v>990</v>
      </c>
      <c r="E571" s="425" t="s">
        <v>991</v>
      </c>
      <c r="F571" s="425" t="s">
        <v>992</v>
      </c>
      <c r="G571" s="425" t="s">
        <v>1054</v>
      </c>
      <c r="H571" s="426" t="s">
        <v>699</v>
      </c>
      <c r="I571" s="425" t="s">
        <v>1055</v>
      </c>
      <c r="J571" s="424" t="s">
        <v>697</v>
      </c>
      <c r="K571" s="425" t="s">
        <v>995</v>
      </c>
      <c r="L571" s="425" t="s">
        <v>996</v>
      </c>
      <c r="M571" s="425" t="s">
        <v>997</v>
      </c>
      <c r="N571" s="425" t="s">
        <v>558</v>
      </c>
      <c r="O571" s="424" t="s">
        <v>998</v>
      </c>
      <c r="P571" s="425" t="s">
        <v>999</v>
      </c>
      <c r="Q571" s="425" t="s">
        <v>1000</v>
      </c>
      <c r="R571" s="425" t="s">
        <v>1001</v>
      </c>
      <c r="S571" s="425" t="s">
        <v>1002</v>
      </c>
      <c r="T571" s="423">
        <v>200</v>
      </c>
      <c r="U571" s="423" t="s">
        <v>1041</v>
      </c>
      <c r="V571" s="423">
        <v>50</v>
      </c>
      <c r="W571" s="423">
        <v>1.5</v>
      </c>
      <c r="X571" s="423">
        <v>9</v>
      </c>
      <c r="Y571" s="423" t="s">
        <v>1041</v>
      </c>
      <c r="Z571" s="423" t="s">
        <v>1059</v>
      </c>
      <c r="AD571" s="423">
        <f>IF(ISNUMBER(MATCH(B571,'FICHA SOLIC'!$AB$26:$AB$376,0)),1,0)</f>
        <v>1</v>
      </c>
      <c r="AE571" s="423" t="str">
        <f t="shared" si="8"/>
        <v>IndependenciaA-1-P</v>
      </c>
    </row>
    <row r="572" spans="1:31" x14ac:dyDescent="0.25">
      <c r="A572" s="423">
        <v>571</v>
      </c>
      <c r="B572" s="423" t="s">
        <v>410</v>
      </c>
      <c r="C572" s="423" t="s">
        <v>1178</v>
      </c>
      <c r="D572" s="424" t="s">
        <v>990</v>
      </c>
      <c r="E572" s="425" t="s">
        <v>991</v>
      </c>
      <c r="F572" s="425" t="s">
        <v>992</v>
      </c>
      <c r="G572" s="425" t="s">
        <v>1054</v>
      </c>
      <c r="H572" s="426" t="s">
        <v>699</v>
      </c>
      <c r="I572" s="425" t="s">
        <v>1055</v>
      </c>
      <c r="J572" s="424" t="s">
        <v>697</v>
      </c>
      <c r="K572" s="425" t="s">
        <v>995</v>
      </c>
      <c r="L572" s="425" t="s">
        <v>996</v>
      </c>
      <c r="M572" s="425" t="s">
        <v>997</v>
      </c>
      <c r="N572" s="425" t="s">
        <v>558</v>
      </c>
      <c r="O572" s="424" t="s">
        <v>998</v>
      </c>
      <c r="P572" s="425" t="s">
        <v>999</v>
      </c>
      <c r="Q572" s="425" t="s">
        <v>1000</v>
      </c>
      <c r="R572" s="425" t="s">
        <v>1001</v>
      </c>
      <c r="S572" s="425" t="s">
        <v>1002</v>
      </c>
      <c r="T572" s="423">
        <v>200</v>
      </c>
      <c r="U572" s="423" t="s">
        <v>1041</v>
      </c>
      <c r="V572" s="423">
        <v>50</v>
      </c>
      <c r="W572" s="423">
        <v>1.5</v>
      </c>
      <c r="X572" s="423">
        <v>9</v>
      </c>
      <c r="Y572" s="423">
        <v>5</v>
      </c>
      <c r="Z572" s="423" t="s">
        <v>1059</v>
      </c>
      <c r="AD572" s="423">
        <f>IF(ISNUMBER(MATCH(B572,'FICHA SOLIC'!$AB$26:$AB$376,0)),1,0)</f>
        <v>1</v>
      </c>
      <c r="AE572" s="423" t="str">
        <f t="shared" si="8"/>
        <v>IndependenciaB</v>
      </c>
    </row>
    <row r="573" spans="1:31" x14ac:dyDescent="0.25">
      <c r="A573" s="423">
        <v>572</v>
      </c>
      <c r="B573" s="423" t="s">
        <v>410</v>
      </c>
      <c r="C573" s="423" t="s">
        <v>1617</v>
      </c>
      <c r="D573" s="424" t="s">
        <v>990</v>
      </c>
      <c r="E573" s="425" t="s">
        <v>991</v>
      </c>
      <c r="F573" s="425" t="s">
        <v>992</v>
      </c>
      <c r="G573" s="425" t="s">
        <v>1054</v>
      </c>
      <c r="H573" s="426" t="s">
        <v>699</v>
      </c>
      <c r="I573" s="425" t="s">
        <v>1055</v>
      </c>
      <c r="J573" s="424" t="s">
        <v>697</v>
      </c>
      <c r="K573" s="425" t="s">
        <v>995</v>
      </c>
      <c r="L573" s="425" t="s">
        <v>996</v>
      </c>
      <c r="M573" s="425" t="s">
        <v>997</v>
      </c>
      <c r="N573" s="425" t="s">
        <v>558</v>
      </c>
      <c r="O573" s="424" t="s">
        <v>998</v>
      </c>
      <c r="P573" s="425" t="s">
        <v>999</v>
      </c>
      <c r="Q573" s="425" t="s">
        <v>1000</v>
      </c>
      <c r="R573" s="425" t="s">
        <v>1001</v>
      </c>
      <c r="S573" s="425" t="s">
        <v>1002</v>
      </c>
      <c r="T573" s="423">
        <v>200</v>
      </c>
      <c r="U573" s="423" t="s">
        <v>1041</v>
      </c>
      <c r="V573" s="423">
        <v>50</v>
      </c>
      <c r="W573" s="423">
        <v>1.5</v>
      </c>
      <c r="X573" s="423">
        <v>9</v>
      </c>
      <c r="Y573" s="423">
        <v>5</v>
      </c>
      <c r="Z573" s="423" t="s">
        <v>1059</v>
      </c>
      <c r="AD573" s="423">
        <f>IF(ISNUMBER(MATCH(B573,'FICHA SOLIC'!$AB$26:$AB$376,0)),1,0)</f>
        <v>1</v>
      </c>
      <c r="AE573" s="423" t="str">
        <f t="shared" si="8"/>
        <v>IndependenciaB-P</v>
      </c>
    </row>
    <row r="574" spans="1:31" x14ac:dyDescent="0.25">
      <c r="A574" s="423">
        <v>573</v>
      </c>
      <c r="B574" s="423" t="s">
        <v>410</v>
      </c>
      <c r="C574" s="423" t="s">
        <v>1060</v>
      </c>
      <c r="D574" s="424" t="s">
        <v>990</v>
      </c>
      <c r="E574" s="425" t="s">
        <v>991</v>
      </c>
      <c r="F574" s="425" t="s">
        <v>992</v>
      </c>
      <c r="G574" s="425" t="s">
        <v>1054</v>
      </c>
      <c r="H574" s="426" t="s">
        <v>699</v>
      </c>
      <c r="I574" s="425" t="s">
        <v>1055</v>
      </c>
      <c r="J574" s="424" t="s">
        <v>697</v>
      </c>
      <c r="K574" s="425" t="s">
        <v>995</v>
      </c>
      <c r="L574" s="425" t="s">
        <v>996</v>
      </c>
      <c r="M574" s="425" t="s">
        <v>997</v>
      </c>
      <c r="N574" s="425" t="s">
        <v>558</v>
      </c>
      <c r="O574" s="424" t="s">
        <v>998</v>
      </c>
      <c r="P574" s="425" t="s">
        <v>999</v>
      </c>
      <c r="Q574" s="425" t="s">
        <v>1000</v>
      </c>
      <c r="R574" s="425" t="s">
        <v>1001</v>
      </c>
      <c r="S574" s="425" t="s">
        <v>1002</v>
      </c>
      <c r="T574" s="423">
        <v>300</v>
      </c>
      <c r="U574" s="423" t="s">
        <v>1041</v>
      </c>
      <c r="V574" s="423">
        <v>50</v>
      </c>
      <c r="W574" s="423">
        <v>1.2</v>
      </c>
      <c r="X574" s="423">
        <v>9</v>
      </c>
      <c r="Y574" s="423">
        <v>5</v>
      </c>
      <c r="Z574" s="423" t="s">
        <v>1059</v>
      </c>
      <c r="AD574" s="423">
        <f>IF(ISNUMBER(MATCH(B574,'FICHA SOLIC'!$AB$26:$AB$376,0)),1,0)</f>
        <v>1</v>
      </c>
      <c r="AE574" s="423" t="str">
        <f t="shared" si="8"/>
        <v>IndependenciaC</v>
      </c>
    </row>
    <row r="575" spans="1:31" x14ac:dyDescent="0.25">
      <c r="A575" s="423">
        <v>574</v>
      </c>
      <c r="B575" s="423" t="s">
        <v>410</v>
      </c>
      <c r="C575" s="423" t="s">
        <v>1618</v>
      </c>
      <c r="D575" s="424" t="s">
        <v>990</v>
      </c>
      <c r="E575" s="425" t="s">
        <v>991</v>
      </c>
      <c r="F575" s="425" t="s">
        <v>992</v>
      </c>
      <c r="G575" s="425" t="s">
        <v>1054</v>
      </c>
      <c r="H575" s="426" t="s">
        <v>699</v>
      </c>
      <c r="I575" s="425" t="s">
        <v>1055</v>
      </c>
      <c r="J575" s="424" t="s">
        <v>697</v>
      </c>
      <c r="K575" s="425" t="s">
        <v>995</v>
      </c>
      <c r="L575" s="425" t="s">
        <v>996</v>
      </c>
      <c r="M575" s="425" t="s">
        <v>997</v>
      </c>
      <c r="N575" s="425" t="s">
        <v>558</v>
      </c>
      <c r="O575" s="424" t="s">
        <v>998</v>
      </c>
      <c r="P575" s="425" t="s">
        <v>999</v>
      </c>
      <c r="Q575" s="425" t="s">
        <v>1000</v>
      </c>
      <c r="R575" s="425" t="s">
        <v>1001</v>
      </c>
      <c r="S575" s="425" t="s">
        <v>1002</v>
      </c>
      <c r="T575" s="423">
        <v>300</v>
      </c>
      <c r="U575" s="423" t="s">
        <v>1041</v>
      </c>
      <c r="V575" s="423">
        <v>80</v>
      </c>
      <c r="W575" s="423">
        <v>1.5</v>
      </c>
      <c r="X575" s="423">
        <v>7</v>
      </c>
      <c r="Y575" s="423">
        <v>5</v>
      </c>
      <c r="Z575" s="423" t="s">
        <v>1096</v>
      </c>
      <c r="AD575" s="423">
        <f>IF(ISNUMBER(MATCH(B575,'FICHA SOLIC'!$AB$26:$AB$376,0)),1,0)</f>
        <v>1</v>
      </c>
      <c r="AE575" s="423" t="str">
        <f t="shared" si="8"/>
        <v>IndependenciaC-1</v>
      </c>
    </row>
    <row r="576" spans="1:31" x14ac:dyDescent="0.25">
      <c r="A576" s="423">
        <v>575</v>
      </c>
      <c r="B576" s="423" t="s">
        <v>410</v>
      </c>
      <c r="C576" s="423" t="s">
        <v>1619</v>
      </c>
      <c r="D576" s="424" t="s">
        <v>990</v>
      </c>
      <c r="E576" s="425" t="s">
        <v>991</v>
      </c>
      <c r="F576" s="425" t="s">
        <v>992</v>
      </c>
      <c r="G576" s="425" t="s">
        <v>1054</v>
      </c>
      <c r="H576" s="426" t="s">
        <v>699</v>
      </c>
      <c r="I576" s="425" t="s">
        <v>1055</v>
      </c>
      <c r="J576" s="424" t="s">
        <v>697</v>
      </c>
      <c r="K576" s="425" t="s">
        <v>995</v>
      </c>
      <c r="L576" s="425" t="s">
        <v>996</v>
      </c>
      <c r="M576" s="425" t="s">
        <v>997</v>
      </c>
      <c r="N576" s="425" t="s">
        <v>558</v>
      </c>
      <c r="O576" s="424" t="s">
        <v>998</v>
      </c>
      <c r="P576" s="425" t="s">
        <v>999</v>
      </c>
      <c r="Q576" s="425" t="s">
        <v>1000</v>
      </c>
      <c r="R576" s="425" t="s">
        <v>1001</v>
      </c>
      <c r="S576" s="425" t="s">
        <v>1002</v>
      </c>
      <c r="T576" s="423">
        <v>300</v>
      </c>
      <c r="U576" s="423" t="s">
        <v>1041</v>
      </c>
      <c r="V576" s="423">
        <v>80</v>
      </c>
      <c r="W576" s="423">
        <v>1.5</v>
      </c>
      <c r="X576" s="423">
        <v>7</v>
      </c>
      <c r="Y576" s="423">
        <v>5</v>
      </c>
      <c r="Z576" s="423" t="s">
        <v>1096</v>
      </c>
      <c r="AD576" s="423">
        <f>IF(ISNUMBER(MATCH(B576,'FICHA SOLIC'!$AB$26:$AB$376,0)),1,0)</f>
        <v>1</v>
      </c>
      <c r="AE576" s="423" t="str">
        <f t="shared" si="8"/>
        <v>IndependenciaC-2</v>
      </c>
    </row>
    <row r="577" spans="1:31" x14ac:dyDescent="0.25">
      <c r="A577" s="423">
        <v>576</v>
      </c>
      <c r="B577" s="423" t="s">
        <v>410</v>
      </c>
      <c r="C577" s="423" t="s">
        <v>1620</v>
      </c>
      <c r="D577" s="424" t="s">
        <v>990</v>
      </c>
      <c r="E577" s="425" t="s">
        <v>991</v>
      </c>
      <c r="F577" s="425" t="s">
        <v>992</v>
      </c>
      <c r="G577" s="425" t="s">
        <v>1054</v>
      </c>
      <c r="H577" s="426" t="s">
        <v>699</v>
      </c>
      <c r="I577" s="425" t="s">
        <v>1055</v>
      </c>
      <c r="J577" s="424" t="s">
        <v>697</v>
      </c>
      <c r="K577" s="425" t="s">
        <v>995</v>
      </c>
      <c r="L577" s="425" t="s">
        <v>996</v>
      </c>
      <c r="M577" s="425" t="s">
        <v>997</v>
      </c>
      <c r="N577" s="425" t="s">
        <v>558</v>
      </c>
      <c r="O577" s="424" t="s">
        <v>998</v>
      </c>
      <c r="P577" s="425" t="s">
        <v>999</v>
      </c>
      <c r="Q577" s="425" t="s">
        <v>1000</v>
      </c>
      <c r="R577" s="425" t="s">
        <v>1001</v>
      </c>
      <c r="S577" s="425" t="s">
        <v>1002</v>
      </c>
      <c r="T577" s="423">
        <v>300</v>
      </c>
      <c r="U577" s="423" t="s">
        <v>1041</v>
      </c>
      <c r="V577" s="423">
        <v>50</v>
      </c>
      <c r="W577" s="423">
        <v>1.2</v>
      </c>
      <c r="X577" s="423">
        <v>9</v>
      </c>
      <c r="Y577" s="423">
        <v>5</v>
      </c>
      <c r="Z577" s="423" t="s">
        <v>1059</v>
      </c>
      <c r="AD577" s="423">
        <f>IF(ISNUMBER(MATCH(B577,'FICHA SOLIC'!$AB$26:$AB$376,0)),1,0)</f>
        <v>1</v>
      </c>
      <c r="AE577" s="423" t="str">
        <f t="shared" si="8"/>
        <v>IndependenciaC-P</v>
      </c>
    </row>
    <row r="578" spans="1:31" x14ac:dyDescent="0.25">
      <c r="A578" s="423">
        <v>577</v>
      </c>
      <c r="B578" s="423" t="s">
        <v>410</v>
      </c>
      <c r="C578" s="423" t="s">
        <v>1179</v>
      </c>
      <c r="D578" s="424" t="s">
        <v>990</v>
      </c>
      <c r="E578" s="425" t="s">
        <v>991</v>
      </c>
      <c r="F578" s="425" t="s">
        <v>992</v>
      </c>
      <c r="G578" s="425" t="s">
        <v>1054</v>
      </c>
      <c r="H578" s="426" t="s">
        <v>699</v>
      </c>
      <c r="I578" s="425" t="s">
        <v>1055</v>
      </c>
      <c r="J578" s="424" t="s">
        <v>697</v>
      </c>
      <c r="K578" s="425" t="s">
        <v>995</v>
      </c>
      <c r="L578" s="425" t="s">
        <v>996</v>
      </c>
      <c r="M578" s="425" t="s">
        <v>997</v>
      </c>
      <c r="N578" s="425" t="s">
        <v>558</v>
      </c>
      <c r="O578" s="424" t="s">
        <v>998</v>
      </c>
      <c r="P578" s="425" t="s">
        <v>999</v>
      </c>
      <c r="Q578" s="425" t="s">
        <v>1000</v>
      </c>
      <c r="R578" s="425" t="s">
        <v>1001</v>
      </c>
      <c r="S578" s="425" t="s">
        <v>1002</v>
      </c>
      <c r="T578" s="423">
        <v>500</v>
      </c>
      <c r="U578" s="423" t="s">
        <v>1041</v>
      </c>
      <c r="V578" s="423">
        <v>80</v>
      </c>
      <c r="W578" s="423">
        <v>5</v>
      </c>
      <c r="X578" s="423">
        <v>54</v>
      </c>
      <c r="Y578" s="423">
        <v>12</v>
      </c>
      <c r="Z578" s="423" t="s">
        <v>1058</v>
      </c>
      <c r="AD578" s="423">
        <f>IF(ISNUMBER(MATCH(B578,'FICHA SOLIC'!$AB$26:$AB$376,0)),1,0)</f>
        <v>1</v>
      </c>
      <c r="AE578" s="423" t="str">
        <f t="shared" si="8"/>
        <v>IndependenciaD</v>
      </c>
    </row>
    <row r="579" spans="1:31" x14ac:dyDescent="0.25">
      <c r="A579" s="423">
        <v>578</v>
      </c>
      <c r="B579" s="423" t="s">
        <v>410</v>
      </c>
      <c r="C579" s="423" t="s">
        <v>1621</v>
      </c>
      <c r="D579" s="424" t="s">
        <v>990</v>
      </c>
      <c r="E579" s="425" t="s">
        <v>991</v>
      </c>
      <c r="F579" s="425" t="s">
        <v>992</v>
      </c>
      <c r="G579" s="425" t="s">
        <v>1054</v>
      </c>
      <c r="H579" s="426" t="s">
        <v>699</v>
      </c>
      <c r="I579" s="425" t="s">
        <v>1055</v>
      </c>
      <c r="J579" s="424" t="s">
        <v>697</v>
      </c>
      <c r="K579" s="425" t="s">
        <v>995</v>
      </c>
      <c r="L579" s="425" t="s">
        <v>996</v>
      </c>
      <c r="M579" s="425" t="s">
        <v>997</v>
      </c>
      <c r="N579" s="425" t="s">
        <v>558</v>
      </c>
      <c r="O579" s="424" t="s">
        <v>998</v>
      </c>
      <c r="P579" s="425" t="s">
        <v>999</v>
      </c>
      <c r="Q579" s="425" t="s">
        <v>1000</v>
      </c>
      <c r="R579" s="425" t="s">
        <v>1001</v>
      </c>
      <c r="S579" s="425" t="s">
        <v>1002</v>
      </c>
      <c r="T579" s="423">
        <v>2500</v>
      </c>
      <c r="U579" s="423" t="s">
        <v>1041</v>
      </c>
      <c r="V579" s="423">
        <v>40</v>
      </c>
      <c r="W579" s="423">
        <v>4</v>
      </c>
      <c r="X579" s="423">
        <v>30</v>
      </c>
      <c r="Y579" s="423" t="s">
        <v>1041</v>
      </c>
      <c r="Z579" s="423" t="s">
        <v>1058</v>
      </c>
      <c r="AD579" s="423">
        <f>IF(ISNUMBER(MATCH(B579,'FICHA SOLIC'!$AB$26:$AB$376,0)),1,0)</f>
        <v>1</v>
      </c>
      <c r="AE579" s="423" t="str">
        <f t="shared" ref="AE579:AE642" si="9">B579&amp;C579</f>
        <v>IndependenciaEQ</v>
      </c>
    </row>
    <row r="580" spans="1:31" x14ac:dyDescent="0.25">
      <c r="A580" s="423">
        <v>579</v>
      </c>
      <c r="B580" s="423" t="s">
        <v>410</v>
      </c>
      <c r="C580" s="423" t="s">
        <v>1622</v>
      </c>
      <c r="D580" s="424" t="s">
        <v>990</v>
      </c>
      <c r="E580" s="425" t="s">
        <v>991</v>
      </c>
      <c r="F580" s="425" t="s">
        <v>992</v>
      </c>
      <c r="G580" s="425" t="s">
        <v>1054</v>
      </c>
      <c r="H580" s="426" t="s">
        <v>699</v>
      </c>
      <c r="I580" s="425" t="s">
        <v>1055</v>
      </c>
      <c r="J580" s="424" t="s">
        <v>697</v>
      </c>
      <c r="K580" s="425" t="s">
        <v>995</v>
      </c>
      <c r="L580" s="425" t="s">
        <v>996</v>
      </c>
      <c r="M580" s="425" t="s">
        <v>997</v>
      </c>
      <c r="N580" s="425" t="s">
        <v>558</v>
      </c>
      <c r="O580" s="424" t="s">
        <v>998</v>
      </c>
      <c r="P580" s="425" t="s">
        <v>999</v>
      </c>
      <c r="Q580" s="425" t="s">
        <v>1000</v>
      </c>
      <c r="R580" s="425" t="s">
        <v>1001</v>
      </c>
      <c r="S580" s="425" t="s">
        <v>1002</v>
      </c>
      <c r="T580" s="423">
        <v>1000</v>
      </c>
      <c r="U580" s="423" t="s">
        <v>1041</v>
      </c>
      <c r="V580" s="423">
        <v>40</v>
      </c>
      <c r="W580" s="423">
        <v>4</v>
      </c>
      <c r="X580" s="423">
        <v>30</v>
      </c>
      <c r="Y580" s="423" t="s">
        <v>1041</v>
      </c>
      <c r="Z580" s="423" t="s">
        <v>1058</v>
      </c>
      <c r="AD580" s="423">
        <f>IF(ISNUMBER(MATCH(B580,'FICHA SOLIC'!$AB$26:$AB$376,0)),1,0)</f>
        <v>1</v>
      </c>
      <c r="AE580" s="423" t="str">
        <f t="shared" si="9"/>
        <v>IndependenciaEQ-1</v>
      </c>
    </row>
    <row r="581" spans="1:31" x14ac:dyDescent="0.25">
      <c r="A581" s="423">
        <v>580</v>
      </c>
      <c r="B581" s="423" t="s">
        <v>410</v>
      </c>
      <c r="C581" s="423" t="s">
        <v>1625</v>
      </c>
      <c r="D581" s="424" t="s">
        <v>990</v>
      </c>
      <c r="E581" s="425" t="s">
        <v>991</v>
      </c>
      <c r="F581" s="425" t="s">
        <v>992</v>
      </c>
      <c r="G581" s="425" t="s">
        <v>1054</v>
      </c>
      <c r="H581" s="426" t="s">
        <v>699</v>
      </c>
      <c r="I581" s="425" t="s">
        <v>1055</v>
      </c>
      <c r="J581" s="424" t="s">
        <v>697</v>
      </c>
      <c r="K581" s="425" t="s">
        <v>995</v>
      </c>
      <c r="L581" s="425" t="s">
        <v>996</v>
      </c>
      <c r="M581" s="425" t="s">
        <v>997</v>
      </c>
      <c r="N581" s="425" t="s">
        <v>558</v>
      </c>
      <c r="O581" s="424" t="s">
        <v>998</v>
      </c>
      <c r="P581" s="425" t="s">
        <v>999</v>
      </c>
      <c r="Q581" s="425" t="s">
        <v>1000</v>
      </c>
      <c r="R581" s="425" t="s">
        <v>1001</v>
      </c>
      <c r="S581" s="425" t="s">
        <v>1002</v>
      </c>
      <c r="T581" s="423">
        <v>300</v>
      </c>
      <c r="U581" s="423" t="s">
        <v>1041</v>
      </c>
      <c r="V581" s="423">
        <v>60</v>
      </c>
      <c r="W581" s="423">
        <v>1</v>
      </c>
      <c r="X581" s="423" t="s">
        <v>1025</v>
      </c>
      <c r="Y581" s="423" t="s">
        <v>1041</v>
      </c>
      <c r="Z581" s="423" t="s">
        <v>1025</v>
      </c>
      <c r="AD581" s="423">
        <f>IF(ISNUMBER(MATCH(B581,'FICHA SOLIC'!$AB$26:$AB$376,0)),1,0)</f>
        <v>1</v>
      </c>
      <c r="AE581" s="423" t="str">
        <f t="shared" si="9"/>
        <v>IndependenciaP-1-1-1</v>
      </c>
    </row>
    <row r="582" spans="1:31" x14ac:dyDescent="0.25">
      <c r="A582" s="423">
        <v>581</v>
      </c>
      <c r="B582" s="423" t="s">
        <v>410</v>
      </c>
      <c r="C582" s="423" t="s">
        <v>1626</v>
      </c>
      <c r="D582" s="424" t="s">
        <v>990</v>
      </c>
      <c r="E582" s="425" t="s">
        <v>991</v>
      </c>
      <c r="F582" s="425" t="s">
        <v>992</v>
      </c>
      <c r="G582" s="425" t="s">
        <v>1054</v>
      </c>
      <c r="H582" s="426" t="s">
        <v>699</v>
      </c>
      <c r="I582" s="425" t="s">
        <v>1055</v>
      </c>
      <c r="J582" s="424" t="s">
        <v>697</v>
      </c>
      <c r="K582" s="425" t="s">
        <v>995</v>
      </c>
      <c r="L582" s="425" t="s">
        <v>996</v>
      </c>
      <c r="M582" s="425" t="s">
        <v>997</v>
      </c>
      <c r="N582" s="425" t="s">
        <v>558</v>
      </c>
      <c r="O582" s="424" t="s">
        <v>998</v>
      </c>
      <c r="P582" s="425" t="s">
        <v>999</v>
      </c>
      <c r="Q582" s="425" t="s">
        <v>1000</v>
      </c>
      <c r="R582" s="425" t="s">
        <v>1001</v>
      </c>
      <c r="S582" s="425" t="s">
        <v>1002</v>
      </c>
      <c r="T582" s="423" t="s">
        <v>1574</v>
      </c>
      <c r="U582" s="423" t="s">
        <v>1041</v>
      </c>
      <c r="V582" s="423">
        <v>60</v>
      </c>
      <c r="W582" s="423">
        <v>1</v>
      </c>
      <c r="X582" s="423" t="s">
        <v>1437</v>
      </c>
      <c r="Y582" s="423" t="s">
        <v>1041</v>
      </c>
      <c r="Z582" s="423" t="s">
        <v>1059</v>
      </c>
      <c r="AD582" s="423">
        <f>IF(ISNUMBER(MATCH(B582,'FICHA SOLIC'!$AB$26:$AB$376,0)),1,0)</f>
        <v>1</v>
      </c>
      <c r="AE582" s="423" t="str">
        <f t="shared" si="9"/>
        <v>IndependenciaP-1-1-2</v>
      </c>
    </row>
    <row r="583" spans="1:31" x14ac:dyDescent="0.25">
      <c r="A583" s="423">
        <v>582</v>
      </c>
      <c r="B583" s="423" t="s">
        <v>410</v>
      </c>
      <c r="C583" s="423" t="s">
        <v>1627</v>
      </c>
      <c r="D583" s="424" t="s">
        <v>990</v>
      </c>
      <c r="E583" s="425" t="s">
        <v>991</v>
      </c>
      <c r="F583" s="425" t="s">
        <v>992</v>
      </c>
      <c r="G583" s="425" t="s">
        <v>1054</v>
      </c>
      <c r="H583" s="426" t="s">
        <v>699</v>
      </c>
      <c r="I583" s="425" t="s">
        <v>1055</v>
      </c>
      <c r="J583" s="424" t="s">
        <v>697</v>
      </c>
      <c r="K583" s="425" t="s">
        <v>995</v>
      </c>
      <c r="L583" s="425" t="s">
        <v>996</v>
      </c>
      <c r="M583" s="425" t="s">
        <v>997</v>
      </c>
      <c r="N583" s="425" t="s">
        <v>558</v>
      </c>
      <c r="O583" s="424" t="s">
        <v>998</v>
      </c>
      <c r="P583" s="425" t="s">
        <v>999</v>
      </c>
      <c r="Q583" s="425" t="s">
        <v>1000</v>
      </c>
      <c r="R583" s="425" t="s">
        <v>1001</v>
      </c>
      <c r="S583" s="425" t="s">
        <v>1002</v>
      </c>
      <c r="T583" s="423" t="s">
        <v>1631</v>
      </c>
      <c r="U583" s="423" t="s">
        <v>1041</v>
      </c>
      <c r="V583" s="423">
        <v>70</v>
      </c>
      <c r="W583" s="423">
        <v>1.2</v>
      </c>
      <c r="X583" s="423" t="s">
        <v>1025</v>
      </c>
      <c r="Y583" s="423" t="s">
        <v>1041</v>
      </c>
      <c r="Z583" s="423" t="s">
        <v>1025</v>
      </c>
      <c r="AD583" s="423">
        <f>IF(ISNUMBER(MATCH(B583,'FICHA SOLIC'!$AB$26:$AB$376,0)),1,0)</f>
        <v>1</v>
      </c>
      <c r="AE583" s="423" t="str">
        <f t="shared" si="9"/>
        <v>IndependenciaP-1-2</v>
      </c>
    </row>
    <row r="584" spans="1:31" x14ac:dyDescent="0.25">
      <c r="A584" s="423">
        <v>583</v>
      </c>
      <c r="B584" s="423" t="s">
        <v>410</v>
      </c>
      <c r="C584" s="423" t="s">
        <v>1628</v>
      </c>
      <c r="D584" s="424" t="s">
        <v>990</v>
      </c>
      <c r="E584" s="425" t="s">
        <v>991</v>
      </c>
      <c r="F584" s="425" t="s">
        <v>992</v>
      </c>
      <c r="G584" s="425" t="s">
        <v>1054</v>
      </c>
      <c r="H584" s="426" t="s">
        <v>699</v>
      </c>
      <c r="I584" s="425" t="s">
        <v>1055</v>
      </c>
      <c r="J584" s="424" t="s">
        <v>697</v>
      </c>
      <c r="K584" s="425" t="s">
        <v>995</v>
      </c>
      <c r="L584" s="425" t="s">
        <v>996</v>
      </c>
      <c r="M584" s="425" t="s">
        <v>997</v>
      </c>
      <c r="N584" s="425" t="s">
        <v>558</v>
      </c>
      <c r="O584" s="424" t="s">
        <v>998</v>
      </c>
      <c r="P584" s="425" t="s">
        <v>999</v>
      </c>
      <c r="Q584" s="425" t="s">
        <v>1000</v>
      </c>
      <c r="R584" s="425" t="s">
        <v>1001</v>
      </c>
      <c r="S584" s="425" t="s">
        <v>1002</v>
      </c>
      <c r="T584" s="423">
        <v>200</v>
      </c>
      <c r="U584" s="423" t="s">
        <v>1041</v>
      </c>
      <c r="V584" s="423">
        <v>70</v>
      </c>
      <c r="W584" s="423">
        <v>0.7</v>
      </c>
      <c r="X584" s="423" t="s">
        <v>1025</v>
      </c>
      <c r="Y584" s="423" t="s">
        <v>1041</v>
      </c>
      <c r="Z584" s="423" t="s">
        <v>1025</v>
      </c>
      <c r="AD584" s="423">
        <f>IF(ISNUMBER(MATCH(B584,'FICHA SOLIC'!$AB$26:$AB$376,0)),1,0)</f>
        <v>1</v>
      </c>
      <c r="AE584" s="423" t="str">
        <f t="shared" si="9"/>
        <v>IndependenciaP-2</v>
      </c>
    </row>
    <row r="585" spans="1:31" x14ac:dyDescent="0.25">
      <c r="A585" s="423">
        <v>584</v>
      </c>
      <c r="B585" s="423" t="s">
        <v>410</v>
      </c>
      <c r="C585" s="423" t="s">
        <v>1629</v>
      </c>
      <c r="D585" s="424" t="s">
        <v>990</v>
      </c>
      <c r="E585" s="425" t="s">
        <v>991</v>
      </c>
      <c r="F585" s="425" t="s">
        <v>992</v>
      </c>
      <c r="G585" s="425" t="s">
        <v>1054</v>
      </c>
      <c r="H585" s="426" t="s">
        <v>699</v>
      </c>
      <c r="I585" s="425" t="s">
        <v>1055</v>
      </c>
      <c r="J585" s="424" t="s">
        <v>697</v>
      </c>
      <c r="K585" s="425" t="s">
        <v>995</v>
      </c>
      <c r="L585" s="425" t="s">
        <v>996</v>
      </c>
      <c r="M585" s="425" t="s">
        <v>997</v>
      </c>
      <c r="N585" s="425" t="s">
        <v>558</v>
      </c>
      <c r="O585" s="424" t="s">
        <v>998</v>
      </c>
      <c r="P585" s="425" t="s">
        <v>999</v>
      </c>
      <c r="Q585" s="425" t="s">
        <v>1000</v>
      </c>
      <c r="R585" s="425" t="s">
        <v>1001</v>
      </c>
      <c r="S585" s="425" t="s">
        <v>1002</v>
      </c>
      <c r="T585" s="423" t="s">
        <v>1574</v>
      </c>
      <c r="U585" s="423" t="s">
        <v>1041</v>
      </c>
      <c r="V585" s="423" t="s">
        <v>1632</v>
      </c>
      <c r="W585" s="423">
        <v>1</v>
      </c>
      <c r="X585" s="423" t="s">
        <v>1025</v>
      </c>
      <c r="Y585" s="423" t="s">
        <v>1041</v>
      </c>
      <c r="Z585" s="423" t="s">
        <v>1025</v>
      </c>
      <c r="AD585" s="423">
        <f>IF(ISNUMBER(MATCH(B585,'FICHA SOLIC'!$AB$26:$AB$376,0)),1,0)</f>
        <v>1</v>
      </c>
      <c r="AE585" s="423" t="str">
        <f t="shared" si="9"/>
        <v>IndependenciaP-2-1-1</v>
      </c>
    </row>
    <row r="586" spans="1:31" x14ac:dyDescent="0.25">
      <c r="A586" s="423">
        <v>585</v>
      </c>
      <c r="B586" s="423" t="s">
        <v>410</v>
      </c>
      <c r="C586" s="423" t="s">
        <v>1630</v>
      </c>
      <c r="D586" s="424" t="s">
        <v>990</v>
      </c>
      <c r="E586" s="425" t="s">
        <v>991</v>
      </c>
      <c r="F586" s="425" t="s">
        <v>992</v>
      </c>
      <c r="G586" s="425" t="s">
        <v>1054</v>
      </c>
      <c r="H586" s="426" t="s">
        <v>699</v>
      </c>
      <c r="I586" s="425" t="s">
        <v>1055</v>
      </c>
      <c r="J586" s="424" t="s">
        <v>697</v>
      </c>
      <c r="K586" s="425" t="s">
        <v>995</v>
      </c>
      <c r="L586" s="425" t="s">
        <v>996</v>
      </c>
      <c r="M586" s="425" t="s">
        <v>997</v>
      </c>
      <c r="N586" s="425" t="s">
        <v>558</v>
      </c>
      <c r="O586" s="424" t="s">
        <v>998</v>
      </c>
      <c r="P586" s="425" t="s">
        <v>999</v>
      </c>
      <c r="Q586" s="425" t="s">
        <v>1000</v>
      </c>
      <c r="R586" s="425" t="s">
        <v>1001</v>
      </c>
      <c r="S586" s="425" t="s">
        <v>1002</v>
      </c>
      <c r="T586" s="423">
        <v>300</v>
      </c>
      <c r="U586" s="423" t="s">
        <v>1041</v>
      </c>
      <c r="V586" s="423">
        <v>80</v>
      </c>
      <c r="W586" s="423" t="s">
        <v>1041</v>
      </c>
      <c r="X586" s="423" t="s">
        <v>1025</v>
      </c>
      <c r="Y586" s="423" t="s">
        <v>1041</v>
      </c>
      <c r="Z586" s="423" t="s">
        <v>1096</v>
      </c>
      <c r="AD586" s="423">
        <f>IF(ISNUMBER(MATCH(B586,'FICHA SOLIC'!$AB$26:$AB$376,0)),1,0)</f>
        <v>1</v>
      </c>
      <c r="AE586" s="423" t="str">
        <f t="shared" si="9"/>
        <v>IndependenciaP-2-1-2</v>
      </c>
    </row>
    <row r="587" spans="1:31" x14ac:dyDescent="0.25">
      <c r="A587" s="423">
        <v>586</v>
      </c>
      <c r="B587" s="423" t="s">
        <v>410</v>
      </c>
      <c r="C587" s="423" t="s">
        <v>1623</v>
      </c>
      <c r="D587" s="424" t="s">
        <v>990</v>
      </c>
      <c r="E587" s="425" t="s">
        <v>991</v>
      </c>
      <c r="F587" s="425" t="s">
        <v>992</v>
      </c>
      <c r="G587" s="425" t="s">
        <v>1054</v>
      </c>
      <c r="H587" s="426" t="s">
        <v>699</v>
      </c>
      <c r="I587" s="425" t="s">
        <v>1055</v>
      </c>
      <c r="J587" s="424" t="s">
        <v>697</v>
      </c>
      <c r="K587" s="425" t="s">
        <v>995</v>
      </c>
      <c r="L587" s="425" t="s">
        <v>996</v>
      </c>
      <c r="M587" s="425" t="s">
        <v>997</v>
      </c>
      <c r="N587" s="425" t="s">
        <v>558</v>
      </c>
      <c r="O587" s="424" t="s">
        <v>998</v>
      </c>
      <c r="P587" s="425" t="s">
        <v>999</v>
      </c>
      <c r="Q587" s="425" t="s">
        <v>1000</v>
      </c>
      <c r="R587" s="425" t="s">
        <v>1001</v>
      </c>
      <c r="S587" s="425" t="s">
        <v>1002</v>
      </c>
      <c r="T587" s="423">
        <v>2500</v>
      </c>
      <c r="U587" s="423" t="s">
        <v>1041</v>
      </c>
      <c r="V587" s="423">
        <v>20</v>
      </c>
      <c r="W587" s="423">
        <v>3</v>
      </c>
      <c r="X587" s="423">
        <v>9</v>
      </c>
      <c r="Y587" s="423" t="s">
        <v>1041</v>
      </c>
      <c r="Z587" s="423" t="s">
        <v>1058</v>
      </c>
      <c r="AD587" s="423">
        <f>IF(ISNUMBER(MATCH(B587,'FICHA SOLIC'!$AB$26:$AB$376,0)),1,0)</f>
        <v>1</v>
      </c>
      <c r="AE587" s="423" t="str">
        <f t="shared" si="9"/>
        <v>IndependenciaRD-1</v>
      </c>
    </row>
    <row r="588" spans="1:31" x14ac:dyDescent="0.25">
      <c r="A588" s="423">
        <v>587</v>
      </c>
      <c r="B588" s="423" t="s">
        <v>410</v>
      </c>
      <c r="C588" s="423" t="s">
        <v>1624</v>
      </c>
      <c r="D588" s="424" t="s">
        <v>990</v>
      </c>
      <c r="E588" s="425" t="s">
        <v>991</v>
      </c>
      <c r="F588" s="425" t="s">
        <v>992</v>
      </c>
      <c r="G588" s="425" t="s">
        <v>1054</v>
      </c>
      <c r="H588" s="426" t="s">
        <v>699</v>
      </c>
      <c r="I588" s="425" t="s">
        <v>1055</v>
      </c>
      <c r="J588" s="424" t="s">
        <v>697</v>
      </c>
      <c r="K588" s="425" t="s">
        <v>995</v>
      </c>
      <c r="L588" s="425" t="s">
        <v>996</v>
      </c>
      <c r="M588" s="425" t="s">
        <v>997</v>
      </c>
      <c r="N588" s="425" t="s">
        <v>558</v>
      </c>
      <c r="O588" s="424" t="s">
        <v>998</v>
      </c>
      <c r="P588" s="425" t="s">
        <v>999</v>
      </c>
      <c r="Q588" s="425" t="s">
        <v>1000</v>
      </c>
      <c r="R588" s="425" t="s">
        <v>1001</v>
      </c>
      <c r="S588" s="425" t="s">
        <v>1002</v>
      </c>
      <c r="T588" s="423">
        <v>2500</v>
      </c>
      <c r="U588" s="423" t="s">
        <v>1041</v>
      </c>
      <c r="V588" s="423">
        <v>25</v>
      </c>
      <c r="W588" s="423">
        <v>0.25</v>
      </c>
      <c r="X588" s="423">
        <v>12</v>
      </c>
      <c r="Y588" s="423" t="s">
        <v>1041</v>
      </c>
      <c r="Z588" s="423" t="s">
        <v>1058</v>
      </c>
      <c r="AD588" s="423">
        <f>IF(ISNUMBER(MATCH(B588,'FICHA SOLIC'!$AB$26:$AB$376,0)),1,0)</f>
        <v>1</v>
      </c>
      <c r="AE588" s="423" t="str">
        <f t="shared" si="9"/>
        <v>IndependenciaRD-2</v>
      </c>
    </row>
    <row r="589" spans="1:31" x14ac:dyDescent="0.25">
      <c r="A589" s="423">
        <v>588</v>
      </c>
      <c r="B589" s="423" t="s">
        <v>61</v>
      </c>
      <c r="C589" s="423" t="s">
        <v>1254</v>
      </c>
      <c r="D589" s="972" t="s">
        <v>990</v>
      </c>
      <c r="E589" s="973" t="s">
        <v>991</v>
      </c>
      <c r="F589" s="973" t="s">
        <v>992</v>
      </c>
      <c r="G589" s="973" t="s">
        <v>1997</v>
      </c>
      <c r="H589" s="973" t="s">
        <v>1998</v>
      </c>
      <c r="I589" s="973" t="s">
        <v>1999</v>
      </c>
      <c r="J589" s="972" t="s">
        <v>697</v>
      </c>
      <c r="K589" s="973" t="s">
        <v>995</v>
      </c>
      <c r="L589" s="973" t="s">
        <v>996</v>
      </c>
      <c r="M589" s="973" t="s">
        <v>2000</v>
      </c>
      <c r="N589" s="973" t="s">
        <v>2001</v>
      </c>
      <c r="O589" s="972" t="s">
        <v>1971</v>
      </c>
      <c r="P589" s="973" t="s">
        <v>999</v>
      </c>
      <c r="Q589" s="973" t="s">
        <v>1000</v>
      </c>
      <c r="R589" s="973" t="s">
        <v>1001</v>
      </c>
      <c r="S589" s="973" t="s">
        <v>1002</v>
      </c>
      <c r="T589" s="423">
        <v>500</v>
      </c>
      <c r="U589" s="423" t="s">
        <v>2301</v>
      </c>
      <c r="V589" s="423">
        <v>0.8</v>
      </c>
      <c r="W589" s="423">
        <v>0.8</v>
      </c>
      <c r="X589" s="423">
        <v>8</v>
      </c>
      <c r="Y589" s="423" t="s">
        <v>1041</v>
      </c>
      <c r="Z589" s="423" t="s">
        <v>1059</v>
      </c>
      <c r="AD589" s="423">
        <f>IF(ISNUMBER(MATCH(B589,'FICHA SOLIC'!$AB$26:$AB$376,0)),1,0)</f>
        <v>1</v>
      </c>
      <c r="AE589" s="423" t="str">
        <f t="shared" si="9"/>
        <v>IquiqueM-1</v>
      </c>
    </row>
    <row r="590" spans="1:31" x14ac:dyDescent="0.25">
      <c r="A590" s="423">
        <v>589</v>
      </c>
      <c r="B590" s="423" t="s">
        <v>61</v>
      </c>
      <c r="C590" s="423" t="s">
        <v>2302</v>
      </c>
      <c r="D590" s="972" t="s">
        <v>990</v>
      </c>
      <c r="E590" s="973" t="s">
        <v>991</v>
      </c>
      <c r="F590" s="973" t="s">
        <v>992</v>
      </c>
      <c r="G590" s="973" t="s">
        <v>1997</v>
      </c>
      <c r="H590" s="973" t="s">
        <v>1998</v>
      </c>
      <c r="I590" s="973" t="s">
        <v>1999</v>
      </c>
      <c r="J590" s="972" t="s">
        <v>697</v>
      </c>
      <c r="K590" s="973" t="s">
        <v>995</v>
      </c>
      <c r="L590" s="973" t="s">
        <v>996</v>
      </c>
      <c r="M590" s="973" t="s">
        <v>2000</v>
      </c>
      <c r="N590" s="973" t="s">
        <v>2001</v>
      </c>
      <c r="O590" s="972" t="s">
        <v>1971</v>
      </c>
      <c r="P590" s="973" t="s">
        <v>999</v>
      </c>
      <c r="Q590" s="973" t="s">
        <v>1000</v>
      </c>
      <c r="R590" s="973" t="s">
        <v>1001</v>
      </c>
      <c r="S590" s="973" t="s">
        <v>1002</v>
      </c>
      <c r="T590" s="423">
        <v>1400</v>
      </c>
      <c r="U590" s="423" t="s">
        <v>2301</v>
      </c>
      <c r="V590" s="423">
        <v>0.8</v>
      </c>
      <c r="W590" s="423">
        <v>3.5</v>
      </c>
      <c r="Y590" s="423" t="s">
        <v>1041</v>
      </c>
      <c r="Z590" s="423" t="s">
        <v>1057</v>
      </c>
      <c r="AD590" s="423">
        <f>IF(ISNUMBER(MATCH(B590,'FICHA SOLIC'!$AB$26:$AB$376,0)),1,0)</f>
        <v>1</v>
      </c>
      <c r="AE590" s="423" t="str">
        <f t="shared" si="9"/>
        <v>IquiqueM-10</v>
      </c>
    </row>
    <row r="591" spans="1:31" x14ac:dyDescent="0.25">
      <c r="A591" s="423">
        <v>590</v>
      </c>
      <c r="B591" s="423" t="s">
        <v>61</v>
      </c>
      <c r="C591" s="423" t="s">
        <v>2303</v>
      </c>
      <c r="D591" s="972" t="s">
        <v>990</v>
      </c>
      <c r="E591" s="973" t="s">
        <v>991</v>
      </c>
      <c r="F591" s="973" t="s">
        <v>992</v>
      </c>
      <c r="G591" s="973" t="s">
        <v>1997</v>
      </c>
      <c r="H591" s="973" t="s">
        <v>1998</v>
      </c>
      <c r="I591" s="973" t="s">
        <v>1999</v>
      </c>
      <c r="J591" s="972" t="s">
        <v>697</v>
      </c>
      <c r="K591" s="973" t="s">
        <v>995</v>
      </c>
      <c r="L591" s="973" t="s">
        <v>996</v>
      </c>
      <c r="M591" s="973" t="s">
        <v>2000</v>
      </c>
      <c r="N591" s="973" t="s">
        <v>2001</v>
      </c>
      <c r="O591" s="972" t="s">
        <v>1971</v>
      </c>
      <c r="P591" s="973" t="s">
        <v>999</v>
      </c>
      <c r="Q591" s="973" t="s">
        <v>1000</v>
      </c>
      <c r="R591" s="973" t="s">
        <v>1001</v>
      </c>
      <c r="S591" s="973" t="s">
        <v>1002</v>
      </c>
      <c r="T591" s="423" t="s">
        <v>2304</v>
      </c>
      <c r="U591" s="423" t="s">
        <v>2304</v>
      </c>
      <c r="V591" s="423" t="s">
        <v>2304</v>
      </c>
      <c r="W591" s="423" t="s">
        <v>2304</v>
      </c>
      <c r="X591" s="423" t="s">
        <v>2304</v>
      </c>
      <c r="Y591" s="423" t="s">
        <v>2304</v>
      </c>
      <c r="Z591" s="423" t="s">
        <v>2304</v>
      </c>
      <c r="AD591" s="423">
        <f>IF(ISNUMBER(MATCH(B591,'FICHA SOLIC'!$AB$26:$AB$376,0)),1,0)</f>
        <v>1</v>
      </c>
      <c r="AE591" s="423" t="str">
        <f t="shared" si="9"/>
        <v>IquiqueM-11</v>
      </c>
    </row>
    <row r="592" spans="1:31" x14ac:dyDescent="0.25">
      <c r="A592" s="423">
        <v>591</v>
      </c>
      <c r="B592" s="423" t="s">
        <v>61</v>
      </c>
      <c r="C592" s="423" t="s">
        <v>2305</v>
      </c>
      <c r="D592" s="972" t="s">
        <v>990</v>
      </c>
      <c r="E592" s="973" t="s">
        <v>991</v>
      </c>
      <c r="F592" s="973" t="s">
        <v>992</v>
      </c>
      <c r="G592" s="973" t="s">
        <v>1997</v>
      </c>
      <c r="H592" s="973" t="s">
        <v>1998</v>
      </c>
      <c r="I592" s="973" t="s">
        <v>1999</v>
      </c>
      <c r="J592" s="972" t="s">
        <v>697</v>
      </c>
      <c r="K592" s="973" t="s">
        <v>995</v>
      </c>
      <c r="L592" s="973" t="s">
        <v>996</v>
      </c>
      <c r="M592" s="973" t="s">
        <v>2000</v>
      </c>
      <c r="N592" s="973" t="s">
        <v>2001</v>
      </c>
      <c r="O592" s="972" t="s">
        <v>1971</v>
      </c>
      <c r="P592" s="973" t="s">
        <v>999</v>
      </c>
      <c r="Q592" s="973" t="s">
        <v>1000</v>
      </c>
      <c r="R592" s="973" t="s">
        <v>1001</v>
      </c>
      <c r="S592" s="973" t="s">
        <v>1002</v>
      </c>
      <c r="T592" s="423" t="s">
        <v>2304</v>
      </c>
      <c r="U592" s="423" t="s">
        <v>2304</v>
      </c>
      <c r="V592" s="423" t="s">
        <v>2304</v>
      </c>
      <c r="W592" s="423" t="s">
        <v>2304</v>
      </c>
      <c r="X592" s="423" t="s">
        <v>2304</v>
      </c>
      <c r="Y592" s="423" t="s">
        <v>2304</v>
      </c>
      <c r="Z592" s="423" t="s">
        <v>2304</v>
      </c>
      <c r="AD592" s="423">
        <f>IF(ISNUMBER(MATCH(B592,'FICHA SOLIC'!$AB$26:$AB$376,0)),1,0)</f>
        <v>1</v>
      </c>
      <c r="AE592" s="423" t="str">
        <f t="shared" si="9"/>
        <v>IquiqueM-12</v>
      </c>
    </row>
    <row r="593" spans="1:31" x14ac:dyDescent="0.25">
      <c r="A593" s="423">
        <v>592</v>
      </c>
      <c r="B593" s="423" t="s">
        <v>61</v>
      </c>
      <c r="C593" s="423" t="s">
        <v>1255</v>
      </c>
      <c r="D593" s="972" t="s">
        <v>990</v>
      </c>
      <c r="E593" s="973" t="s">
        <v>991</v>
      </c>
      <c r="F593" s="973" t="s">
        <v>992</v>
      </c>
      <c r="G593" s="973" t="s">
        <v>1997</v>
      </c>
      <c r="H593" s="973" t="s">
        <v>1998</v>
      </c>
      <c r="I593" s="973" t="s">
        <v>1999</v>
      </c>
      <c r="J593" s="972" t="s">
        <v>697</v>
      </c>
      <c r="K593" s="973" t="s">
        <v>995</v>
      </c>
      <c r="L593" s="973" t="s">
        <v>996</v>
      </c>
      <c r="M593" s="973" t="s">
        <v>2000</v>
      </c>
      <c r="N593" s="973" t="s">
        <v>2001</v>
      </c>
      <c r="O593" s="972" t="s">
        <v>1971</v>
      </c>
      <c r="P593" s="973" t="s">
        <v>999</v>
      </c>
      <c r="Q593" s="973" t="s">
        <v>1000</v>
      </c>
      <c r="R593" s="973" t="s">
        <v>1001</v>
      </c>
      <c r="S593" s="973" t="s">
        <v>1002</v>
      </c>
      <c r="T593" s="423">
        <v>120</v>
      </c>
      <c r="U593" s="423" t="s">
        <v>2301</v>
      </c>
      <c r="V593" s="423">
        <v>0.7</v>
      </c>
      <c r="W593" s="423">
        <v>2</v>
      </c>
      <c r="X593" s="423">
        <v>7</v>
      </c>
      <c r="Y593" s="423" t="s">
        <v>1041</v>
      </c>
      <c r="Z593" s="423" t="s">
        <v>1059</v>
      </c>
      <c r="AD593" s="423">
        <f>IF(ISNUMBER(MATCH(B593,'FICHA SOLIC'!$AB$26:$AB$376,0)),1,0)</f>
        <v>1</v>
      </c>
      <c r="AE593" s="423" t="str">
        <f t="shared" si="9"/>
        <v>IquiqueM-2</v>
      </c>
    </row>
    <row r="594" spans="1:31" x14ac:dyDescent="0.25">
      <c r="A594" s="423">
        <v>593</v>
      </c>
      <c r="B594" s="423" t="s">
        <v>61</v>
      </c>
      <c r="C594" s="423" t="s">
        <v>1256</v>
      </c>
      <c r="D594" s="972" t="s">
        <v>990</v>
      </c>
      <c r="E594" s="973" t="s">
        <v>991</v>
      </c>
      <c r="F594" s="973" t="s">
        <v>992</v>
      </c>
      <c r="G594" s="973" t="s">
        <v>1997</v>
      </c>
      <c r="H594" s="973" t="s">
        <v>1998</v>
      </c>
      <c r="I594" s="973" t="s">
        <v>1999</v>
      </c>
      <c r="J594" s="972" t="s">
        <v>697</v>
      </c>
      <c r="K594" s="973" t="s">
        <v>995</v>
      </c>
      <c r="L594" s="973" t="s">
        <v>996</v>
      </c>
      <c r="M594" s="973" t="s">
        <v>2000</v>
      </c>
      <c r="N594" s="973" t="s">
        <v>2001</v>
      </c>
      <c r="O594" s="972" t="s">
        <v>1971</v>
      </c>
      <c r="P594" s="973" t="s">
        <v>999</v>
      </c>
      <c r="Q594" s="973" t="s">
        <v>1000</v>
      </c>
      <c r="R594" s="973" t="s">
        <v>1001</v>
      </c>
      <c r="S594" s="973" t="s">
        <v>1002</v>
      </c>
      <c r="T594" s="423">
        <v>160</v>
      </c>
      <c r="U594" s="423" t="s">
        <v>2301</v>
      </c>
      <c r="V594" s="423">
        <v>0.7</v>
      </c>
      <c r="W594" s="423">
        <v>1.3</v>
      </c>
      <c r="X594" s="423">
        <v>7</v>
      </c>
      <c r="Y594" s="423" t="s">
        <v>1041</v>
      </c>
      <c r="Z594" s="423" t="s">
        <v>2306</v>
      </c>
      <c r="AD594" s="423">
        <f>IF(ISNUMBER(MATCH(B594,'FICHA SOLIC'!$AB$26:$AB$376,0)),1,0)</f>
        <v>1</v>
      </c>
      <c r="AE594" s="423" t="str">
        <f t="shared" si="9"/>
        <v>IquiqueM-3</v>
      </c>
    </row>
    <row r="595" spans="1:31" x14ac:dyDescent="0.25">
      <c r="A595" s="423">
        <v>594</v>
      </c>
      <c r="B595" s="423" t="s">
        <v>61</v>
      </c>
      <c r="C595" s="423" t="s">
        <v>1257</v>
      </c>
      <c r="D595" s="972" t="s">
        <v>990</v>
      </c>
      <c r="E595" s="973" t="s">
        <v>991</v>
      </c>
      <c r="F595" s="973" t="s">
        <v>992</v>
      </c>
      <c r="G595" s="973" t="s">
        <v>1997</v>
      </c>
      <c r="H595" s="973" t="s">
        <v>1998</v>
      </c>
      <c r="I595" s="973" t="s">
        <v>1999</v>
      </c>
      <c r="J595" s="972" t="s">
        <v>697</v>
      </c>
      <c r="K595" s="973" t="s">
        <v>995</v>
      </c>
      <c r="L595" s="973" t="s">
        <v>996</v>
      </c>
      <c r="M595" s="973" t="s">
        <v>2000</v>
      </c>
      <c r="N595" s="973" t="s">
        <v>2001</v>
      </c>
      <c r="O595" s="972" t="s">
        <v>1971</v>
      </c>
      <c r="P595" s="973" t="s">
        <v>999</v>
      </c>
      <c r="Q595" s="973" t="s">
        <v>1000</v>
      </c>
      <c r="R595" s="973" t="s">
        <v>1001</v>
      </c>
      <c r="S595" s="973" t="s">
        <v>1002</v>
      </c>
      <c r="T595" s="423">
        <v>350</v>
      </c>
      <c r="U595" s="423" t="s">
        <v>2301</v>
      </c>
      <c r="V595" s="423">
        <v>0.65</v>
      </c>
      <c r="W595" s="423">
        <v>1.5</v>
      </c>
      <c r="X595" s="423">
        <v>7</v>
      </c>
      <c r="Y595" s="423" t="s">
        <v>1041</v>
      </c>
      <c r="Z595" s="423" t="s">
        <v>2306</v>
      </c>
      <c r="AD595" s="423">
        <f>IF(ISNUMBER(MATCH(B595,'FICHA SOLIC'!$AB$26:$AB$376,0)),1,0)</f>
        <v>1</v>
      </c>
      <c r="AE595" s="423" t="str">
        <f t="shared" si="9"/>
        <v>IquiqueM-4</v>
      </c>
    </row>
    <row r="596" spans="1:31" x14ac:dyDescent="0.25">
      <c r="A596" s="423">
        <v>595</v>
      </c>
      <c r="B596" s="423" t="s">
        <v>61</v>
      </c>
      <c r="C596" s="423" t="s">
        <v>1258</v>
      </c>
      <c r="D596" s="972" t="s">
        <v>990</v>
      </c>
      <c r="E596" s="973" t="s">
        <v>991</v>
      </c>
      <c r="F596" s="973" t="s">
        <v>992</v>
      </c>
      <c r="G596" s="973" t="s">
        <v>1997</v>
      </c>
      <c r="H596" s="973" t="s">
        <v>1998</v>
      </c>
      <c r="I596" s="973" t="s">
        <v>1999</v>
      </c>
      <c r="J596" s="972" t="s">
        <v>697</v>
      </c>
      <c r="K596" s="973" t="s">
        <v>995</v>
      </c>
      <c r="L596" s="973" t="s">
        <v>996</v>
      </c>
      <c r="M596" s="973" t="s">
        <v>2000</v>
      </c>
      <c r="N596" s="973" t="s">
        <v>2001</v>
      </c>
      <c r="O596" s="972" t="s">
        <v>1971</v>
      </c>
      <c r="P596" s="973" t="s">
        <v>999</v>
      </c>
      <c r="Q596" s="973" t="s">
        <v>1000</v>
      </c>
      <c r="R596" s="973" t="s">
        <v>1001</v>
      </c>
      <c r="S596" s="973" t="s">
        <v>1002</v>
      </c>
      <c r="T596" s="423">
        <v>420</v>
      </c>
      <c r="U596" s="423" t="s">
        <v>2301</v>
      </c>
      <c r="V596" s="423">
        <v>0.65</v>
      </c>
      <c r="W596" s="423">
        <v>0.65</v>
      </c>
      <c r="X596" s="423">
        <v>7</v>
      </c>
      <c r="Y596" s="423" t="s">
        <v>1041</v>
      </c>
      <c r="Z596" s="423" t="s">
        <v>2306</v>
      </c>
      <c r="AD596" s="423">
        <f>IF(ISNUMBER(MATCH(B596,'FICHA SOLIC'!$AB$26:$AB$376,0)),1,0)</f>
        <v>1</v>
      </c>
      <c r="AE596" s="423" t="str">
        <f t="shared" si="9"/>
        <v>IquiqueM-5</v>
      </c>
    </row>
    <row r="597" spans="1:31" x14ac:dyDescent="0.25">
      <c r="A597" s="423">
        <v>596</v>
      </c>
      <c r="B597" s="423" t="s">
        <v>61</v>
      </c>
      <c r="C597" s="423" t="s">
        <v>2307</v>
      </c>
      <c r="D597" s="972" t="s">
        <v>990</v>
      </c>
      <c r="E597" s="973" t="s">
        <v>991</v>
      </c>
      <c r="F597" s="973" t="s">
        <v>992</v>
      </c>
      <c r="G597" s="973" t="s">
        <v>1997</v>
      </c>
      <c r="H597" s="973" t="s">
        <v>1998</v>
      </c>
      <c r="I597" s="973" t="s">
        <v>1999</v>
      </c>
      <c r="J597" s="972" t="s">
        <v>697</v>
      </c>
      <c r="K597" s="973" t="s">
        <v>995</v>
      </c>
      <c r="L597" s="973" t="s">
        <v>996</v>
      </c>
      <c r="M597" s="973" t="s">
        <v>2000</v>
      </c>
      <c r="N597" s="973" t="s">
        <v>2001</v>
      </c>
      <c r="O597" s="972" t="s">
        <v>1971</v>
      </c>
      <c r="P597" s="973" t="s">
        <v>999</v>
      </c>
      <c r="Q597" s="973" t="s">
        <v>1000</v>
      </c>
      <c r="R597" s="973" t="s">
        <v>1001</v>
      </c>
      <c r="S597" s="973" t="s">
        <v>1002</v>
      </c>
      <c r="T597" s="423">
        <v>5000</v>
      </c>
      <c r="U597" s="423" t="s">
        <v>2301</v>
      </c>
      <c r="V597" s="423">
        <v>0.5</v>
      </c>
      <c r="W597" s="423">
        <v>0.5</v>
      </c>
      <c r="X597" s="423" t="s">
        <v>1447</v>
      </c>
      <c r="Y597" s="423" t="s">
        <v>1041</v>
      </c>
      <c r="Z597" s="423" t="s">
        <v>1058</v>
      </c>
      <c r="AD597" s="423">
        <f>IF(ISNUMBER(MATCH(B597,'FICHA SOLIC'!$AB$26:$AB$376,0)),1,0)</f>
        <v>1</v>
      </c>
      <c r="AE597" s="423" t="str">
        <f t="shared" si="9"/>
        <v>IquiqueM-6</v>
      </c>
    </row>
    <row r="598" spans="1:31" x14ac:dyDescent="0.25">
      <c r="A598" s="423">
        <v>597</v>
      </c>
      <c r="B598" s="423" t="s">
        <v>61</v>
      </c>
      <c r="C598" s="423" t="s">
        <v>2308</v>
      </c>
      <c r="D598" s="972" t="s">
        <v>990</v>
      </c>
      <c r="E598" s="973" t="s">
        <v>991</v>
      </c>
      <c r="F598" s="973" t="s">
        <v>992</v>
      </c>
      <c r="G598" s="973" t="s">
        <v>1997</v>
      </c>
      <c r="H598" s="973" t="s">
        <v>1998</v>
      </c>
      <c r="I598" s="973" t="s">
        <v>1999</v>
      </c>
      <c r="J598" s="972" t="s">
        <v>697</v>
      </c>
      <c r="K598" s="973" t="s">
        <v>995</v>
      </c>
      <c r="L598" s="973" t="s">
        <v>996</v>
      </c>
      <c r="M598" s="973" t="s">
        <v>2000</v>
      </c>
      <c r="N598" s="973" t="s">
        <v>2001</v>
      </c>
      <c r="O598" s="972" t="s">
        <v>1971</v>
      </c>
      <c r="P598" s="973" t="s">
        <v>999</v>
      </c>
      <c r="Q598" s="973" t="s">
        <v>1000</v>
      </c>
      <c r="R598" s="973" t="s">
        <v>1001</v>
      </c>
      <c r="S598" s="973" t="s">
        <v>1002</v>
      </c>
      <c r="T598" s="423">
        <v>400</v>
      </c>
      <c r="U598" s="423" t="s">
        <v>2301</v>
      </c>
      <c r="V598" s="423">
        <v>0.52</v>
      </c>
      <c r="W598" s="423">
        <v>1</v>
      </c>
      <c r="X598" s="423">
        <v>7</v>
      </c>
      <c r="Y598" s="423" t="s">
        <v>1041</v>
      </c>
      <c r="Z598" s="423" t="s">
        <v>1057</v>
      </c>
      <c r="AD598" s="423">
        <f>IF(ISNUMBER(MATCH(B598,'FICHA SOLIC'!$AB$26:$AB$376,0)),1,0)</f>
        <v>1</v>
      </c>
      <c r="AE598" s="423" t="str">
        <f t="shared" si="9"/>
        <v>IquiqueM-6-1</v>
      </c>
    </row>
    <row r="599" spans="1:31" x14ac:dyDescent="0.25">
      <c r="A599" s="423">
        <v>598</v>
      </c>
      <c r="B599" s="423" t="s">
        <v>61</v>
      </c>
      <c r="C599" s="423" t="s">
        <v>2309</v>
      </c>
      <c r="D599" s="972" t="s">
        <v>990</v>
      </c>
      <c r="E599" s="973" t="s">
        <v>991</v>
      </c>
      <c r="F599" s="973" t="s">
        <v>992</v>
      </c>
      <c r="G599" s="973" t="s">
        <v>1997</v>
      </c>
      <c r="H599" s="973" t="s">
        <v>1998</v>
      </c>
      <c r="I599" s="973" t="s">
        <v>1999</v>
      </c>
      <c r="J599" s="972" t="s">
        <v>697</v>
      </c>
      <c r="K599" s="973" t="s">
        <v>995</v>
      </c>
      <c r="L599" s="973" t="s">
        <v>996</v>
      </c>
      <c r="M599" s="973" t="s">
        <v>2000</v>
      </c>
      <c r="N599" s="973" t="s">
        <v>2001</v>
      </c>
      <c r="O599" s="972" t="s">
        <v>1971</v>
      </c>
      <c r="P599" s="973" t="s">
        <v>999</v>
      </c>
      <c r="Q599" s="973" t="s">
        <v>1000</v>
      </c>
      <c r="R599" s="973" t="s">
        <v>1001</v>
      </c>
      <c r="S599" s="973" t="s">
        <v>1002</v>
      </c>
      <c r="T599" s="423">
        <v>2000</v>
      </c>
      <c r="U599" s="423" t="s">
        <v>2301</v>
      </c>
      <c r="V599" s="423">
        <v>0.5</v>
      </c>
      <c r="W599" s="423">
        <v>2.5</v>
      </c>
      <c r="X599" s="423" t="s">
        <v>1447</v>
      </c>
      <c r="Y599" s="423" t="s">
        <v>1041</v>
      </c>
      <c r="Z599" s="423" t="s">
        <v>1058</v>
      </c>
      <c r="AD599" s="423">
        <f>IF(ISNUMBER(MATCH(B599,'FICHA SOLIC'!$AB$26:$AB$376,0)),1,0)</f>
        <v>1</v>
      </c>
      <c r="AE599" s="423" t="str">
        <f t="shared" si="9"/>
        <v>IquiqueM-7</v>
      </c>
    </row>
    <row r="600" spans="1:31" x14ac:dyDescent="0.25">
      <c r="A600" s="423">
        <v>599</v>
      </c>
      <c r="B600" s="423" t="s">
        <v>61</v>
      </c>
      <c r="C600" s="423" t="s">
        <v>2310</v>
      </c>
      <c r="D600" s="972" t="s">
        <v>990</v>
      </c>
      <c r="E600" s="973" t="s">
        <v>991</v>
      </c>
      <c r="F600" s="973" t="s">
        <v>992</v>
      </c>
      <c r="G600" s="973" t="s">
        <v>1997</v>
      </c>
      <c r="H600" s="973" t="s">
        <v>1998</v>
      </c>
      <c r="I600" s="973" t="s">
        <v>1999</v>
      </c>
      <c r="J600" s="972" t="s">
        <v>697</v>
      </c>
      <c r="K600" s="973" t="s">
        <v>995</v>
      </c>
      <c r="L600" s="973" t="s">
        <v>996</v>
      </c>
      <c r="M600" s="973" t="s">
        <v>2000</v>
      </c>
      <c r="N600" s="973" t="s">
        <v>2001</v>
      </c>
      <c r="O600" s="972" t="s">
        <v>1971</v>
      </c>
      <c r="P600" s="973" t="s">
        <v>999</v>
      </c>
      <c r="Q600" s="973" t="s">
        <v>1000</v>
      </c>
      <c r="R600" s="973" t="s">
        <v>1001</v>
      </c>
      <c r="S600" s="973" t="s">
        <v>1002</v>
      </c>
      <c r="T600" s="423">
        <v>300</v>
      </c>
      <c r="U600" s="423" t="s">
        <v>2301</v>
      </c>
      <c r="V600" s="423">
        <v>0.8</v>
      </c>
      <c r="W600" s="423">
        <v>0.65</v>
      </c>
      <c r="X600" s="423" t="s">
        <v>1447</v>
      </c>
      <c r="Y600" s="423" t="s">
        <v>1041</v>
      </c>
      <c r="Z600" s="423" t="s">
        <v>1057</v>
      </c>
      <c r="AD600" s="423">
        <f>IF(ISNUMBER(MATCH(B600,'FICHA SOLIC'!$AB$26:$AB$376,0)),1,0)</f>
        <v>1</v>
      </c>
      <c r="AE600" s="423" t="str">
        <f t="shared" si="9"/>
        <v>IquiqueM-8</v>
      </c>
    </row>
    <row r="601" spans="1:31" x14ac:dyDescent="0.25">
      <c r="A601" s="423">
        <v>600</v>
      </c>
      <c r="B601" s="423" t="s">
        <v>61</v>
      </c>
      <c r="C601" s="423" t="s">
        <v>2311</v>
      </c>
      <c r="D601" s="972" t="s">
        <v>990</v>
      </c>
      <c r="E601" s="973" t="s">
        <v>991</v>
      </c>
      <c r="F601" s="973" t="s">
        <v>992</v>
      </c>
      <c r="G601" s="973" t="s">
        <v>1997</v>
      </c>
      <c r="H601" s="973" t="s">
        <v>1998</v>
      </c>
      <c r="I601" s="973" t="s">
        <v>1999</v>
      </c>
      <c r="J601" s="972" t="s">
        <v>697</v>
      </c>
      <c r="K601" s="973" t="s">
        <v>995</v>
      </c>
      <c r="L601" s="973" t="s">
        <v>996</v>
      </c>
      <c r="M601" s="973" t="s">
        <v>2000</v>
      </c>
      <c r="N601" s="973" t="s">
        <v>2001</v>
      </c>
      <c r="O601" s="972" t="s">
        <v>1971</v>
      </c>
      <c r="P601" s="973" t="s">
        <v>999</v>
      </c>
      <c r="Q601" s="973" t="s">
        <v>1000</v>
      </c>
      <c r="R601" s="973" t="s">
        <v>1001</v>
      </c>
      <c r="S601" s="973" t="s">
        <v>1002</v>
      </c>
      <c r="T601" s="423">
        <v>2000</v>
      </c>
      <c r="U601" s="423" t="s">
        <v>2301</v>
      </c>
      <c r="V601" s="423">
        <v>0.8</v>
      </c>
      <c r="W601" s="423">
        <v>2</v>
      </c>
      <c r="X601" s="423">
        <v>8.4</v>
      </c>
      <c r="Y601" s="423" t="s">
        <v>1041</v>
      </c>
      <c r="Z601" s="423" t="s">
        <v>1057</v>
      </c>
      <c r="AD601" s="423">
        <f>IF(ISNUMBER(MATCH(B601,'FICHA SOLIC'!$AB$26:$AB$376,0)),1,0)</f>
        <v>1</v>
      </c>
      <c r="AE601" s="423" t="str">
        <f t="shared" si="9"/>
        <v>IquiqueM-9</v>
      </c>
    </row>
    <row r="602" spans="1:31" x14ac:dyDescent="0.25">
      <c r="A602" s="423">
        <v>601</v>
      </c>
      <c r="B602" s="423" t="s">
        <v>452</v>
      </c>
      <c r="C602" s="423" t="s">
        <v>2032</v>
      </c>
      <c r="D602" s="972" t="s">
        <v>990</v>
      </c>
      <c r="E602" s="973" t="s">
        <v>991</v>
      </c>
      <c r="F602" s="973" t="s">
        <v>992</v>
      </c>
      <c r="G602" s="973" t="s">
        <v>1997</v>
      </c>
      <c r="H602" s="973" t="s">
        <v>1998</v>
      </c>
      <c r="I602" s="973" t="s">
        <v>1999</v>
      </c>
      <c r="J602" s="972" t="s">
        <v>697</v>
      </c>
      <c r="K602" s="973" t="s">
        <v>995</v>
      </c>
      <c r="L602" s="973" t="s">
        <v>996</v>
      </c>
      <c r="M602" s="973" t="s">
        <v>2000</v>
      </c>
      <c r="N602" s="973" t="s">
        <v>2001</v>
      </c>
      <c r="O602" s="972" t="s">
        <v>1971</v>
      </c>
      <c r="P602" s="973" t="s">
        <v>999</v>
      </c>
      <c r="Q602" s="973" t="s">
        <v>1000</v>
      </c>
      <c r="R602" s="973" t="s">
        <v>1001</v>
      </c>
      <c r="S602" s="973" t="s">
        <v>1002</v>
      </c>
      <c r="T602" s="423" t="s">
        <v>2032</v>
      </c>
      <c r="U602" s="423" t="s">
        <v>2032</v>
      </c>
      <c r="V602" s="423" t="s">
        <v>2032</v>
      </c>
      <c r="W602" s="423" t="s">
        <v>2032</v>
      </c>
      <c r="X602" s="423" t="s">
        <v>2032</v>
      </c>
      <c r="Y602" s="423" t="s">
        <v>2032</v>
      </c>
      <c r="Z602" s="423" t="s">
        <v>2032</v>
      </c>
      <c r="AD602" s="423">
        <f>IF(ISNUMBER(MATCH(B602,'FICHA SOLIC'!$AB$26:$AB$376,0)),1,0)</f>
        <v>1</v>
      </c>
      <c r="AE602" s="423" t="str">
        <f t="shared" si="9"/>
        <v>Isla de MaipoPRMS</v>
      </c>
    </row>
    <row r="603" spans="1:31" x14ac:dyDescent="0.25">
      <c r="A603" s="423">
        <v>602</v>
      </c>
      <c r="B603" s="423" t="s">
        <v>148</v>
      </c>
      <c r="C603" s="423" t="s">
        <v>1041</v>
      </c>
      <c r="D603" s="972" t="s">
        <v>990</v>
      </c>
      <c r="E603" s="973" t="s">
        <v>991</v>
      </c>
      <c r="F603" s="973" t="s">
        <v>992</v>
      </c>
      <c r="G603" s="973" t="s">
        <v>1997</v>
      </c>
      <c r="H603" s="973" t="s">
        <v>1998</v>
      </c>
      <c r="I603" s="973" t="s">
        <v>1999</v>
      </c>
      <c r="J603" s="972" t="s">
        <v>697</v>
      </c>
      <c r="K603" s="973" t="s">
        <v>995</v>
      </c>
      <c r="L603" s="973" t="s">
        <v>996</v>
      </c>
      <c r="M603" s="973" t="s">
        <v>2000</v>
      </c>
      <c r="N603" s="973" t="s">
        <v>2001</v>
      </c>
      <c r="O603" s="972" t="s">
        <v>1971</v>
      </c>
      <c r="P603" s="973" t="s">
        <v>999</v>
      </c>
      <c r="Q603" s="973" t="s">
        <v>1000</v>
      </c>
      <c r="R603" s="973" t="s">
        <v>1001</v>
      </c>
      <c r="S603" s="973" t="s">
        <v>1002</v>
      </c>
      <c r="T603" s="423" t="s">
        <v>1041</v>
      </c>
      <c r="U603" s="423" t="s">
        <v>1041</v>
      </c>
      <c r="V603" s="423" t="s">
        <v>1041</v>
      </c>
      <c r="W603" s="423" t="s">
        <v>1041</v>
      </c>
      <c r="X603" s="423" t="s">
        <v>1041</v>
      </c>
      <c r="Y603" s="423" t="s">
        <v>1041</v>
      </c>
      <c r="Z603" s="423" t="s">
        <v>1041</v>
      </c>
      <c r="AD603" s="423">
        <f>IF(ISNUMBER(MATCH(B603,'FICHA SOLIC'!$AB$26:$AB$376,0)),1,0)</f>
        <v>1</v>
      </c>
      <c r="AE603" s="423" t="str">
        <f t="shared" si="9"/>
        <v>Juan FernándezOGUC</v>
      </c>
    </row>
    <row r="604" spans="1:31" x14ac:dyDescent="0.25">
      <c r="A604" s="423">
        <v>603</v>
      </c>
      <c r="B604" s="423" t="s">
        <v>2312</v>
      </c>
      <c r="C604" s="423" t="s">
        <v>1489</v>
      </c>
      <c r="D604" s="972" t="s">
        <v>990</v>
      </c>
      <c r="E604" s="973" t="s">
        <v>991</v>
      </c>
      <c r="F604" s="973" t="s">
        <v>992</v>
      </c>
      <c r="G604" s="973" t="s">
        <v>1997</v>
      </c>
      <c r="H604" s="973" t="s">
        <v>1998</v>
      </c>
      <c r="I604" s="973" t="s">
        <v>1999</v>
      </c>
      <c r="J604" s="972" t="s">
        <v>697</v>
      </c>
      <c r="K604" s="973" t="s">
        <v>995</v>
      </c>
      <c r="L604" s="973" t="s">
        <v>996</v>
      </c>
      <c r="M604" s="973" t="s">
        <v>2000</v>
      </c>
      <c r="N604" s="973" t="s">
        <v>2001</v>
      </c>
      <c r="O604" s="972" t="s">
        <v>1971</v>
      </c>
      <c r="P604" s="973" t="s">
        <v>999</v>
      </c>
      <c r="Q604" s="973" t="s">
        <v>1000</v>
      </c>
      <c r="R604" s="973" t="s">
        <v>1001</v>
      </c>
      <c r="S604" s="973" t="s">
        <v>1002</v>
      </c>
      <c r="T604" s="423">
        <v>1000</v>
      </c>
      <c r="U604" s="423" t="s">
        <v>1041</v>
      </c>
      <c r="V604" s="423">
        <v>50</v>
      </c>
      <c r="W604" s="423">
        <v>0.7</v>
      </c>
      <c r="X604" s="423">
        <v>15</v>
      </c>
      <c r="Y604" s="423" t="s">
        <v>1041</v>
      </c>
      <c r="Z604" s="423" t="s">
        <v>1058</v>
      </c>
      <c r="AD604" s="423">
        <f>IF(ISNUMBER(MATCH(B604,'FICHA SOLIC'!$AB$26:$AB$376,0)),1,0)</f>
        <v>0</v>
      </c>
      <c r="AE604" s="423" t="str">
        <f t="shared" si="9"/>
        <v>La CaleraZAP</v>
      </c>
    </row>
    <row r="605" spans="1:31" x14ac:dyDescent="0.25">
      <c r="A605" s="423">
        <v>604</v>
      </c>
      <c r="B605" s="423" t="s">
        <v>2312</v>
      </c>
      <c r="C605" s="423" t="s">
        <v>2247</v>
      </c>
      <c r="D605" s="972" t="s">
        <v>990</v>
      </c>
      <c r="E605" s="973" t="s">
        <v>991</v>
      </c>
      <c r="F605" s="973" t="s">
        <v>992</v>
      </c>
      <c r="G605" s="973" t="s">
        <v>1997</v>
      </c>
      <c r="H605" s="973" t="s">
        <v>1998</v>
      </c>
      <c r="I605" s="973" t="s">
        <v>1999</v>
      </c>
      <c r="J605" s="972" t="s">
        <v>697</v>
      </c>
      <c r="K605" s="973" t="s">
        <v>995</v>
      </c>
      <c r="L605" s="973" t="s">
        <v>996</v>
      </c>
      <c r="M605" s="973" t="s">
        <v>2000</v>
      </c>
      <c r="N605" s="973" t="s">
        <v>2001</v>
      </c>
      <c r="O605" s="972" t="s">
        <v>1971</v>
      </c>
      <c r="P605" s="973" t="s">
        <v>999</v>
      </c>
      <c r="Q605" s="973" t="s">
        <v>1000</v>
      </c>
      <c r="R605" s="973" t="s">
        <v>1001</v>
      </c>
      <c r="S605" s="973" t="s">
        <v>1002</v>
      </c>
      <c r="T605" s="423">
        <v>250</v>
      </c>
      <c r="U605" s="423" t="s">
        <v>1041</v>
      </c>
      <c r="V605" s="423">
        <v>75</v>
      </c>
      <c r="W605" s="423">
        <v>1</v>
      </c>
      <c r="X605" s="423">
        <v>7</v>
      </c>
      <c r="Y605" s="423" t="s">
        <v>1041</v>
      </c>
      <c r="Z605" s="423" t="s">
        <v>1058</v>
      </c>
      <c r="AD605" s="423">
        <f>IF(ISNUMBER(MATCH(B605,'FICHA SOLIC'!$AB$26:$AB$376,0)),1,0)</f>
        <v>0</v>
      </c>
      <c r="AE605" s="423" t="str">
        <f t="shared" si="9"/>
        <v>La CaleraZCH1</v>
      </c>
    </row>
    <row r="606" spans="1:31" x14ac:dyDescent="0.25">
      <c r="A606" s="423">
        <v>605</v>
      </c>
      <c r="B606" s="423" t="s">
        <v>2312</v>
      </c>
      <c r="C606" s="423" t="s">
        <v>2313</v>
      </c>
      <c r="D606" s="972" t="s">
        <v>990</v>
      </c>
      <c r="E606" s="973" t="s">
        <v>991</v>
      </c>
      <c r="F606" s="973" t="s">
        <v>992</v>
      </c>
      <c r="G606" s="973" t="s">
        <v>1997</v>
      </c>
      <c r="H606" s="973" t="s">
        <v>1998</v>
      </c>
      <c r="I606" s="973" t="s">
        <v>1999</v>
      </c>
      <c r="J606" s="972" t="s">
        <v>697</v>
      </c>
      <c r="K606" s="973" t="s">
        <v>995</v>
      </c>
      <c r="L606" s="973" t="s">
        <v>996</v>
      </c>
      <c r="M606" s="973" t="s">
        <v>2000</v>
      </c>
      <c r="N606" s="973" t="s">
        <v>2001</v>
      </c>
      <c r="O606" s="972" t="s">
        <v>1971</v>
      </c>
      <c r="P606" s="973" t="s">
        <v>999</v>
      </c>
      <c r="Q606" s="973" t="s">
        <v>1000</v>
      </c>
      <c r="R606" s="973" t="s">
        <v>1001</v>
      </c>
      <c r="S606" s="973" t="s">
        <v>1002</v>
      </c>
      <c r="T606" s="423">
        <v>250</v>
      </c>
      <c r="U606" s="423" t="s">
        <v>1041</v>
      </c>
      <c r="V606" s="423">
        <v>60</v>
      </c>
      <c r="W606" s="423">
        <v>0.8</v>
      </c>
      <c r="X606" s="423">
        <v>7</v>
      </c>
      <c r="Y606" s="423" t="s">
        <v>1041</v>
      </c>
      <c r="Z606" s="423" t="s">
        <v>1058</v>
      </c>
      <c r="AD606" s="423">
        <f>IF(ISNUMBER(MATCH(B606,'FICHA SOLIC'!$AB$26:$AB$376,0)),1,0)</f>
        <v>0</v>
      </c>
      <c r="AE606" s="423" t="str">
        <f t="shared" si="9"/>
        <v>La CaleraZCH2</v>
      </c>
    </row>
    <row r="607" spans="1:31" x14ac:dyDescent="0.25">
      <c r="A607" s="423">
        <v>606</v>
      </c>
      <c r="B607" s="423" t="s">
        <v>2312</v>
      </c>
      <c r="C607" s="423" t="s">
        <v>2314</v>
      </c>
      <c r="D607" s="972" t="s">
        <v>990</v>
      </c>
      <c r="E607" s="973" t="s">
        <v>991</v>
      </c>
      <c r="F607" s="973" t="s">
        <v>992</v>
      </c>
      <c r="G607" s="973" t="s">
        <v>1997</v>
      </c>
      <c r="H607" s="973" t="s">
        <v>1998</v>
      </c>
      <c r="I607" s="973" t="s">
        <v>1999</v>
      </c>
      <c r="J607" s="972" t="s">
        <v>697</v>
      </c>
      <c r="K607" s="973" t="s">
        <v>995</v>
      </c>
      <c r="L607" s="973" t="s">
        <v>996</v>
      </c>
      <c r="M607" s="973" t="s">
        <v>2000</v>
      </c>
      <c r="N607" s="973" t="s">
        <v>2001</v>
      </c>
      <c r="O607" s="972" t="s">
        <v>1971</v>
      </c>
      <c r="P607" s="973" t="s">
        <v>999</v>
      </c>
      <c r="Q607" s="973" t="s">
        <v>1000</v>
      </c>
      <c r="R607" s="973" t="s">
        <v>1001</v>
      </c>
      <c r="S607" s="973" t="s">
        <v>1002</v>
      </c>
      <c r="T607" s="423">
        <v>250</v>
      </c>
      <c r="U607" s="423" t="s">
        <v>1041</v>
      </c>
      <c r="V607" s="423">
        <v>60</v>
      </c>
      <c r="W607" s="423">
        <v>0.8</v>
      </c>
      <c r="X607" s="423">
        <v>7</v>
      </c>
      <c r="Y607" s="423" t="s">
        <v>1041</v>
      </c>
      <c r="Z607" s="423" t="s">
        <v>1057</v>
      </c>
      <c r="AD607" s="423">
        <f>IF(ISNUMBER(MATCH(B607,'FICHA SOLIC'!$AB$26:$AB$376,0)),1,0)</f>
        <v>0</v>
      </c>
      <c r="AE607" s="423" t="str">
        <f t="shared" si="9"/>
        <v>La CaleraZCH3</v>
      </c>
    </row>
    <row r="608" spans="1:31" x14ac:dyDescent="0.25">
      <c r="A608" s="423">
        <v>607</v>
      </c>
      <c r="B608" s="423" t="s">
        <v>2312</v>
      </c>
      <c r="C608" s="423" t="s">
        <v>2315</v>
      </c>
      <c r="D608" s="972" t="s">
        <v>990</v>
      </c>
      <c r="E608" s="973" t="s">
        <v>991</v>
      </c>
      <c r="F608" s="973" t="s">
        <v>992</v>
      </c>
      <c r="G608" s="973" t="s">
        <v>1997</v>
      </c>
      <c r="H608" s="973" t="s">
        <v>1998</v>
      </c>
      <c r="I608" s="973" t="s">
        <v>1999</v>
      </c>
      <c r="J608" s="972" t="s">
        <v>697</v>
      </c>
      <c r="K608" s="973" t="s">
        <v>995</v>
      </c>
      <c r="L608" s="973" t="s">
        <v>996</v>
      </c>
      <c r="M608" s="973" t="s">
        <v>2000</v>
      </c>
      <c r="N608" s="973" t="s">
        <v>2001</v>
      </c>
      <c r="O608" s="972" t="s">
        <v>1971</v>
      </c>
      <c r="P608" s="973" t="s">
        <v>999</v>
      </c>
      <c r="Q608" s="973" t="s">
        <v>1000</v>
      </c>
      <c r="R608" s="973" t="s">
        <v>1001</v>
      </c>
      <c r="S608" s="973" t="s">
        <v>1002</v>
      </c>
      <c r="T608" s="423">
        <v>250</v>
      </c>
      <c r="U608" s="423" t="s">
        <v>1041</v>
      </c>
      <c r="V608" s="423">
        <v>100</v>
      </c>
      <c r="W608" s="423">
        <v>1</v>
      </c>
      <c r="X608" s="423">
        <v>3.5</v>
      </c>
      <c r="Y608" s="423" t="s">
        <v>1041</v>
      </c>
      <c r="Z608" s="423" t="s">
        <v>2316</v>
      </c>
      <c r="AD608" s="423">
        <f>IF(ISNUMBER(MATCH(B608,'FICHA SOLIC'!$AB$26:$AB$376,0)),1,0)</f>
        <v>0</v>
      </c>
      <c r="AE608" s="423" t="str">
        <f t="shared" si="9"/>
        <v>La CaleraZCH4</v>
      </c>
    </row>
    <row r="609" spans="1:31" x14ac:dyDescent="0.25">
      <c r="A609" s="423">
        <v>608</v>
      </c>
      <c r="B609" s="423" t="s">
        <v>2312</v>
      </c>
      <c r="C609" s="423" t="s">
        <v>2317</v>
      </c>
      <c r="D609" s="972" t="s">
        <v>990</v>
      </c>
      <c r="E609" s="973" t="s">
        <v>991</v>
      </c>
      <c r="F609" s="973" t="s">
        <v>992</v>
      </c>
      <c r="G609" s="973" t="s">
        <v>1997</v>
      </c>
      <c r="H609" s="973" t="s">
        <v>1998</v>
      </c>
      <c r="I609" s="973" t="s">
        <v>1999</v>
      </c>
      <c r="J609" s="972" t="s">
        <v>697</v>
      </c>
      <c r="K609" s="973" t="s">
        <v>995</v>
      </c>
      <c r="L609" s="973" t="s">
        <v>996</v>
      </c>
      <c r="M609" s="973" t="s">
        <v>2000</v>
      </c>
      <c r="N609" s="973" t="s">
        <v>2001</v>
      </c>
      <c r="O609" s="972" t="s">
        <v>1971</v>
      </c>
      <c r="P609" s="973" t="s">
        <v>999</v>
      </c>
      <c r="Q609" s="973" t="s">
        <v>1000</v>
      </c>
      <c r="R609" s="973" t="s">
        <v>1001</v>
      </c>
      <c r="S609" s="973" t="s">
        <v>1002</v>
      </c>
      <c r="T609" s="423">
        <v>250</v>
      </c>
      <c r="U609" s="423" t="s">
        <v>1041</v>
      </c>
      <c r="V609" s="423">
        <v>100</v>
      </c>
      <c r="W609" s="423">
        <v>1</v>
      </c>
      <c r="X609" s="423">
        <v>3.5</v>
      </c>
      <c r="Y609" s="423" t="s">
        <v>1041</v>
      </c>
      <c r="Z609" s="423" t="s">
        <v>2316</v>
      </c>
      <c r="AD609" s="423">
        <f>IF(ISNUMBER(MATCH(B609,'FICHA SOLIC'!$AB$26:$AB$376,0)),1,0)</f>
        <v>0</v>
      </c>
      <c r="AE609" s="423" t="str">
        <f t="shared" si="9"/>
        <v>La CaleraZCH5</v>
      </c>
    </row>
    <row r="610" spans="1:31" x14ac:dyDescent="0.25">
      <c r="A610" s="423">
        <v>609</v>
      </c>
      <c r="B610" s="423" t="s">
        <v>2312</v>
      </c>
      <c r="C610" s="423" t="s">
        <v>2318</v>
      </c>
      <c r="D610" s="972" t="s">
        <v>990</v>
      </c>
      <c r="E610" s="973" t="s">
        <v>991</v>
      </c>
      <c r="F610" s="973" t="s">
        <v>992</v>
      </c>
      <c r="G610" s="973" t="s">
        <v>1997</v>
      </c>
      <c r="H610" s="973" t="s">
        <v>1998</v>
      </c>
      <c r="I610" s="973" t="s">
        <v>1999</v>
      </c>
      <c r="J610" s="972" t="s">
        <v>697</v>
      </c>
      <c r="K610" s="973" t="s">
        <v>995</v>
      </c>
      <c r="L610" s="973" t="s">
        <v>996</v>
      </c>
      <c r="M610" s="973" t="s">
        <v>2000</v>
      </c>
      <c r="N610" s="973" t="s">
        <v>2001</v>
      </c>
      <c r="O610" s="972" t="s">
        <v>1971</v>
      </c>
      <c r="P610" s="973" t="s">
        <v>999</v>
      </c>
      <c r="Q610" s="973" t="s">
        <v>1000</v>
      </c>
      <c r="R610" s="973" t="s">
        <v>1001</v>
      </c>
      <c r="S610" s="973" t="s">
        <v>1002</v>
      </c>
      <c r="T610" s="423">
        <v>2500</v>
      </c>
      <c r="U610" s="423" t="s">
        <v>1041</v>
      </c>
      <c r="V610" s="423">
        <v>50</v>
      </c>
      <c r="W610" s="423">
        <v>2</v>
      </c>
      <c r="X610" s="423">
        <v>28</v>
      </c>
      <c r="Y610" s="423" t="s">
        <v>1041</v>
      </c>
      <c r="Z610" s="423" t="s">
        <v>1058</v>
      </c>
      <c r="AD610" s="423">
        <f>IF(ISNUMBER(MATCH(B610,'FICHA SOLIC'!$AB$26:$AB$376,0)),1,0)</f>
        <v>0</v>
      </c>
      <c r="AE610" s="423" t="str">
        <f t="shared" si="9"/>
        <v>La CaleraZEF</v>
      </c>
    </row>
    <row r="611" spans="1:31" x14ac:dyDescent="0.25">
      <c r="A611" s="423">
        <v>610</v>
      </c>
      <c r="B611" s="423" t="s">
        <v>2312</v>
      </c>
      <c r="C611" s="423" t="s">
        <v>2319</v>
      </c>
      <c r="D611" s="972" t="s">
        <v>990</v>
      </c>
      <c r="E611" s="973" t="s">
        <v>991</v>
      </c>
      <c r="F611" s="973" t="s">
        <v>992</v>
      </c>
      <c r="G611" s="973" t="s">
        <v>1997</v>
      </c>
      <c r="H611" s="973" t="s">
        <v>1998</v>
      </c>
      <c r="I611" s="973" t="s">
        <v>1999</v>
      </c>
      <c r="J611" s="972" t="s">
        <v>697</v>
      </c>
      <c r="K611" s="973" t="s">
        <v>995</v>
      </c>
      <c r="L611" s="973" t="s">
        <v>996</v>
      </c>
      <c r="M611" s="973" t="s">
        <v>2000</v>
      </c>
      <c r="N611" s="973" t="s">
        <v>2001</v>
      </c>
      <c r="O611" s="972" t="s">
        <v>1971</v>
      </c>
      <c r="P611" s="973" t="s">
        <v>999</v>
      </c>
      <c r="Q611" s="973" t="s">
        <v>1000</v>
      </c>
      <c r="R611" s="973" t="s">
        <v>1001</v>
      </c>
      <c r="S611" s="973" t="s">
        <v>1002</v>
      </c>
      <c r="T611" s="423">
        <v>2500</v>
      </c>
      <c r="U611" s="423" t="s">
        <v>1041</v>
      </c>
      <c r="V611" s="423">
        <v>50</v>
      </c>
      <c r="W611" s="423">
        <v>1.2</v>
      </c>
      <c r="X611" s="423">
        <v>15</v>
      </c>
      <c r="Y611" s="423" t="s">
        <v>1041</v>
      </c>
      <c r="Z611" s="423" t="s">
        <v>1058</v>
      </c>
      <c r="AD611" s="423">
        <f>IF(ISNUMBER(MATCH(B611,'FICHA SOLIC'!$AB$26:$AB$376,0)),1,0)</f>
        <v>0</v>
      </c>
      <c r="AE611" s="423" t="str">
        <f t="shared" si="9"/>
        <v>La CaleraZEIC</v>
      </c>
    </row>
    <row r="612" spans="1:31" x14ac:dyDescent="0.25">
      <c r="A612" s="423">
        <v>611</v>
      </c>
      <c r="B612" s="423" t="s">
        <v>2312</v>
      </c>
      <c r="C612" s="423" t="s">
        <v>2320</v>
      </c>
      <c r="D612" s="972" t="s">
        <v>990</v>
      </c>
      <c r="E612" s="973" t="s">
        <v>991</v>
      </c>
      <c r="F612" s="973" t="s">
        <v>992</v>
      </c>
      <c r="G612" s="973" t="s">
        <v>1997</v>
      </c>
      <c r="H612" s="973" t="s">
        <v>1998</v>
      </c>
      <c r="I612" s="973" t="s">
        <v>1999</v>
      </c>
      <c r="J612" s="972" t="s">
        <v>697</v>
      </c>
      <c r="K612" s="973" t="s">
        <v>995</v>
      </c>
      <c r="L612" s="973" t="s">
        <v>996</v>
      </c>
      <c r="M612" s="973" t="s">
        <v>2000</v>
      </c>
      <c r="N612" s="973" t="s">
        <v>2001</v>
      </c>
      <c r="O612" s="972" t="s">
        <v>1971</v>
      </c>
      <c r="P612" s="973" t="s">
        <v>999</v>
      </c>
      <c r="Q612" s="973" t="s">
        <v>1000</v>
      </c>
      <c r="R612" s="973" t="s">
        <v>1001</v>
      </c>
      <c r="S612" s="973" t="s">
        <v>1002</v>
      </c>
      <c r="T612" s="423">
        <v>2000</v>
      </c>
      <c r="U612" s="423" t="s">
        <v>1041</v>
      </c>
      <c r="V612" s="423">
        <v>20</v>
      </c>
      <c r="W612" s="423">
        <v>0.2</v>
      </c>
      <c r="X612" s="423">
        <v>10.5</v>
      </c>
      <c r="Y612" s="423" t="s">
        <v>1041</v>
      </c>
      <c r="Z612" s="423" t="s">
        <v>1058</v>
      </c>
      <c r="AD612" s="423">
        <f>IF(ISNUMBER(MATCH(B612,'FICHA SOLIC'!$AB$26:$AB$376,0)),1,0)</f>
        <v>0</v>
      </c>
      <c r="AE612" s="423" t="str">
        <f t="shared" si="9"/>
        <v>La CaleraZIES</v>
      </c>
    </row>
    <row r="613" spans="1:31" x14ac:dyDescent="0.25">
      <c r="A613" s="423">
        <v>612</v>
      </c>
      <c r="B613" s="423" t="s">
        <v>2312</v>
      </c>
      <c r="C613" s="423" t="s">
        <v>2321</v>
      </c>
      <c r="D613" s="972" t="s">
        <v>990</v>
      </c>
      <c r="E613" s="973" t="s">
        <v>991</v>
      </c>
      <c r="F613" s="973" t="s">
        <v>992</v>
      </c>
      <c r="G613" s="973" t="s">
        <v>1997</v>
      </c>
      <c r="H613" s="973" t="s">
        <v>1998</v>
      </c>
      <c r="I613" s="973" t="s">
        <v>1999</v>
      </c>
      <c r="J613" s="972" t="s">
        <v>697</v>
      </c>
      <c r="K613" s="973" t="s">
        <v>995</v>
      </c>
      <c r="L613" s="973" t="s">
        <v>996</v>
      </c>
      <c r="M613" s="973" t="s">
        <v>2000</v>
      </c>
      <c r="N613" s="973" t="s">
        <v>2001</v>
      </c>
      <c r="O613" s="972" t="s">
        <v>1971</v>
      </c>
      <c r="P613" s="973" t="s">
        <v>999</v>
      </c>
      <c r="Q613" s="973" t="s">
        <v>1000</v>
      </c>
      <c r="R613" s="973" t="s">
        <v>1001</v>
      </c>
      <c r="S613" s="973" t="s">
        <v>1002</v>
      </c>
      <c r="T613" s="423">
        <v>2000</v>
      </c>
      <c r="U613" s="423" t="s">
        <v>1041</v>
      </c>
      <c r="V613" s="423">
        <v>30</v>
      </c>
      <c r="W613" s="423">
        <v>0.6</v>
      </c>
      <c r="X613" s="423">
        <v>10.5</v>
      </c>
      <c r="Y613" s="423" t="s">
        <v>1041</v>
      </c>
      <c r="Z613" s="423" t="s">
        <v>1058</v>
      </c>
      <c r="AD613" s="423">
        <f>IF(ISNUMBER(MATCH(B613,'FICHA SOLIC'!$AB$26:$AB$376,0)),1,0)</f>
        <v>0</v>
      </c>
      <c r="AE613" s="423" t="str">
        <f t="shared" si="9"/>
        <v>La CaleraZIT</v>
      </c>
    </row>
    <row r="614" spans="1:31" x14ac:dyDescent="0.25">
      <c r="A614" s="423">
        <v>613</v>
      </c>
      <c r="B614" s="423" t="s">
        <v>2312</v>
      </c>
      <c r="C614" s="423" t="s">
        <v>2099</v>
      </c>
      <c r="D614" s="972" t="s">
        <v>990</v>
      </c>
      <c r="E614" s="973" t="s">
        <v>991</v>
      </c>
      <c r="F614" s="973" t="s">
        <v>992</v>
      </c>
      <c r="G614" s="973" t="s">
        <v>1997</v>
      </c>
      <c r="H614" s="973" t="s">
        <v>1998</v>
      </c>
      <c r="I614" s="973" t="s">
        <v>1999</v>
      </c>
      <c r="J614" s="972" t="s">
        <v>697</v>
      </c>
      <c r="K614" s="973" t="s">
        <v>995</v>
      </c>
      <c r="L614" s="973" t="s">
        <v>996</v>
      </c>
      <c r="M614" s="973" t="s">
        <v>2000</v>
      </c>
      <c r="N614" s="973" t="s">
        <v>2001</v>
      </c>
      <c r="O614" s="972" t="s">
        <v>1971</v>
      </c>
      <c r="P614" s="973" t="s">
        <v>999</v>
      </c>
      <c r="Q614" s="973" t="s">
        <v>1000</v>
      </c>
      <c r="R614" s="973" t="s">
        <v>1001</v>
      </c>
      <c r="S614" s="973" t="s">
        <v>1002</v>
      </c>
      <c r="T614" s="423">
        <v>400</v>
      </c>
      <c r="U614" s="423" t="s">
        <v>1041</v>
      </c>
      <c r="V614" s="423">
        <v>60</v>
      </c>
      <c r="W614" s="423">
        <v>1.8</v>
      </c>
      <c r="X614" s="423">
        <v>14</v>
      </c>
      <c r="Y614" s="423" t="s">
        <v>1041</v>
      </c>
      <c r="Z614" s="423" t="s">
        <v>1150</v>
      </c>
      <c r="AD614" s="423">
        <f>IF(ISNUMBER(MATCH(B614,'FICHA SOLIC'!$AB$26:$AB$376,0)),1,0)</f>
        <v>0</v>
      </c>
      <c r="AE614" s="423" t="str">
        <f t="shared" si="9"/>
        <v>La CaleraZM1</v>
      </c>
    </row>
    <row r="615" spans="1:31" x14ac:dyDescent="0.25">
      <c r="A615" s="423">
        <v>614</v>
      </c>
      <c r="B615" s="423" t="s">
        <v>2312</v>
      </c>
      <c r="C615" s="423" t="s">
        <v>2101</v>
      </c>
      <c r="D615" s="972" t="s">
        <v>990</v>
      </c>
      <c r="E615" s="973" t="s">
        <v>991</v>
      </c>
      <c r="F615" s="973" t="s">
        <v>992</v>
      </c>
      <c r="G615" s="973" t="s">
        <v>1997</v>
      </c>
      <c r="H615" s="973" t="s">
        <v>1998</v>
      </c>
      <c r="I615" s="973" t="s">
        <v>1999</v>
      </c>
      <c r="J615" s="972" t="s">
        <v>697</v>
      </c>
      <c r="K615" s="973" t="s">
        <v>995</v>
      </c>
      <c r="L615" s="973" t="s">
        <v>996</v>
      </c>
      <c r="M615" s="973" t="s">
        <v>2000</v>
      </c>
      <c r="N615" s="973" t="s">
        <v>2001</v>
      </c>
      <c r="O615" s="972" t="s">
        <v>1971</v>
      </c>
      <c r="P615" s="973" t="s">
        <v>999</v>
      </c>
      <c r="Q615" s="973" t="s">
        <v>1000</v>
      </c>
      <c r="R615" s="973" t="s">
        <v>1001</v>
      </c>
      <c r="S615" s="973" t="s">
        <v>1002</v>
      </c>
      <c r="T615" s="423">
        <v>600</v>
      </c>
      <c r="U615" s="423" t="s">
        <v>1041</v>
      </c>
      <c r="V615" s="423">
        <v>50</v>
      </c>
      <c r="W615" s="423">
        <v>2</v>
      </c>
      <c r="X615" s="423">
        <v>21</v>
      </c>
      <c r="Y615" s="423" t="s">
        <v>1041</v>
      </c>
      <c r="Z615" s="423" t="s">
        <v>1057</v>
      </c>
      <c r="AD615" s="423">
        <f>IF(ISNUMBER(MATCH(B615,'FICHA SOLIC'!$AB$26:$AB$376,0)),1,0)</f>
        <v>0</v>
      </c>
      <c r="AE615" s="423" t="str">
        <f t="shared" si="9"/>
        <v>La CaleraZM2</v>
      </c>
    </row>
    <row r="616" spans="1:31" x14ac:dyDescent="0.25">
      <c r="A616" s="423">
        <v>615</v>
      </c>
      <c r="B616" s="423" t="s">
        <v>2312</v>
      </c>
      <c r="C616" s="423" t="s">
        <v>2322</v>
      </c>
      <c r="D616" s="972" t="s">
        <v>990</v>
      </c>
      <c r="E616" s="973" t="s">
        <v>991</v>
      </c>
      <c r="F616" s="973" t="s">
        <v>992</v>
      </c>
      <c r="G616" s="973" t="s">
        <v>1997</v>
      </c>
      <c r="H616" s="973" t="s">
        <v>1998</v>
      </c>
      <c r="I616" s="973" t="s">
        <v>1999</v>
      </c>
      <c r="J616" s="972" t="s">
        <v>697</v>
      </c>
      <c r="K616" s="973" t="s">
        <v>995</v>
      </c>
      <c r="L616" s="973" t="s">
        <v>996</v>
      </c>
      <c r="M616" s="973" t="s">
        <v>2000</v>
      </c>
      <c r="N616" s="973" t="s">
        <v>2001</v>
      </c>
      <c r="O616" s="972" t="s">
        <v>1971</v>
      </c>
      <c r="P616" s="973" t="s">
        <v>999</v>
      </c>
      <c r="Q616" s="973" t="s">
        <v>1000</v>
      </c>
      <c r="R616" s="973" t="s">
        <v>1001</v>
      </c>
      <c r="S616" s="973" t="s">
        <v>1002</v>
      </c>
      <c r="T616" s="423">
        <v>500</v>
      </c>
      <c r="U616" s="423" t="s">
        <v>1041</v>
      </c>
      <c r="V616" s="423">
        <v>100</v>
      </c>
      <c r="W616" s="423">
        <v>3.3</v>
      </c>
      <c r="X616" s="423">
        <v>35</v>
      </c>
      <c r="Y616" s="423" t="s">
        <v>1041</v>
      </c>
      <c r="Z616" s="423" t="s">
        <v>1150</v>
      </c>
      <c r="AD616" s="423">
        <f>IF(ISNUMBER(MATCH(B616,'FICHA SOLIC'!$AB$26:$AB$376,0)),1,0)</f>
        <v>0</v>
      </c>
      <c r="AE616" s="423" t="str">
        <f t="shared" si="9"/>
        <v>La CaleraZM3</v>
      </c>
    </row>
    <row r="617" spans="1:31" x14ac:dyDescent="0.25">
      <c r="A617" s="423">
        <v>616</v>
      </c>
      <c r="B617" s="423" t="s">
        <v>2312</v>
      </c>
      <c r="C617" s="423" t="s">
        <v>2323</v>
      </c>
      <c r="D617" s="972" t="s">
        <v>990</v>
      </c>
      <c r="E617" s="973" t="s">
        <v>991</v>
      </c>
      <c r="F617" s="973" t="s">
        <v>992</v>
      </c>
      <c r="G617" s="973" t="s">
        <v>1997</v>
      </c>
      <c r="H617" s="973" t="s">
        <v>1998</v>
      </c>
      <c r="I617" s="973" t="s">
        <v>1999</v>
      </c>
      <c r="J617" s="972" t="s">
        <v>697</v>
      </c>
      <c r="K617" s="973" t="s">
        <v>995</v>
      </c>
      <c r="L617" s="973" t="s">
        <v>996</v>
      </c>
      <c r="M617" s="973" t="s">
        <v>2000</v>
      </c>
      <c r="N617" s="973" t="s">
        <v>2001</v>
      </c>
      <c r="O617" s="972" t="s">
        <v>1971</v>
      </c>
      <c r="P617" s="973" t="s">
        <v>999</v>
      </c>
      <c r="Q617" s="973" t="s">
        <v>1000</v>
      </c>
      <c r="R617" s="973" t="s">
        <v>1001</v>
      </c>
      <c r="S617" s="973" t="s">
        <v>1002</v>
      </c>
      <c r="T617" s="423">
        <v>1000</v>
      </c>
      <c r="U617" s="423" t="s">
        <v>1041</v>
      </c>
      <c r="V617" s="423">
        <v>60</v>
      </c>
      <c r="W617" s="423">
        <v>3</v>
      </c>
      <c r="X617" s="423">
        <v>28</v>
      </c>
      <c r="Y617" s="423" t="s">
        <v>1041</v>
      </c>
      <c r="Z617" s="423" t="s">
        <v>1058</v>
      </c>
      <c r="AD617" s="423">
        <f>IF(ISNUMBER(MATCH(B617,'FICHA SOLIC'!$AB$26:$AB$376,0)),1,0)</f>
        <v>0</v>
      </c>
      <c r="AE617" s="423" t="str">
        <f t="shared" si="9"/>
        <v>La CaleraZM3,2</v>
      </c>
    </row>
    <row r="618" spans="1:31" x14ac:dyDescent="0.25">
      <c r="A618" s="423">
        <v>617</v>
      </c>
      <c r="B618" s="423" t="s">
        <v>2312</v>
      </c>
      <c r="C618" s="423" t="s">
        <v>2324</v>
      </c>
      <c r="D618" s="972" t="s">
        <v>990</v>
      </c>
      <c r="E618" s="973" t="s">
        <v>991</v>
      </c>
      <c r="F618" s="973" t="s">
        <v>992</v>
      </c>
      <c r="G618" s="973" t="s">
        <v>1997</v>
      </c>
      <c r="H618" s="973" t="s">
        <v>1998</v>
      </c>
      <c r="I618" s="973" t="s">
        <v>1999</v>
      </c>
      <c r="J618" s="972" t="s">
        <v>697</v>
      </c>
      <c r="K618" s="973" t="s">
        <v>995</v>
      </c>
      <c r="L618" s="973" t="s">
        <v>996</v>
      </c>
      <c r="M618" s="973" t="s">
        <v>2000</v>
      </c>
      <c r="N618" s="973" t="s">
        <v>2001</v>
      </c>
      <c r="O618" s="972" t="s">
        <v>1971</v>
      </c>
      <c r="P618" s="973" t="s">
        <v>999</v>
      </c>
      <c r="Q618" s="973" t="s">
        <v>1000</v>
      </c>
      <c r="R618" s="973" t="s">
        <v>1001</v>
      </c>
      <c r="S618" s="973" t="s">
        <v>1002</v>
      </c>
      <c r="T618" s="423">
        <v>2000</v>
      </c>
      <c r="U618" s="423" t="s">
        <v>1041</v>
      </c>
      <c r="V618" s="423">
        <v>60</v>
      </c>
      <c r="W618" s="423">
        <v>2</v>
      </c>
      <c r="X618" s="423">
        <v>14</v>
      </c>
      <c r="Y618" s="423" t="s">
        <v>1041</v>
      </c>
      <c r="Z618" s="423" t="s">
        <v>1058</v>
      </c>
      <c r="AD618" s="423">
        <f>IF(ISNUMBER(MATCH(B618,'FICHA SOLIC'!$AB$26:$AB$376,0)),1,0)</f>
        <v>0</v>
      </c>
      <c r="AE618" s="423" t="str">
        <f t="shared" si="9"/>
        <v>La CaleraZM4</v>
      </c>
    </row>
    <row r="619" spans="1:31" x14ac:dyDescent="0.25">
      <c r="A619" s="423">
        <v>618</v>
      </c>
      <c r="B619" s="423" t="s">
        <v>2312</v>
      </c>
      <c r="C619" s="423" t="s">
        <v>2325</v>
      </c>
      <c r="D619" s="972" t="s">
        <v>990</v>
      </c>
      <c r="E619" s="973" t="s">
        <v>991</v>
      </c>
      <c r="F619" s="973" t="s">
        <v>992</v>
      </c>
      <c r="G619" s="973" t="s">
        <v>1997</v>
      </c>
      <c r="H619" s="973" t="s">
        <v>1998</v>
      </c>
      <c r="I619" s="973" t="s">
        <v>1999</v>
      </c>
      <c r="J619" s="972" t="s">
        <v>697</v>
      </c>
      <c r="K619" s="973" t="s">
        <v>995</v>
      </c>
      <c r="L619" s="973" t="s">
        <v>996</v>
      </c>
      <c r="M619" s="973" t="s">
        <v>2000</v>
      </c>
      <c r="N619" s="973" t="s">
        <v>2001</v>
      </c>
      <c r="O619" s="972" t="s">
        <v>1971</v>
      </c>
      <c r="P619" s="973" t="s">
        <v>999</v>
      </c>
      <c r="Q619" s="973" t="s">
        <v>1000</v>
      </c>
      <c r="R619" s="973" t="s">
        <v>1001</v>
      </c>
      <c r="S619" s="973" t="s">
        <v>1002</v>
      </c>
      <c r="T619" s="423">
        <v>2500</v>
      </c>
      <c r="U619" s="423" t="s">
        <v>1041</v>
      </c>
      <c r="V619" s="423">
        <v>40</v>
      </c>
      <c r="W619" s="423">
        <v>1.5</v>
      </c>
      <c r="X619" s="423">
        <v>14</v>
      </c>
      <c r="Y619" s="423" t="s">
        <v>1041</v>
      </c>
      <c r="Z619" s="423" t="s">
        <v>1058</v>
      </c>
      <c r="AD619" s="423">
        <f>IF(ISNUMBER(MATCH(B619,'FICHA SOLIC'!$AB$26:$AB$376,0)),1,0)</f>
        <v>0</v>
      </c>
      <c r="AE619" s="423" t="str">
        <f t="shared" si="9"/>
        <v>La CaleraZM5</v>
      </c>
    </row>
    <row r="620" spans="1:31" x14ac:dyDescent="0.25">
      <c r="A620" s="423">
        <v>619</v>
      </c>
      <c r="B620" s="423" t="s">
        <v>2312</v>
      </c>
      <c r="C620" s="423" t="s">
        <v>2326</v>
      </c>
      <c r="D620" s="972" t="s">
        <v>990</v>
      </c>
      <c r="E620" s="973" t="s">
        <v>991</v>
      </c>
      <c r="F620" s="973" t="s">
        <v>992</v>
      </c>
      <c r="G620" s="973" t="s">
        <v>1997</v>
      </c>
      <c r="H620" s="973" t="s">
        <v>1998</v>
      </c>
      <c r="I620" s="973" t="s">
        <v>1999</v>
      </c>
      <c r="J620" s="972" t="s">
        <v>697</v>
      </c>
      <c r="K620" s="973" t="s">
        <v>995</v>
      </c>
      <c r="L620" s="973" t="s">
        <v>996</v>
      </c>
      <c r="M620" s="973" t="s">
        <v>2000</v>
      </c>
      <c r="N620" s="973" t="s">
        <v>2001</v>
      </c>
      <c r="O620" s="972" t="s">
        <v>1971</v>
      </c>
      <c r="P620" s="973" t="s">
        <v>999</v>
      </c>
      <c r="Q620" s="973" t="s">
        <v>1000</v>
      </c>
      <c r="R620" s="973" t="s">
        <v>1001</v>
      </c>
      <c r="S620" s="973" t="s">
        <v>1002</v>
      </c>
      <c r="T620" s="423">
        <v>250</v>
      </c>
      <c r="U620" s="423" t="s">
        <v>1041</v>
      </c>
      <c r="V620" s="423">
        <v>60</v>
      </c>
      <c r="W620" s="423">
        <v>1.2</v>
      </c>
      <c r="X620" s="423">
        <v>7</v>
      </c>
      <c r="Y620" s="423" t="s">
        <v>1041</v>
      </c>
      <c r="Z620" s="423" t="s">
        <v>1059</v>
      </c>
      <c r="AD620" s="423">
        <f>IF(ISNUMBER(MATCH(B620,'FICHA SOLIC'!$AB$26:$AB$376,0)),1,0)</f>
        <v>0</v>
      </c>
      <c r="AE620" s="423" t="str">
        <f t="shared" si="9"/>
        <v>La CaleraZU1-1</v>
      </c>
    </row>
    <row r="621" spans="1:31" x14ac:dyDescent="0.25">
      <c r="A621" s="423">
        <v>620</v>
      </c>
      <c r="B621" s="423" t="s">
        <v>2312</v>
      </c>
      <c r="C621" s="423" t="s">
        <v>2327</v>
      </c>
      <c r="D621" s="972" t="s">
        <v>990</v>
      </c>
      <c r="E621" s="973" t="s">
        <v>991</v>
      </c>
      <c r="F621" s="973" t="s">
        <v>992</v>
      </c>
      <c r="G621" s="973" t="s">
        <v>1997</v>
      </c>
      <c r="H621" s="973" t="s">
        <v>1998</v>
      </c>
      <c r="I621" s="973" t="s">
        <v>1999</v>
      </c>
      <c r="J621" s="972" t="s">
        <v>697</v>
      </c>
      <c r="K621" s="973" t="s">
        <v>995</v>
      </c>
      <c r="L621" s="973" t="s">
        <v>996</v>
      </c>
      <c r="M621" s="973" t="s">
        <v>2000</v>
      </c>
      <c r="N621" s="973" t="s">
        <v>2001</v>
      </c>
      <c r="O621" s="972" t="s">
        <v>1971</v>
      </c>
      <c r="P621" s="973" t="s">
        <v>999</v>
      </c>
      <c r="Q621" s="973" t="s">
        <v>1000</v>
      </c>
      <c r="R621" s="973" t="s">
        <v>1001</v>
      </c>
      <c r="S621" s="973" t="s">
        <v>1002</v>
      </c>
      <c r="T621" s="423">
        <v>1000</v>
      </c>
      <c r="U621" s="423" t="s">
        <v>1041</v>
      </c>
      <c r="V621" s="423">
        <v>40</v>
      </c>
      <c r="W621" s="423">
        <v>1.5</v>
      </c>
      <c r="X621" s="423">
        <v>17.5</v>
      </c>
      <c r="Y621" s="423" t="s">
        <v>1041</v>
      </c>
      <c r="Z621" s="423" t="s">
        <v>1058</v>
      </c>
      <c r="AD621" s="423">
        <f>IF(ISNUMBER(MATCH(B621,'FICHA SOLIC'!$AB$26:$AB$376,0)),1,0)</f>
        <v>0</v>
      </c>
      <c r="AE621" s="423" t="str">
        <f t="shared" si="9"/>
        <v>La CaleraZU1-2</v>
      </c>
    </row>
    <row r="622" spans="1:31" x14ac:dyDescent="0.25">
      <c r="A622" s="423">
        <v>621</v>
      </c>
      <c r="B622" s="423" t="s">
        <v>2312</v>
      </c>
      <c r="C622" s="423" t="s">
        <v>1322</v>
      </c>
      <c r="D622" s="972" t="s">
        <v>990</v>
      </c>
      <c r="E622" s="973" t="s">
        <v>991</v>
      </c>
      <c r="F622" s="973" t="s">
        <v>992</v>
      </c>
      <c r="G622" s="973" t="s">
        <v>1997</v>
      </c>
      <c r="H622" s="973" t="s">
        <v>1998</v>
      </c>
      <c r="I622" s="973" t="s">
        <v>1999</v>
      </c>
      <c r="J622" s="972" t="s">
        <v>697</v>
      </c>
      <c r="K622" s="973" t="s">
        <v>995</v>
      </c>
      <c r="L622" s="973" t="s">
        <v>996</v>
      </c>
      <c r="M622" s="973" t="s">
        <v>2000</v>
      </c>
      <c r="N622" s="973" t="s">
        <v>2001</v>
      </c>
      <c r="O622" s="972" t="s">
        <v>1971</v>
      </c>
      <c r="P622" s="973" t="s">
        <v>999</v>
      </c>
      <c r="Q622" s="973" t="s">
        <v>1000</v>
      </c>
      <c r="R622" s="973" t="s">
        <v>1001</v>
      </c>
      <c r="S622" s="973" t="s">
        <v>1002</v>
      </c>
      <c r="T622" s="423">
        <v>320</v>
      </c>
      <c r="U622" s="423" t="s">
        <v>1041</v>
      </c>
      <c r="V622" s="423">
        <v>60</v>
      </c>
      <c r="W622" s="423">
        <v>1.5</v>
      </c>
      <c r="X622" s="423">
        <v>21</v>
      </c>
      <c r="Y622" s="423" t="s">
        <v>1041</v>
      </c>
      <c r="Z622" s="423" t="s">
        <v>1057</v>
      </c>
      <c r="AD622" s="423">
        <f>IF(ISNUMBER(MATCH(B622,'FICHA SOLIC'!$AB$26:$AB$376,0)),1,0)</f>
        <v>0</v>
      </c>
      <c r="AE622" s="423" t="str">
        <f t="shared" si="9"/>
        <v>La CaleraZU2</v>
      </c>
    </row>
    <row r="623" spans="1:31" x14ac:dyDescent="0.25">
      <c r="A623" s="423">
        <v>622</v>
      </c>
      <c r="B623" s="423" t="s">
        <v>2312</v>
      </c>
      <c r="C623" s="423" t="s">
        <v>1324</v>
      </c>
      <c r="D623" s="972" t="s">
        <v>990</v>
      </c>
      <c r="E623" s="973" t="s">
        <v>991</v>
      </c>
      <c r="F623" s="973" t="s">
        <v>992</v>
      </c>
      <c r="G623" s="973" t="s">
        <v>1997</v>
      </c>
      <c r="H623" s="973" t="s">
        <v>1998</v>
      </c>
      <c r="I623" s="973" t="s">
        <v>1999</v>
      </c>
      <c r="J623" s="972" t="s">
        <v>697</v>
      </c>
      <c r="K623" s="973" t="s">
        <v>995</v>
      </c>
      <c r="L623" s="973" t="s">
        <v>996</v>
      </c>
      <c r="M623" s="973" t="s">
        <v>2000</v>
      </c>
      <c r="N623" s="973" t="s">
        <v>2001</v>
      </c>
      <c r="O623" s="972" t="s">
        <v>1971</v>
      </c>
      <c r="P623" s="973" t="s">
        <v>999</v>
      </c>
      <c r="Q623" s="973" t="s">
        <v>1000</v>
      </c>
      <c r="R623" s="973" t="s">
        <v>1001</v>
      </c>
      <c r="S623" s="973" t="s">
        <v>1002</v>
      </c>
      <c r="T623" s="423">
        <v>250</v>
      </c>
      <c r="U623" s="423" t="s">
        <v>1041</v>
      </c>
      <c r="V623" s="423">
        <v>30</v>
      </c>
      <c r="W623" s="423">
        <v>1.8</v>
      </c>
      <c r="X623" s="423">
        <v>21</v>
      </c>
      <c r="Y623" s="423" t="s">
        <v>1041</v>
      </c>
      <c r="Z623" s="423" t="s">
        <v>1058</v>
      </c>
      <c r="AD623" s="423">
        <f>IF(ISNUMBER(MATCH(B623,'FICHA SOLIC'!$AB$26:$AB$376,0)),1,0)</f>
        <v>0</v>
      </c>
      <c r="AE623" s="423" t="str">
        <f t="shared" si="9"/>
        <v>La CaleraZU3</v>
      </c>
    </row>
    <row r="624" spans="1:31" x14ac:dyDescent="0.25">
      <c r="A624" s="423">
        <v>623</v>
      </c>
      <c r="B624" s="423" t="s">
        <v>2312</v>
      </c>
      <c r="C624" s="423" t="s">
        <v>1325</v>
      </c>
      <c r="D624" s="972" t="s">
        <v>990</v>
      </c>
      <c r="E624" s="973" t="s">
        <v>991</v>
      </c>
      <c r="F624" s="973" t="s">
        <v>992</v>
      </c>
      <c r="G624" s="973" t="s">
        <v>1997</v>
      </c>
      <c r="H624" s="973" t="s">
        <v>1998</v>
      </c>
      <c r="I624" s="973" t="s">
        <v>1999</v>
      </c>
      <c r="J624" s="972" t="s">
        <v>697</v>
      </c>
      <c r="K624" s="973" t="s">
        <v>995</v>
      </c>
      <c r="L624" s="973" t="s">
        <v>996</v>
      </c>
      <c r="M624" s="973" t="s">
        <v>2000</v>
      </c>
      <c r="N624" s="973" t="s">
        <v>2001</v>
      </c>
      <c r="O624" s="972" t="s">
        <v>1971</v>
      </c>
      <c r="P624" s="973" t="s">
        <v>999</v>
      </c>
      <c r="Q624" s="973" t="s">
        <v>1000</v>
      </c>
      <c r="R624" s="973" t="s">
        <v>1001</v>
      </c>
      <c r="S624" s="973" t="s">
        <v>1002</v>
      </c>
      <c r="T624" s="423">
        <v>320</v>
      </c>
      <c r="U624" s="423" t="s">
        <v>1041</v>
      </c>
      <c r="V624" s="423">
        <v>60</v>
      </c>
      <c r="W624" s="423">
        <v>1.2</v>
      </c>
      <c r="X624" s="423">
        <v>7</v>
      </c>
      <c r="Y624" s="423" t="s">
        <v>1041</v>
      </c>
      <c r="Z624" s="423" t="s">
        <v>1057</v>
      </c>
      <c r="AD624" s="423">
        <f>IF(ISNUMBER(MATCH(B624,'FICHA SOLIC'!$AB$26:$AB$376,0)),1,0)</f>
        <v>0</v>
      </c>
      <c r="AE624" s="423" t="str">
        <f t="shared" si="9"/>
        <v>La CaleraZU4</v>
      </c>
    </row>
    <row r="625" spans="1:31" x14ac:dyDescent="0.25">
      <c r="A625" s="423">
        <v>624</v>
      </c>
      <c r="B625" s="423" t="s">
        <v>411</v>
      </c>
      <c r="C625" s="423" t="s">
        <v>1241</v>
      </c>
      <c r="D625" s="424" t="s">
        <v>990</v>
      </c>
      <c r="E625" s="425" t="s">
        <v>991</v>
      </c>
      <c r="F625" s="425" t="s">
        <v>992</v>
      </c>
      <c r="G625" s="425" t="s">
        <v>1054</v>
      </c>
      <c r="H625" s="426" t="s">
        <v>699</v>
      </c>
      <c r="I625" s="425" t="s">
        <v>1055</v>
      </c>
      <c r="J625" s="424" t="s">
        <v>697</v>
      </c>
      <c r="K625" s="425" t="s">
        <v>995</v>
      </c>
      <c r="L625" s="425" t="s">
        <v>996</v>
      </c>
      <c r="M625" s="425" t="s">
        <v>997</v>
      </c>
      <c r="N625" s="425" t="s">
        <v>558</v>
      </c>
      <c r="O625" s="424" t="s">
        <v>998</v>
      </c>
      <c r="P625" s="425" t="s">
        <v>999</v>
      </c>
      <c r="Q625" s="425" t="s">
        <v>1000</v>
      </c>
      <c r="R625" s="425" t="s">
        <v>1001</v>
      </c>
      <c r="S625" s="425" t="s">
        <v>1002</v>
      </c>
      <c r="T625" s="423">
        <v>1000</v>
      </c>
      <c r="U625" s="423" t="s">
        <v>1041</v>
      </c>
      <c r="V625" s="423">
        <v>60</v>
      </c>
      <c r="W625" s="423">
        <v>1</v>
      </c>
      <c r="X625" s="423" t="s">
        <v>1173</v>
      </c>
      <c r="Y625" s="423" t="s">
        <v>1041</v>
      </c>
      <c r="Z625" s="423" t="s">
        <v>1058</v>
      </c>
      <c r="AD625" s="423">
        <f>IF(ISNUMBER(MATCH(B625,'FICHA SOLIC'!$AB$26:$AB$376,0)),1,0)</f>
        <v>1</v>
      </c>
      <c r="AE625" s="423" t="str">
        <f t="shared" si="9"/>
        <v>La CisternaZU-1</v>
      </c>
    </row>
    <row r="626" spans="1:31" x14ac:dyDescent="0.25">
      <c r="A626" s="423">
        <v>625</v>
      </c>
      <c r="B626" s="423" t="s">
        <v>411</v>
      </c>
      <c r="C626" s="423" t="s">
        <v>1242</v>
      </c>
      <c r="D626" s="424" t="s">
        <v>990</v>
      </c>
      <c r="E626" s="425" t="s">
        <v>991</v>
      </c>
      <c r="F626" s="425" t="s">
        <v>992</v>
      </c>
      <c r="G626" s="425" t="s">
        <v>1054</v>
      </c>
      <c r="H626" s="426" t="s">
        <v>699</v>
      </c>
      <c r="I626" s="425" t="s">
        <v>1055</v>
      </c>
      <c r="J626" s="424" t="s">
        <v>697</v>
      </c>
      <c r="K626" s="425" t="s">
        <v>995</v>
      </c>
      <c r="L626" s="425" t="s">
        <v>996</v>
      </c>
      <c r="M626" s="425" t="s">
        <v>997</v>
      </c>
      <c r="N626" s="425" t="s">
        <v>558</v>
      </c>
      <c r="O626" s="424" t="s">
        <v>998</v>
      </c>
      <c r="P626" s="425" t="s">
        <v>999</v>
      </c>
      <c r="Q626" s="425" t="s">
        <v>1000</v>
      </c>
      <c r="R626" s="425" t="s">
        <v>1001</v>
      </c>
      <c r="S626" s="425" t="s">
        <v>1002</v>
      </c>
      <c r="T626" s="423">
        <v>500</v>
      </c>
      <c r="U626" s="423" t="s">
        <v>1041</v>
      </c>
      <c r="V626" s="423">
        <v>70</v>
      </c>
      <c r="W626" s="423">
        <v>1</v>
      </c>
      <c r="X626" s="423" t="s">
        <v>1173</v>
      </c>
      <c r="Y626" s="423" t="s">
        <v>1041</v>
      </c>
      <c r="Z626" s="423" t="s">
        <v>1059</v>
      </c>
      <c r="AD626" s="423">
        <f>IF(ISNUMBER(MATCH(B626,'FICHA SOLIC'!$AB$26:$AB$376,0)),1,0)</f>
        <v>1</v>
      </c>
      <c r="AE626" s="423" t="str">
        <f t="shared" si="9"/>
        <v>La CisternaZU-2</v>
      </c>
    </row>
    <row r="627" spans="1:31" x14ac:dyDescent="0.25">
      <c r="A627" s="423">
        <v>626</v>
      </c>
      <c r="B627" s="423" t="s">
        <v>411</v>
      </c>
      <c r="C627" s="423" t="s">
        <v>1243</v>
      </c>
      <c r="D627" s="424" t="s">
        <v>990</v>
      </c>
      <c r="E627" s="425" t="s">
        <v>991</v>
      </c>
      <c r="F627" s="425" t="s">
        <v>992</v>
      </c>
      <c r="G627" s="425" t="s">
        <v>1054</v>
      </c>
      <c r="H627" s="426" t="s">
        <v>699</v>
      </c>
      <c r="I627" s="425" t="s">
        <v>1055</v>
      </c>
      <c r="J627" s="424" t="s">
        <v>697</v>
      </c>
      <c r="K627" s="425" t="s">
        <v>995</v>
      </c>
      <c r="L627" s="425" t="s">
        <v>996</v>
      </c>
      <c r="M627" s="425" t="s">
        <v>997</v>
      </c>
      <c r="N627" s="425" t="s">
        <v>558</v>
      </c>
      <c r="O627" s="424" t="s">
        <v>998</v>
      </c>
      <c r="P627" s="425" t="s">
        <v>999</v>
      </c>
      <c r="Q627" s="425" t="s">
        <v>1000</v>
      </c>
      <c r="R627" s="425" t="s">
        <v>1001</v>
      </c>
      <c r="S627" s="425" t="s">
        <v>1002</v>
      </c>
      <c r="T627" s="423">
        <v>500</v>
      </c>
      <c r="U627" s="423" t="s">
        <v>1041</v>
      </c>
      <c r="V627" s="423">
        <v>45</v>
      </c>
      <c r="W627" s="423">
        <v>1</v>
      </c>
      <c r="X627" s="423" t="s">
        <v>1173</v>
      </c>
      <c r="Y627" s="423" t="s">
        <v>1041</v>
      </c>
      <c r="Z627" s="423" t="s">
        <v>1057</v>
      </c>
      <c r="AD627" s="423">
        <f>IF(ISNUMBER(MATCH(B627,'FICHA SOLIC'!$AB$26:$AB$376,0)),1,0)</f>
        <v>1</v>
      </c>
      <c r="AE627" s="423" t="str">
        <f t="shared" si="9"/>
        <v>La CisternaZU-3</v>
      </c>
    </row>
    <row r="628" spans="1:31" x14ac:dyDescent="0.25">
      <c r="A628" s="423">
        <v>627</v>
      </c>
      <c r="B628" s="423" t="s">
        <v>411</v>
      </c>
      <c r="C628" s="423" t="s">
        <v>1244</v>
      </c>
      <c r="D628" s="424" t="s">
        <v>990</v>
      </c>
      <c r="E628" s="425" t="s">
        <v>991</v>
      </c>
      <c r="F628" s="425" t="s">
        <v>992</v>
      </c>
      <c r="G628" s="425" t="s">
        <v>1054</v>
      </c>
      <c r="H628" s="426" t="s">
        <v>699</v>
      </c>
      <c r="I628" s="425" t="s">
        <v>1055</v>
      </c>
      <c r="J628" s="424" t="s">
        <v>697</v>
      </c>
      <c r="K628" s="425" t="s">
        <v>995</v>
      </c>
      <c r="L628" s="425" t="s">
        <v>996</v>
      </c>
      <c r="M628" s="425" t="s">
        <v>997</v>
      </c>
      <c r="N628" s="425" t="s">
        <v>558</v>
      </c>
      <c r="O628" s="424" t="s">
        <v>998</v>
      </c>
      <c r="P628" s="425" t="s">
        <v>999</v>
      </c>
      <c r="Q628" s="425" t="s">
        <v>1000</v>
      </c>
      <c r="R628" s="425" t="s">
        <v>1001</v>
      </c>
      <c r="S628" s="425" t="s">
        <v>1002</v>
      </c>
      <c r="T628" s="423">
        <v>500</v>
      </c>
      <c r="U628" s="423" t="s">
        <v>1041</v>
      </c>
      <c r="V628" s="423">
        <v>45</v>
      </c>
      <c r="W628" s="423">
        <v>1</v>
      </c>
      <c r="X628" s="423">
        <v>12</v>
      </c>
      <c r="Y628" s="423" t="s">
        <v>1041</v>
      </c>
      <c r="Z628" s="423" t="s">
        <v>1059</v>
      </c>
      <c r="AD628" s="423">
        <f>IF(ISNUMBER(MATCH(B628,'FICHA SOLIC'!$AB$26:$AB$376,0)),1,0)</f>
        <v>1</v>
      </c>
      <c r="AE628" s="423" t="str">
        <f t="shared" si="9"/>
        <v>La CisternaZU-4</v>
      </c>
    </row>
    <row r="629" spans="1:31" x14ac:dyDescent="0.25">
      <c r="A629" s="423">
        <v>628</v>
      </c>
      <c r="B629" s="423" t="s">
        <v>411</v>
      </c>
      <c r="C629" s="423" t="s">
        <v>1245</v>
      </c>
      <c r="D629" s="424" t="s">
        <v>990</v>
      </c>
      <c r="E629" s="425" t="s">
        <v>991</v>
      </c>
      <c r="F629" s="425" t="s">
        <v>992</v>
      </c>
      <c r="G629" s="425" t="s">
        <v>1054</v>
      </c>
      <c r="H629" s="426" t="s">
        <v>699</v>
      </c>
      <c r="I629" s="425" t="s">
        <v>1055</v>
      </c>
      <c r="J629" s="424" t="s">
        <v>697</v>
      </c>
      <c r="K629" s="425" t="s">
        <v>995</v>
      </c>
      <c r="L629" s="425" t="s">
        <v>996</v>
      </c>
      <c r="M629" s="425" t="s">
        <v>997</v>
      </c>
      <c r="N629" s="425" t="s">
        <v>558</v>
      </c>
      <c r="O629" s="424" t="s">
        <v>998</v>
      </c>
      <c r="P629" s="425" t="s">
        <v>999</v>
      </c>
      <c r="Q629" s="425" t="s">
        <v>1000</v>
      </c>
      <c r="R629" s="425" t="s">
        <v>1001</v>
      </c>
      <c r="S629" s="425" t="s">
        <v>1002</v>
      </c>
      <c r="T629" s="423">
        <v>160</v>
      </c>
      <c r="U629" s="423" t="s">
        <v>1041</v>
      </c>
      <c r="V629" s="423">
        <v>60</v>
      </c>
      <c r="W629" s="423">
        <v>0.4</v>
      </c>
      <c r="X629" s="423">
        <v>6</v>
      </c>
      <c r="Y629" s="423" t="s">
        <v>1041</v>
      </c>
      <c r="Z629" s="423" t="s">
        <v>1059</v>
      </c>
      <c r="AD629" s="423">
        <f>IF(ISNUMBER(MATCH(B629,'FICHA SOLIC'!$AB$26:$AB$376,0)),1,0)</f>
        <v>1</v>
      </c>
      <c r="AE629" s="423" t="str">
        <f t="shared" si="9"/>
        <v>La CisternaZU-5</v>
      </c>
    </row>
    <row r="630" spans="1:31" x14ac:dyDescent="0.25">
      <c r="A630" s="423">
        <v>629</v>
      </c>
      <c r="B630" s="423" t="s">
        <v>411</v>
      </c>
      <c r="C630" s="423" t="s">
        <v>1246</v>
      </c>
      <c r="D630" s="424" t="s">
        <v>990</v>
      </c>
      <c r="E630" s="425" t="s">
        <v>991</v>
      </c>
      <c r="F630" s="425" t="s">
        <v>992</v>
      </c>
      <c r="G630" s="425" t="s">
        <v>1054</v>
      </c>
      <c r="H630" s="426" t="s">
        <v>699</v>
      </c>
      <c r="I630" s="425" t="s">
        <v>1055</v>
      </c>
      <c r="J630" s="424" t="s">
        <v>697</v>
      </c>
      <c r="K630" s="425" t="s">
        <v>995</v>
      </c>
      <c r="L630" s="425" t="s">
        <v>996</v>
      </c>
      <c r="M630" s="425" t="s">
        <v>997</v>
      </c>
      <c r="N630" s="425" t="s">
        <v>558</v>
      </c>
      <c r="O630" s="424" t="s">
        <v>998</v>
      </c>
      <c r="P630" s="425" t="s">
        <v>999</v>
      </c>
      <c r="Q630" s="425" t="s">
        <v>1000</v>
      </c>
      <c r="R630" s="425" t="s">
        <v>1001</v>
      </c>
      <c r="S630" s="425" t="s">
        <v>1002</v>
      </c>
      <c r="T630" s="423">
        <v>1000</v>
      </c>
      <c r="U630" s="423" t="s">
        <v>1041</v>
      </c>
      <c r="V630" s="423">
        <v>60</v>
      </c>
      <c r="W630" s="423">
        <v>1.5</v>
      </c>
      <c r="X630" s="423" t="s">
        <v>1173</v>
      </c>
      <c r="Y630" s="423" t="s">
        <v>1041</v>
      </c>
      <c r="Z630" s="423" t="s">
        <v>1058</v>
      </c>
      <c r="AD630" s="423">
        <f>IF(ISNUMBER(MATCH(B630,'FICHA SOLIC'!$AB$26:$AB$376,0)),1,0)</f>
        <v>1</v>
      </c>
      <c r="AE630" s="423" t="str">
        <f t="shared" si="9"/>
        <v>La CisternaZU-6</v>
      </c>
    </row>
    <row r="631" spans="1:31" x14ac:dyDescent="0.25">
      <c r="A631" s="423">
        <v>630</v>
      </c>
      <c r="B631" s="423" t="s">
        <v>411</v>
      </c>
      <c r="C631" s="423" t="s">
        <v>1247</v>
      </c>
      <c r="D631" s="424" t="s">
        <v>990</v>
      </c>
      <c r="E631" s="425" t="s">
        <v>991</v>
      </c>
      <c r="F631" s="425" t="s">
        <v>992</v>
      </c>
      <c r="G631" s="425" t="s">
        <v>1054</v>
      </c>
      <c r="H631" s="426" t="s">
        <v>699</v>
      </c>
      <c r="I631" s="425" t="s">
        <v>1055</v>
      </c>
      <c r="J631" s="424" t="s">
        <v>697</v>
      </c>
      <c r="K631" s="425" t="s">
        <v>995</v>
      </c>
      <c r="L631" s="425" t="s">
        <v>996</v>
      </c>
      <c r="M631" s="425" t="s">
        <v>997</v>
      </c>
      <c r="N631" s="425" t="s">
        <v>558</v>
      </c>
      <c r="O631" s="424" t="s">
        <v>998</v>
      </c>
      <c r="P631" s="425" t="s">
        <v>999</v>
      </c>
      <c r="Q631" s="425" t="s">
        <v>1000</v>
      </c>
      <c r="R631" s="425" t="s">
        <v>1001</v>
      </c>
      <c r="S631" s="425" t="s">
        <v>1002</v>
      </c>
      <c r="T631" s="423">
        <v>500</v>
      </c>
      <c r="U631" s="423" t="s">
        <v>1041</v>
      </c>
      <c r="V631" s="423">
        <v>60</v>
      </c>
      <c r="W631" s="423">
        <v>1.5</v>
      </c>
      <c r="X631" s="423" t="s">
        <v>1173</v>
      </c>
      <c r="Y631" s="423" t="s">
        <v>1041</v>
      </c>
      <c r="Z631" s="423" t="s">
        <v>1058</v>
      </c>
      <c r="AD631" s="423">
        <f>IF(ISNUMBER(MATCH(B631,'FICHA SOLIC'!$AB$26:$AB$376,0)),1,0)</f>
        <v>1</v>
      </c>
      <c r="AE631" s="423" t="str">
        <f t="shared" si="9"/>
        <v>La CisternaZU-7</v>
      </c>
    </row>
    <row r="632" spans="1:31" x14ac:dyDescent="0.25">
      <c r="A632" s="423">
        <v>631</v>
      </c>
      <c r="B632" s="423" t="s">
        <v>411</v>
      </c>
      <c r="C632" s="423" t="s">
        <v>1248</v>
      </c>
      <c r="D632" s="424" t="s">
        <v>990</v>
      </c>
      <c r="E632" s="425" t="s">
        <v>991</v>
      </c>
      <c r="F632" s="425" t="s">
        <v>992</v>
      </c>
      <c r="G632" s="425" t="s">
        <v>1054</v>
      </c>
      <c r="H632" s="426" t="s">
        <v>699</v>
      </c>
      <c r="I632" s="425" t="s">
        <v>1055</v>
      </c>
      <c r="J632" s="424" t="s">
        <v>697</v>
      </c>
      <c r="K632" s="425" t="s">
        <v>995</v>
      </c>
      <c r="L632" s="425" t="s">
        <v>996</v>
      </c>
      <c r="M632" s="425" t="s">
        <v>997</v>
      </c>
      <c r="N632" s="425" t="s">
        <v>558</v>
      </c>
      <c r="O632" s="424" t="s">
        <v>998</v>
      </c>
      <c r="P632" s="425" t="s">
        <v>999</v>
      </c>
      <c r="Q632" s="425" t="s">
        <v>1000</v>
      </c>
      <c r="R632" s="425" t="s">
        <v>1001</v>
      </c>
      <c r="S632" s="425" t="s">
        <v>1002</v>
      </c>
      <c r="T632" s="423">
        <v>300000</v>
      </c>
      <c r="U632" s="423" t="s">
        <v>1041</v>
      </c>
      <c r="V632" s="423">
        <v>10</v>
      </c>
      <c r="W632" s="423">
        <v>0.1</v>
      </c>
      <c r="X632" s="423">
        <v>12</v>
      </c>
      <c r="Y632" s="423" t="s">
        <v>1041</v>
      </c>
      <c r="Z632" s="423" t="s">
        <v>1058</v>
      </c>
      <c r="AD632" s="423">
        <f>IF(ISNUMBER(MATCH(B632,'FICHA SOLIC'!$AB$26:$AB$376,0)),1,0)</f>
        <v>1</v>
      </c>
      <c r="AE632" s="423" t="str">
        <f t="shared" si="9"/>
        <v>La CisternaZU-8</v>
      </c>
    </row>
    <row r="633" spans="1:31" x14ac:dyDescent="0.25">
      <c r="A633" s="423">
        <v>632</v>
      </c>
      <c r="B633" s="423" t="s">
        <v>411</v>
      </c>
      <c r="C633" s="423" t="s">
        <v>1249</v>
      </c>
      <c r="D633" s="424" t="s">
        <v>990</v>
      </c>
      <c r="E633" s="425" t="s">
        <v>991</v>
      </c>
      <c r="F633" s="425" t="s">
        <v>992</v>
      </c>
      <c r="G633" s="425" t="s">
        <v>1054</v>
      </c>
      <c r="H633" s="426" t="s">
        <v>699</v>
      </c>
      <c r="I633" s="425" t="s">
        <v>1055</v>
      </c>
      <c r="J633" s="424" t="s">
        <v>697</v>
      </c>
      <c r="K633" s="425" t="s">
        <v>995</v>
      </c>
      <c r="L633" s="425" t="s">
        <v>996</v>
      </c>
      <c r="M633" s="425" t="s">
        <v>997</v>
      </c>
      <c r="N633" s="425" t="s">
        <v>558</v>
      </c>
      <c r="O633" s="424" t="s">
        <v>998</v>
      </c>
      <c r="P633" s="425" t="s">
        <v>999</v>
      </c>
      <c r="Q633" s="425" t="s">
        <v>1000</v>
      </c>
      <c r="R633" s="425" t="s">
        <v>1001</v>
      </c>
      <c r="S633" s="425" t="s">
        <v>1002</v>
      </c>
      <c r="T633" s="423">
        <v>1500</v>
      </c>
      <c r="U633" s="423" t="s">
        <v>1041</v>
      </c>
      <c r="V633" s="423">
        <v>70</v>
      </c>
      <c r="W633" s="423">
        <v>2</v>
      </c>
      <c r="Y633" s="423">
        <v>5</v>
      </c>
      <c r="Z633" s="423" t="s">
        <v>1058</v>
      </c>
      <c r="AD633" s="423">
        <f>IF(ISNUMBER(MATCH(B633,'FICHA SOLIC'!$AB$26:$AB$376,0)),1,0)</f>
        <v>1</v>
      </c>
      <c r="AE633" s="423" t="str">
        <f t="shared" si="9"/>
        <v>La CisternaZU-9</v>
      </c>
    </row>
    <row r="634" spans="1:31" x14ac:dyDescent="0.25">
      <c r="A634" s="423">
        <v>633</v>
      </c>
      <c r="B634" s="423" t="s">
        <v>167</v>
      </c>
      <c r="C634" s="423" t="s">
        <v>1041</v>
      </c>
      <c r="D634" s="972" t="s">
        <v>990</v>
      </c>
      <c r="E634" s="973" t="s">
        <v>991</v>
      </c>
      <c r="F634" s="973" t="s">
        <v>992</v>
      </c>
      <c r="G634" s="973" t="s">
        <v>1997</v>
      </c>
      <c r="H634" s="973" t="s">
        <v>1998</v>
      </c>
      <c r="I634" s="973" t="s">
        <v>1999</v>
      </c>
      <c r="J634" s="972" t="s">
        <v>697</v>
      </c>
      <c r="K634" s="973" t="s">
        <v>995</v>
      </c>
      <c r="L634" s="973" t="s">
        <v>996</v>
      </c>
      <c r="M634" s="973" t="s">
        <v>2000</v>
      </c>
      <c r="N634" s="973" t="s">
        <v>2001</v>
      </c>
      <c r="O634" s="972" t="s">
        <v>1971</v>
      </c>
      <c r="P634" s="973" t="s">
        <v>999</v>
      </c>
      <c r="Q634" s="973" t="s">
        <v>1000</v>
      </c>
      <c r="R634" s="973" t="s">
        <v>1001</v>
      </c>
      <c r="S634" s="973" t="s">
        <v>1002</v>
      </c>
      <c r="T634" s="423" t="s">
        <v>1041</v>
      </c>
      <c r="U634" s="423" t="s">
        <v>1041</v>
      </c>
      <c r="V634" s="423" t="s">
        <v>1041</v>
      </c>
      <c r="W634" s="423" t="s">
        <v>1041</v>
      </c>
      <c r="X634" s="423" t="s">
        <v>1041</v>
      </c>
      <c r="Y634" s="423" t="s">
        <v>1041</v>
      </c>
      <c r="Z634" s="423" t="s">
        <v>1041</v>
      </c>
      <c r="AD634" s="423">
        <f>IF(ISNUMBER(MATCH(B634,'FICHA SOLIC'!$AB$26:$AB$376,0)),1,0)</f>
        <v>1</v>
      </c>
      <c r="AE634" s="423" t="str">
        <f t="shared" si="9"/>
        <v>La CruzOGUC</v>
      </c>
    </row>
    <row r="635" spans="1:31" x14ac:dyDescent="0.25">
      <c r="A635" s="423">
        <v>634</v>
      </c>
      <c r="B635" s="423" t="s">
        <v>412</v>
      </c>
      <c r="C635" s="423" t="s">
        <v>1645</v>
      </c>
      <c r="D635" s="424" t="s">
        <v>990</v>
      </c>
      <c r="E635" s="425" t="s">
        <v>991</v>
      </c>
      <c r="F635" s="425" t="s">
        <v>992</v>
      </c>
      <c r="G635" s="425" t="s">
        <v>1054</v>
      </c>
      <c r="H635" s="426" t="s">
        <v>699</v>
      </c>
      <c r="I635" s="425" t="s">
        <v>1055</v>
      </c>
      <c r="J635" s="424" t="s">
        <v>697</v>
      </c>
      <c r="K635" s="425" t="s">
        <v>995</v>
      </c>
      <c r="L635" s="425" t="s">
        <v>996</v>
      </c>
      <c r="M635" s="425" t="s">
        <v>997</v>
      </c>
      <c r="N635" s="425" t="s">
        <v>558</v>
      </c>
      <c r="O635" s="424" t="s">
        <v>998</v>
      </c>
      <c r="P635" s="425" t="s">
        <v>999</v>
      </c>
      <c r="Q635" s="425" t="s">
        <v>1000</v>
      </c>
      <c r="R635" s="425" t="s">
        <v>1001</v>
      </c>
      <c r="S635" s="425" t="s">
        <v>1002</v>
      </c>
      <c r="T635" s="423" t="s">
        <v>1025</v>
      </c>
      <c r="U635" s="423" t="s">
        <v>1041</v>
      </c>
      <c r="V635" s="423">
        <v>5</v>
      </c>
      <c r="W635" s="423">
        <v>0.05</v>
      </c>
      <c r="X635" s="423" t="s">
        <v>1041</v>
      </c>
      <c r="Y635" s="423" t="s">
        <v>1041</v>
      </c>
      <c r="Z635" s="423" t="s">
        <v>1041</v>
      </c>
      <c r="AD635" s="423">
        <f>IF(ISNUMBER(MATCH(B635,'FICHA SOLIC'!$AB$26:$AB$376,0)),1,0)</f>
        <v>1</v>
      </c>
      <c r="AE635" s="423" t="str">
        <f t="shared" si="9"/>
        <v>La FloridaAV1.1</v>
      </c>
    </row>
    <row r="636" spans="1:31" x14ac:dyDescent="0.25">
      <c r="A636" s="423">
        <v>635</v>
      </c>
      <c r="B636" s="423" t="s">
        <v>412</v>
      </c>
      <c r="C636" s="423" t="s">
        <v>1644</v>
      </c>
      <c r="D636" s="424" t="s">
        <v>990</v>
      </c>
      <c r="E636" s="425" t="s">
        <v>991</v>
      </c>
      <c r="F636" s="425" t="s">
        <v>992</v>
      </c>
      <c r="G636" s="425" t="s">
        <v>1054</v>
      </c>
      <c r="H636" s="426" t="s">
        <v>699</v>
      </c>
      <c r="I636" s="425" t="s">
        <v>1055</v>
      </c>
      <c r="J636" s="424" t="s">
        <v>697</v>
      </c>
      <c r="K636" s="425" t="s">
        <v>995</v>
      </c>
      <c r="L636" s="425" t="s">
        <v>996</v>
      </c>
      <c r="M636" s="425" t="s">
        <v>997</v>
      </c>
      <c r="N636" s="425" t="s">
        <v>558</v>
      </c>
      <c r="O636" s="424" t="s">
        <v>998</v>
      </c>
      <c r="P636" s="425" t="s">
        <v>999</v>
      </c>
      <c r="Q636" s="425" t="s">
        <v>1000</v>
      </c>
      <c r="R636" s="425" t="s">
        <v>1001</v>
      </c>
      <c r="S636" s="425" t="s">
        <v>1002</v>
      </c>
      <c r="T636" s="423" t="s">
        <v>1041</v>
      </c>
      <c r="U636" s="423" t="s">
        <v>1041</v>
      </c>
      <c r="V636" s="423" t="s">
        <v>1041</v>
      </c>
      <c r="W636" s="423">
        <v>0.05</v>
      </c>
      <c r="X636" s="423" t="s">
        <v>1041</v>
      </c>
      <c r="Y636" s="423" t="s">
        <v>1041</v>
      </c>
      <c r="Z636" s="423" t="s">
        <v>1041</v>
      </c>
      <c r="AD636" s="423">
        <f>IF(ISNUMBER(MATCH(B636,'FICHA SOLIC'!$AB$26:$AB$376,0)),1,0)</f>
        <v>1</v>
      </c>
      <c r="AE636" s="423" t="str">
        <f t="shared" si="9"/>
        <v>La FloridaAV1.2</v>
      </c>
    </row>
    <row r="637" spans="1:31" x14ac:dyDescent="0.25">
      <c r="A637" s="423">
        <v>636</v>
      </c>
      <c r="B637" s="423" t="s">
        <v>412</v>
      </c>
      <c r="C637" s="423" t="s">
        <v>1646</v>
      </c>
      <c r="D637" s="424" t="s">
        <v>990</v>
      </c>
      <c r="E637" s="425" t="s">
        <v>991</v>
      </c>
      <c r="F637" s="425" t="s">
        <v>992</v>
      </c>
      <c r="G637" s="425" t="s">
        <v>1054</v>
      </c>
      <c r="H637" s="426" t="s">
        <v>699</v>
      </c>
      <c r="I637" s="425" t="s">
        <v>1055</v>
      </c>
      <c r="J637" s="424" t="s">
        <v>697</v>
      </c>
      <c r="K637" s="425" t="s">
        <v>995</v>
      </c>
      <c r="L637" s="425" t="s">
        <v>996</v>
      </c>
      <c r="M637" s="425" t="s">
        <v>997</v>
      </c>
      <c r="N637" s="425" t="s">
        <v>558</v>
      </c>
      <c r="O637" s="424" t="s">
        <v>998</v>
      </c>
      <c r="P637" s="425" t="s">
        <v>999</v>
      </c>
      <c r="Q637" s="425" t="s">
        <v>1000</v>
      </c>
      <c r="R637" s="425" t="s">
        <v>1001</v>
      </c>
      <c r="S637" s="425" t="s">
        <v>1002</v>
      </c>
      <c r="T637" s="423" t="s">
        <v>1041</v>
      </c>
      <c r="U637" s="423" t="s">
        <v>1041</v>
      </c>
      <c r="V637" s="423" t="s">
        <v>1041</v>
      </c>
      <c r="W637" s="423">
        <v>0.05</v>
      </c>
      <c r="X637" s="423" t="s">
        <v>1041</v>
      </c>
      <c r="Y637" s="423" t="s">
        <v>1041</v>
      </c>
      <c r="Z637" s="423" t="s">
        <v>1041</v>
      </c>
      <c r="AD637" s="423">
        <f>IF(ISNUMBER(MATCH(B637,'FICHA SOLIC'!$AB$26:$AB$376,0)),1,0)</f>
        <v>1</v>
      </c>
      <c r="AE637" s="423" t="str">
        <f t="shared" si="9"/>
        <v>La FloridaAV1.3</v>
      </c>
    </row>
    <row r="638" spans="1:31" x14ac:dyDescent="0.25">
      <c r="A638" s="423">
        <v>637</v>
      </c>
      <c r="B638" s="423" t="s">
        <v>412</v>
      </c>
      <c r="C638" s="423" t="s">
        <v>1281</v>
      </c>
      <c r="D638" s="424" t="s">
        <v>990</v>
      </c>
      <c r="E638" s="425" t="s">
        <v>991</v>
      </c>
      <c r="F638" s="425" t="s">
        <v>992</v>
      </c>
      <c r="G638" s="425" t="s">
        <v>1054</v>
      </c>
      <c r="H638" s="426" t="s">
        <v>699</v>
      </c>
      <c r="I638" s="425" t="s">
        <v>1055</v>
      </c>
      <c r="J638" s="424" t="s">
        <v>697</v>
      </c>
      <c r="K638" s="425" t="s">
        <v>995</v>
      </c>
      <c r="L638" s="425" t="s">
        <v>996</v>
      </c>
      <c r="M638" s="425" t="s">
        <v>997</v>
      </c>
      <c r="N638" s="425" t="s">
        <v>558</v>
      </c>
      <c r="O638" s="424" t="s">
        <v>998</v>
      </c>
      <c r="P638" s="425" t="s">
        <v>999</v>
      </c>
      <c r="Q638" s="425" t="s">
        <v>1000</v>
      </c>
      <c r="R638" s="425" t="s">
        <v>1001</v>
      </c>
      <c r="S638" s="425" t="s">
        <v>1002</v>
      </c>
      <c r="T638" s="423" t="s">
        <v>1041</v>
      </c>
      <c r="U638" s="423" t="s">
        <v>1041</v>
      </c>
      <c r="V638" s="423">
        <v>5</v>
      </c>
      <c r="W638" s="423">
        <v>0.05</v>
      </c>
      <c r="X638" s="423" t="s">
        <v>1041</v>
      </c>
      <c r="Y638" s="423" t="s">
        <v>1041</v>
      </c>
      <c r="Z638" s="423" t="s">
        <v>1041</v>
      </c>
      <c r="AD638" s="423">
        <f>IF(ISNUMBER(MATCH(B638,'FICHA SOLIC'!$AB$26:$AB$376,0)),1,0)</f>
        <v>1</v>
      </c>
      <c r="AE638" s="423" t="str">
        <f t="shared" si="9"/>
        <v>La FloridaAV2</v>
      </c>
    </row>
    <row r="639" spans="1:31" x14ac:dyDescent="0.25">
      <c r="A639" s="423">
        <v>638</v>
      </c>
      <c r="B639" s="423" t="s">
        <v>412</v>
      </c>
      <c r="C639" s="423" t="s">
        <v>1633</v>
      </c>
      <c r="D639" s="424"/>
      <c r="E639" s="425"/>
      <c r="F639" s="425"/>
      <c r="G639" s="425"/>
      <c r="H639" s="426"/>
      <c r="I639" s="425"/>
      <c r="J639" s="424"/>
      <c r="K639" s="425"/>
      <c r="L639" s="425"/>
      <c r="M639" s="425"/>
      <c r="N639" s="425"/>
      <c r="O639" s="424"/>
      <c r="P639" s="425"/>
      <c r="Q639" s="425"/>
      <c r="R639" s="425"/>
      <c r="S639" s="425"/>
      <c r="T639" s="423" t="s">
        <v>1041</v>
      </c>
      <c r="U639" s="423" t="s">
        <v>1041</v>
      </c>
      <c r="V639" s="423">
        <v>1</v>
      </c>
      <c r="W639" s="423">
        <v>0.01</v>
      </c>
      <c r="X639" s="423" t="s">
        <v>1041</v>
      </c>
      <c r="Y639" s="423" t="s">
        <v>1041</v>
      </c>
      <c r="Z639" s="423" t="s">
        <v>1041</v>
      </c>
      <c r="AD639" s="423">
        <f>IF(ISNUMBER(MATCH(B639,'FICHA SOLIC'!$AB$26:$AB$376,0)),1,0)</f>
        <v>1</v>
      </c>
      <c r="AE639" s="423" t="str">
        <f t="shared" si="9"/>
        <v>La FloridaAV3</v>
      </c>
    </row>
    <row r="640" spans="1:31" x14ac:dyDescent="0.25">
      <c r="A640" s="423">
        <v>639</v>
      </c>
      <c r="B640" s="423" t="s">
        <v>412</v>
      </c>
      <c r="C640" s="423" t="s">
        <v>1634</v>
      </c>
      <c r="D640" s="424" t="s">
        <v>990</v>
      </c>
      <c r="E640" s="425" t="s">
        <v>991</v>
      </c>
      <c r="F640" s="425" t="s">
        <v>992</v>
      </c>
      <c r="G640" s="425" t="s">
        <v>1054</v>
      </c>
      <c r="H640" s="426" t="s">
        <v>699</v>
      </c>
      <c r="I640" s="425" t="s">
        <v>1055</v>
      </c>
      <c r="J640" s="424" t="s">
        <v>697</v>
      </c>
      <c r="K640" s="425" t="s">
        <v>995</v>
      </c>
      <c r="L640" s="425" t="s">
        <v>996</v>
      </c>
      <c r="M640" s="425" t="s">
        <v>997</v>
      </c>
      <c r="N640" s="425" t="s">
        <v>558</v>
      </c>
      <c r="O640" s="424" t="s">
        <v>998</v>
      </c>
      <c r="P640" s="425" t="s">
        <v>999</v>
      </c>
      <c r="Q640" s="425" t="s">
        <v>1000</v>
      </c>
      <c r="R640" s="425" t="s">
        <v>1001</v>
      </c>
      <c r="S640" s="425" t="s">
        <v>1002</v>
      </c>
      <c r="T640" s="423" t="s">
        <v>1041</v>
      </c>
      <c r="U640" s="423" t="s">
        <v>1041</v>
      </c>
      <c r="V640" s="423">
        <v>1</v>
      </c>
      <c r="W640" s="423">
        <v>0.01</v>
      </c>
      <c r="X640" s="423" t="s">
        <v>1041</v>
      </c>
      <c r="Y640" s="423" t="s">
        <v>1041</v>
      </c>
      <c r="Z640" s="423" t="s">
        <v>1041</v>
      </c>
      <c r="AD640" s="423">
        <f>IF(ISNUMBER(MATCH(B640,'FICHA SOLIC'!$AB$26:$AB$376,0)),1,0)</f>
        <v>1</v>
      </c>
      <c r="AE640" s="423" t="str">
        <f t="shared" si="9"/>
        <v>La FloridaAV4</v>
      </c>
    </row>
    <row r="641" spans="1:31" x14ac:dyDescent="0.25">
      <c r="A641" s="423">
        <v>640</v>
      </c>
      <c r="B641" s="423" t="s">
        <v>412</v>
      </c>
      <c r="C641" s="423" t="s">
        <v>1635</v>
      </c>
      <c r="D641" s="424" t="s">
        <v>990</v>
      </c>
      <c r="E641" s="425" t="s">
        <v>991</v>
      </c>
      <c r="F641" s="425" t="s">
        <v>992</v>
      </c>
      <c r="G641" s="425" t="s">
        <v>1054</v>
      </c>
      <c r="H641" s="426" t="s">
        <v>699</v>
      </c>
      <c r="I641" s="425" t="s">
        <v>1055</v>
      </c>
      <c r="J641" s="424" t="s">
        <v>697</v>
      </c>
      <c r="K641" s="425" t="s">
        <v>995</v>
      </c>
      <c r="L641" s="425" t="s">
        <v>996</v>
      </c>
      <c r="M641" s="425" t="s">
        <v>997</v>
      </c>
      <c r="N641" s="425" t="s">
        <v>558</v>
      </c>
      <c r="O641" s="424" t="s">
        <v>998</v>
      </c>
      <c r="P641" s="425" t="s">
        <v>999</v>
      </c>
      <c r="Q641" s="425" t="s">
        <v>1000</v>
      </c>
      <c r="R641" s="425" t="s">
        <v>1001</v>
      </c>
      <c r="S641" s="425" t="s">
        <v>1002</v>
      </c>
      <c r="T641" s="423">
        <v>50000</v>
      </c>
      <c r="U641" s="423" t="s">
        <v>1041</v>
      </c>
      <c r="V641" s="423" t="s">
        <v>1041</v>
      </c>
      <c r="W641" s="423">
        <v>0.02</v>
      </c>
      <c r="X641" s="423" t="s">
        <v>1041</v>
      </c>
      <c r="Y641" s="423" t="s">
        <v>1041</v>
      </c>
      <c r="Z641" s="423" t="s">
        <v>1041</v>
      </c>
      <c r="AD641" s="423">
        <f>IF(ISNUMBER(MATCH(B641,'FICHA SOLIC'!$AB$26:$AB$376,0)),1,0)</f>
        <v>1</v>
      </c>
      <c r="AE641" s="423" t="str">
        <f t="shared" si="9"/>
        <v>La FloridaAV5</v>
      </c>
    </row>
    <row r="642" spans="1:31" x14ac:dyDescent="0.25">
      <c r="A642" s="423">
        <v>641</v>
      </c>
      <c r="B642" s="423" t="s">
        <v>412</v>
      </c>
      <c r="C642" s="423" t="s">
        <v>1636</v>
      </c>
      <c r="D642" s="424" t="s">
        <v>990</v>
      </c>
      <c r="E642" s="425" t="s">
        <v>991</v>
      </c>
      <c r="F642" s="425" t="s">
        <v>992</v>
      </c>
      <c r="G642" s="425" t="s">
        <v>1054</v>
      </c>
      <c r="H642" s="426" t="s">
        <v>699</v>
      </c>
      <c r="I642" s="425" t="s">
        <v>1055</v>
      </c>
      <c r="J642" s="424" t="s">
        <v>697</v>
      </c>
      <c r="K642" s="425" t="s">
        <v>995</v>
      </c>
      <c r="L642" s="425" t="s">
        <v>996</v>
      </c>
      <c r="M642" s="425" t="s">
        <v>997</v>
      </c>
      <c r="N642" s="425" t="s">
        <v>558</v>
      </c>
      <c r="O642" s="424" t="s">
        <v>998</v>
      </c>
      <c r="P642" s="425" t="s">
        <v>999</v>
      </c>
      <c r="Q642" s="425" t="s">
        <v>1000</v>
      </c>
      <c r="R642" s="425" t="s">
        <v>1001</v>
      </c>
      <c r="S642" s="425" t="s">
        <v>1002</v>
      </c>
      <c r="T642" s="423" t="s">
        <v>1041</v>
      </c>
      <c r="U642" s="423" t="s">
        <v>1041</v>
      </c>
      <c r="V642" s="423" t="s">
        <v>1041</v>
      </c>
      <c r="W642" s="423">
        <v>0.01</v>
      </c>
      <c r="X642" s="423">
        <v>7</v>
      </c>
      <c r="Y642" s="423" t="s">
        <v>1041</v>
      </c>
      <c r="Z642" s="423" t="s">
        <v>1041</v>
      </c>
      <c r="AD642" s="423">
        <f>IF(ISNUMBER(MATCH(B642,'FICHA SOLIC'!$AB$26:$AB$376,0)),1,0)</f>
        <v>1</v>
      </c>
      <c r="AE642" s="423" t="str">
        <f t="shared" si="9"/>
        <v>La FloridaAV6</v>
      </c>
    </row>
    <row r="643" spans="1:31" x14ac:dyDescent="0.25">
      <c r="A643" s="423">
        <v>642</v>
      </c>
      <c r="B643" s="423" t="s">
        <v>412</v>
      </c>
      <c r="C643" s="423" t="s">
        <v>1053</v>
      </c>
      <c r="D643" s="424" t="s">
        <v>990</v>
      </c>
      <c r="E643" s="425" t="s">
        <v>991</v>
      </c>
      <c r="F643" s="425" t="s">
        <v>992</v>
      </c>
      <c r="G643" s="425" t="s">
        <v>1054</v>
      </c>
      <c r="H643" s="426" t="s">
        <v>699</v>
      </c>
      <c r="I643" s="425" t="s">
        <v>1055</v>
      </c>
      <c r="J643" s="424" t="s">
        <v>697</v>
      </c>
      <c r="K643" s="425" t="s">
        <v>995</v>
      </c>
      <c r="L643" s="425" t="s">
        <v>996</v>
      </c>
      <c r="M643" s="425" t="s">
        <v>997</v>
      </c>
      <c r="N643" s="425" t="s">
        <v>558</v>
      </c>
      <c r="O643" s="424" t="s">
        <v>998</v>
      </c>
      <c r="P643" s="425" t="s">
        <v>999</v>
      </c>
      <c r="Q643" s="425" t="s">
        <v>1000</v>
      </c>
      <c r="R643" s="425" t="s">
        <v>1001</v>
      </c>
      <c r="S643" s="425" t="s">
        <v>1002</v>
      </c>
      <c r="T643" s="423">
        <v>210</v>
      </c>
      <c r="U643" s="423" t="s">
        <v>1041</v>
      </c>
      <c r="V643" s="423">
        <v>60</v>
      </c>
      <c r="W643" s="423">
        <v>2.6</v>
      </c>
      <c r="X643" s="423">
        <v>22</v>
      </c>
      <c r="Y643" s="423">
        <v>8</v>
      </c>
      <c r="Z643" s="423" t="s">
        <v>1059</v>
      </c>
      <c r="AD643" s="423">
        <f>IF(ISNUMBER(MATCH(B643,'FICHA SOLIC'!$AB$26:$AB$376,0)),1,0)</f>
        <v>1</v>
      </c>
      <c r="AE643" s="423" t="str">
        <f t="shared" ref="AE643:AE706" si="10">B643&amp;C643</f>
        <v>La FloridaE-A1</v>
      </c>
    </row>
    <row r="644" spans="1:31" x14ac:dyDescent="0.25">
      <c r="A644" s="423">
        <v>643</v>
      </c>
      <c r="B644" s="423" t="s">
        <v>412</v>
      </c>
      <c r="C644" s="423" t="s">
        <v>1051</v>
      </c>
      <c r="D644" s="424" t="s">
        <v>990</v>
      </c>
      <c r="E644" s="425" t="s">
        <v>991</v>
      </c>
      <c r="F644" s="425" t="s">
        <v>992</v>
      </c>
      <c r="G644" s="425" t="s">
        <v>1054</v>
      </c>
      <c r="H644" s="426" t="s">
        <v>699</v>
      </c>
      <c r="I644" s="425" t="s">
        <v>1055</v>
      </c>
      <c r="J644" s="424" t="s">
        <v>697</v>
      </c>
      <c r="K644" s="425" t="s">
        <v>995</v>
      </c>
      <c r="L644" s="425" t="s">
        <v>996</v>
      </c>
      <c r="M644" s="425" t="s">
        <v>997</v>
      </c>
      <c r="N644" s="425" t="s">
        <v>558</v>
      </c>
      <c r="O644" s="424" t="s">
        <v>998</v>
      </c>
      <c r="P644" s="425" t="s">
        <v>999</v>
      </c>
      <c r="Q644" s="425" t="s">
        <v>1000</v>
      </c>
      <c r="R644" s="425" t="s">
        <v>1001</v>
      </c>
      <c r="S644" s="425" t="s">
        <v>1002</v>
      </c>
      <c r="T644" s="423">
        <v>2000</v>
      </c>
      <c r="U644" s="423" t="s">
        <v>1041</v>
      </c>
      <c r="V644" s="423">
        <v>35</v>
      </c>
      <c r="W644" s="423">
        <v>2.2000000000000002</v>
      </c>
      <c r="X644" s="423">
        <v>22</v>
      </c>
      <c r="Y644" s="423" t="s">
        <v>1041</v>
      </c>
      <c r="Z644" s="423" t="s">
        <v>1058</v>
      </c>
      <c r="AD644" s="423">
        <f>IF(ISNUMBER(MATCH(B644,'FICHA SOLIC'!$AB$26:$AB$376,0)),1,0)</f>
        <v>1</v>
      </c>
      <c r="AE644" s="423" t="str">
        <f t="shared" si="10"/>
        <v>La FloridaE-AA1</v>
      </c>
    </row>
    <row r="645" spans="1:31" x14ac:dyDescent="0.25">
      <c r="A645" s="423">
        <v>644</v>
      </c>
      <c r="B645" s="423" t="s">
        <v>412</v>
      </c>
      <c r="C645" s="423" t="s">
        <v>1052</v>
      </c>
      <c r="D645" s="424" t="s">
        <v>990</v>
      </c>
      <c r="E645" s="425" t="s">
        <v>991</v>
      </c>
      <c r="F645" s="425" t="s">
        <v>992</v>
      </c>
      <c r="G645" s="425" t="s">
        <v>1054</v>
      </c>
      <c r="H645" s="426" t="s">
        <v>699</v>
      </c>
      <c r="I645" s="425" t="s">
        <v>1055</v>
      </c>
      <c r="J645" s="424" t="s">
        <v>697</v>
      </c>
      <c r="K645" s="425" t="s">
        <v>995</v>
      </c>
      <c r="L645" s="425" t="s">
        <v>996</v>
      </c>
      <c r="M645" s="425" t="s">
        <v>997</v>
      </c>
      <c r="N645" s="425" t="s">
        <v>558</v>
      </c>
      <c r="O645" s="424" t="s">
        <v>998</v>
      </c>
      <c r="P645" s="425" t="s">
        <v>999</v>
      </c>
      <c r="Q645" s="425" t="s">
        <v>1000</v>
      </c>
      <c r="R645" s="425" t="s">
        <v>1001</v>
      </c>
      <c r="S645" s="425" t="s">
        <v>1002</v>
      </c>
      <c r="T645" s="423">
        <v>2500</v>
      </c>
      <c r="U645" s="423" t="s">
        <v>1041</v>
      </c>
      <c r="V645" s="423">
        <v>25</v>
      </c>
      <c r="W645" s="423">
        <v>3.2</v>
      </c>
      <c r="X645" s="423">
        <v>46</v>
      </c>
      <c r="Y645" s="423">
        <v>12</v>
      </c>
      <c r="Z645" s="423" t="s">
        <v>1058</v>
      </c>
      <c r="AD645" s="423">
        <f>IF(ISNUMBER(MATCH(B645,'FICHA SOLIC'!$AB$26:$AB$376,0)),1,0)</f>
        <v>1</v>
      </c>
      <c r="AE645" s="423" t="str">
        <f t="shared" si="10"/>
        <v>La FloridaE-AA2</v>
      </c>
    </row>
    <row r="646" spans="1:31" x14ac:dyDescent="0.25">
      <c r="A646" s="423">
        <v>645</v>
      </c>
      <c r="B646" s="423" t="s">
        <v>412</v>
      </c>
      <c r="C646" s="423" t="s">
        <v>1042</v>
      </c>
      <c r="D646" s="424" t="s">
        <v>990</v>
      </c>
      <c r="E646" s="425" t="s">
        <v>991</v>
      </c>
      <c r="F646" s="425" t="s">
        <v>992</v>
      </c>
      <c r="G646" s="425" t="s">
        <v>1054</v>
      </c>
      <c r="H646" s="426" t="s">
        <v>699</v>
      </c>
      <c r="I646" s="425" t="s">
        <v>1055</v>
      </c>
      <c r="J646" s="424" t="s">
        <v>697</v>
      </c>
      <c r="K646" s="425" t="s">
        <v>995</v>
      </c>
      <c r="L646" s="425" t="s">
        <v>996</v>
      </c>
      <c r="M646" s="425" t="s">
        <v>997</v>
      </c>
      <c r="N646" s="425" t="s">
        <v>558</v>
      </c>
      <c r="O646" s="424" t="s">
        <v>998</v>
      </c>
      <c r="P646" s="425" t="s">
        <v>999</v>
      </c>
      <c r="Q646" s="425" t="s">
        <v>1000</v>
      </c>
      <c r="R646" s="425" t="s">
        <v>1001</v>
      </c>
      <c r="S646" s="425" t="s">
        <v>1002</v>
      </c>
      <c r="T646" s="423">
        <v>1000</v>
      </c>
      <c r="U646" s="423" t="s">
        <v>1041</v>
      </c>
      <c r="V646" s="423">
        <v>26</v>
      </c>
      <c r="W646" s="423">
        <v>0.78</v>
      </c>
      <c r="X646" s="423">
        <v>8.4</v>
      </c>
      <c r="Y646" s="423" t="s">
        <v>1041</v>
      </c>
      <c r="Z646" s="423" t="s">
        <v>1004</v>
      </c>
      <c r="AD646" s="423">
        <f>IF(ISNUMBER(MATCH(B646,'FICHA SOLIC'!$AB$26:$AB$376,0)),1,0)</f>
        <v>1</v>
      </c>
      <c r="AE646" s="423" t="str">
        <f t="shared" si="10"/>
        <v>La FloridaE-AB1</v>
      </c>
    </row>
    <row r="647" spans="1:31" x14ac:dyDescent="0.25">
      <c r="A647" s="423">
        <v>646</v>
      </c>
      <c r="B647" s="423" t="s">
        <v>412</v>
      </c>
      <c r="C647" s="423" t="s">
        <v>1043</v>
      </c>
      <c r="D647" s="424" t="s">
        <v>990</v>
      </c>
      <c r="E647" s="425" t="s">
        <v>991</v>
      </c>
      <c r="F647" s="425" t="s">
        <v>992</v>
      </c>
      <c r="G647" s="425" t="s">
        <v>1054</v>
      </c>
      <c r="H647" s="426" t="s">
        <v>699</v>
      </c>
      <c r="I647" s="425" t="s">
        <v>1055</v>
      </c>
      <c r="J647" s="424" t="s">
        <v>697</v>
      </c>
      <c r="K647" s="425" t="s">
        <v>995</v>
      </c>
      <c r="L647" s="425" t="s">
        <v>996</v>
      </c>
      <c r="M647" s="425" t="s">
        <v>997</v>
      </c>
      <c r="N647" s="425" t="s">
        <v>558</v>
      </c>
      <c r="O647" s="424" t="s">
        <v>998</v>
      </c>
      <c r="P647" s="425" t="s">
        <v>999</v>
      </c>
      <c r="Q647" s="425" t="s">
        <v>1000</v>
      </c>
      <c r="R647" s="425" t="s">
        <v>1001</v>
      </c>
      <c r="S647" s="425" t="s">
        <v>1002</v>
      </c>
      <c r="T647" s="423">
        <v>570</v>
      </c>
      <c r="U647" s="423" t="s">
        <v>1041</v>
      </c>
      <c r="V647" s="423">
        <v>40</v>
      </c>
      <c r="W647" s="423">
        <v>1.2</v>
      </c>
      <c r="X647" s="423">
        <v>8.4</v>
      </c>
      <c r="Y647" s="423" t="s">
        <v>1041</v>
      </c>
      <c r="Z647" s="423" t="s">
        <v>1004</v>
      </c>
      <c r="AD647" s="423">
        <f>IF(ISNUMBER(MATCH(B647,'FICHA SOLIC'!$AB$26:$AB$376,0)),1,0)</f>
        <v>1</v>
      </c>
      <c r="AE647" s="423" t="str">
        <f t="shared" si="10"/>
        <v>La FloridaE-AB2</v>
      </c>
    </row>
    <row r="648" spans="1:31" x14ac:dyDescent="0.25">
      <c r="A648" s="423">
        <v>647</v>
      </c>
      <c r="B648" s="423" t="s">
        <v>412</v>
      </c>
      <c r="C648" s="423" t="s">
        <v>1044</v>
      </c>
      <c r="D648" s="424" t="s">
        <v>990</v>
      </c>
      <c r="E648" s="425" t="s">
        <v>991</v>
      </c>
      <c r="F648" s="425" t="s">
        <v>992</v>
      </c>
      <c r="G648" s="425" t="s">
        <v>1054</v>
      </c>
      <c r="H648" s="426" t="s">
        <v>699</v>
      </c>
      <c r="I648" s="425" t="s">
        <v>1055</v>
      </c>
      <c r="J648" s="424" t="s">
        <v>697</v>
      </c>
      <c r="K648" s="425" t="s">
        <v>995</v>
      </c>
      <c r="L648" s="425" t="s">
        <v>996</v>
      </c>
      <c r="M648" s="425" t="s">
        <v>997</v>
      </c>
      <c r="N648" s="425" t="s">
        <v>558</v>
      </c>
      <c r="O648" s="424" t="s">
        <v>998</v>
      </c>
      <c r="P648" s="425" t="s">
        <v>999</v>
      </c>
      <c r="Q648" s="425" t="s">
        <v>1000</v>
      </c>
      <c r="R648" s="425" t="s">
        <v>1001</v>
      </c>
      <c r="S648" s="425" t="s">
        <v>1002</v>
      </c>
      <c r="T648" s="423">
        <v>210</v>
      </c>
      <c r="U648" s="423" t="s">
        <v>1041</v>
      </c>
      <c r="V648" s="423">
        <v>52</v>
      </c>
      <c r="W648" s="423">
        <v>1.56</v>
      </c>
      <c r="X648" s="423">
        <v>8.4</v>
      </c>
      <c r="Y648" s="423" t="s">
        <v>1041</v>
      </c>
      <c r="Z648" s="423" t="s">
        <v>1056</v>
      </c>
      <c r="AD648" s="423">
        <f>IF(ISNUMBER(MATCH(B648,'FICHA SOLIC'!$AB$26:$AB$376,0)),1,0)</f>
        <v>1</v>
      </c>
      <c r="AE648" s="423" t="str">
        <f t="shared" si="10"/>
        <v>La FloridaE-AB3</v>
      </c>
    </row>
    <row r="649" spans="1:31" x14ac:dyDescent="0.25">
      <c r="A649" s="423">
        <v>648</v>
      </c>
      <c r="B649" s="423" t="s">
        <v>412</v>
      </c>
      <c r="C649" s="423" t="s">
        <v>1045</v>
      </c>
      <c r="D649" s="424" t="s">
        <v>990</v>
      </c>
      <c r="E649" s="425" t="s">
        <v>991</v>
      </c>
      <c r="F649" s="425" t="s">
        <v>992</v>
      </c>
      <c r="G649" s="425" t="s">
        <v>1054</v>
      </c>
      <c r="H649" s="426" t="s">
        <v>699</v>
      </c>
      <c r="I649" s="425" t="s">
        <v>1055</v>
      </c>
      <c r="J649" s="424" t="s">
        <v>697</v>
      </c>
      <c r="K649" s="425" t="s">
        <v>995</v>
      </c>
      <c r="L649" s="425" t="s">
        <v>996</v>
      </c>
      <c r="M649" s="425" t="s">
        <v>997</v>
      </c>
      <c r="N649" s="425" t="s">
        <v>558</v>
      </c>
      <c r="O649" s="424" t="s">
        <v>998</v>
      </c>
      <c r="P649" s="425" t="s">
        <v>999</v>
      </c>
      <c r="Q649" s="425" t="s">
        <v>1000</v>
      </c>
      <c r="R649" s="425" t="s">
        <v>1001</v>
      </c>
      <c r="S649" s="425" t="s">
        <v>1002</v>
      </c>
      <c r="T649" s="423">
        <v>105</v>
      </c>
      <c r="U649" s="423" t="s">
        <v>1041</v>
      </c>
      <c r="V649" s="423">
        <v>65</v>
      </c>
      <c r="W649" s="423">
        <v>1.95</v>
      </c>
      <c r="X649" s="423">
        <v>8.4</v>
      </c>
      <c r="Y649" s="423" t="s">
        <v>1041</v>
      </c>
      <c r="Z649" s="423" t="s">
        <v>1057</v>
      </c>
      <c r="AD649" s="423">
        <f>IF(ISNUMBER(MATCH(B649,'FICHA SOLIC'!$AB$26:$AB$376,0)),1,0)</f>
        <v>1</v>
      </c>
      <c r="AE649" s="423" t="str">
        <f t="shared" si="10"/>
        <v>La FloridaE-AB4</v>
      </c>
    </row>
    <row r="650" spans="1:31" x14ac:dyDescent="0.25">
      <c r="A650" s="423">
        <v>649</v>
      </c>
      <c r="B650" s="423" t="s">
        <v>412</v>
      </c>
      <c r="C650" s="423" t="s">
        <v>1046</v>
      </c>
      <c r="D650" s="424" t="s">
        <v>990</v>
      </c>
      <c r="E650" s="425" t="s">
        <v>991</v>
      </c>
      <c r="F650" s="425" t="s">
        <v>992</v>
      </c>
      <c r="G650" s="425" t="s">
        <v>1054</v>
      </c>
      <c r="H650" s="426" t="s">
        <v>699</v>
      </c>
      <c r="I650" s="425" t="s">
        <v>1055</v>
      </c>
      <c r="J650" s="424" t="s">
        <v>697</v>
      </c>
      <c r="K650" s="425" t="s">
        <v>995</v>
      </c>
      <c r="L650" s="425" t="s">
        <v>996</v>
      </c>
      <c r="M650" s="425" t="s">
        <v>997</v>
      </c>
      <c r="N650" s="425" t="s">
        <v>558</v>
      </c>
      <c r="O650" s="424" t="s">
        <v>998</v>
      </c>
      <c r="P650" s="425" t="s">
        <v>999</v>
      </c>
      <c r="Q650" s="425" t="s">
        <v>1000</v>
      </c>
      <c r="R650" s="425" t="s">
        <v>1001</v>
      </c>
      <c r="S650" s="425" t="s">
        <v>1002</v>
      </c>
      <c r="T650" s="423">
        <v>105</v>
      </c>
      <c r="U650" s="423" t="s">
        <v>1041</v>
      </c>
      <c r="V650" s="423">
        <v>65</v>
      </c>
      <c r="W650" s="423">
        <v>1.95</v>
      </c>
      <c r="X650" s="423">
        <v>8.4</v>
      </c>
      <c r="Y650" s="423" t="s">
        <v>1041</v>
      </c>
      <c r="Z650" s="423" t="s">
        <v>1057</v>
      </c>
      <c r="AD650" s="423">
        <f>IF(ISNUMBER(MATCH(B650,'FICHA SOLIC'!$AB$26:$AB$376,0)),1,0)</f>
        <v>1</v>
      </c>
      <c r="AE650" s="423" t="str">
        <f t="shared" si="10"/>
        <v>La FloridaE-AB5</v>
      </c>
    </row>
    <row r="651" spans="1:31" x14ac:dyDescent="0.25">
      <c r="A651" s="423">
        <v>650</v>
      </c>
      <c r="B651" s="423" t="s">
        <v>412</v>
      </c>
      <c r="C651" s="423" t="s">
        <v>1047</v>
      </c>
      <c r="D651" s="424" t="s">
        <v>990</v>
      </c>
      <c r="E651" s="425" t="s">
        <v>991</v>
      </c>
      <c r="F651" s="425" t="s">
        <v>992</v>
      </c>
      <c r="G651" s="425" t="s">
        <v>1054</v>
      </c>
      <c r="H651" s="426" t="s">
        <v>699</v>
      </c>
      <c r="I651" s="425" t="s">
        <v>1055</v>
      </c>
      <c r="J651" s="424" t="s">
        <v>697</v>
      </c>
      <c r="K651" s="425" t="s">
        <v>995</v>
      </c>
      <c r="L651" s="425" t="s">
        <v>996</v>
      </c>
      <c r="M651" s="425" t="s">
        <v>997</v>
      </c>
      <c r="N651" s="425" t="s">
        <v>558</v>
      </c>
      <c r="O651" s="424" t="s">
        <v>998</v>
      </c>
      <c r="P651" s="425" t="s">
        <v>999</v>
      </c>
      <c r="Q651" s="425" t="s">
        <v>1000</v>
      </c>
      <c r="R651" s="425" t="s">
        <v>1001</v>
      </c>
      <c r="S651" s="425" t="s">
        <v>1002</v>
      </c>
      <c r="T651" s="423">
        <v>210</v>
      </c>
      <c r="U651" s="423" t="s">
        <v>1041</v>
      </c>
      <c r="V651" s="423">
        <v>52</v>
      </c>
      <c r="W651" s="423">
        <v>1.56</v>
      </c>
      <c r="X651" s="423">
        <v>10.5</v>
      </c>
      <c r="Y651" s="423" t="s">
        <v>1041</v>
      </c>
      <c r="Z651" s="423" t="s">
        <v>1057</v>
      </c>
      <c r="AD651" s="423">
        <f>IF(ISNUMBER(MATCH(B651,'FICHA SOLIC'!$AB$26:$AB$376,0)),1,0)</f>
        <v>1</v>
      </c>
      <c r="AE651" s="423" t="str">
        <f t="shared" si="10"/>
        <v>La FloridaE-AM1</v>
      </c>
    </row>
    <row r="652" spans="1:31" x14ac:dyDescent="0.25">
      <c r="A652" s="423">
        <v>651</v>
      </c>
      <c r="B652" s="423" t="s">
        <v>412</v>
      </c>
      <c r="C652" s="423" t="s">
        <v>1048</v>
      </c>
      <c r="D652" s="424" t="s">
        <v>990</v>
      </c>
      <c r="E652" s="425" t="s">
        <v>991</v>
      </c>
      <c r="F652" s="425" t="s">
        <v>992</v>
      </c>
      <c r="G652" s="425" t="s">
        <v>1054</v>
      </c>
      <c r="H652" s="426" t="s">
        <v>699</v>
      </c>
      <c r="I652" s="425" t="s">
        <v>1055</v>
      </c>
      <c r="J652" s="424" t="s">
        <v>697</v>
      </c>
      <c r="K652" s="425" t="s">
        <v>995</v>
      </c>
      <c r="L652" s="425" t="s">
        <v>996</v>
      </c>
      <c r="M652" s="425" t="s">
        <v>997</v>
      </c>
      <c r="N652" s="425" t="s">
        <v>558</v>
      </c>
      <c r="O652" s="424" t="s">
        <v>998</v>
      </c>
      <c r="P652" s="425" t="s">
        <v>999</v>
      </c>
      <c r="Q652" s="425" t="s">
        <v>1000</v>
      </c>
      <c r="R652" s="425" t="s">
        <v>1001</v>
      </c>
      <c r="S652" s="425" t="s">
        <v>1002</v>
      </c>
      <c r="T652" s="423">
        <v>500</v>
      </c>
      <c r="U652" s="423" t="s">
        <v>1041</v>
      </c>
      <c r="V652" s="423">
        <v>52</v>
      </c>
      <c r="W652" s="423">
        <v>1.56</v>
      </c>
      <c r="X652" s="423">
        <v>10.5</v>
      </c>
      <c r="Y652" s="423">
        <v>4</v>
      </c>
      <c r="Z652" s="423" t="s">
        <v>1058</v>
      </c>
      <c r="AD652" s="423">
        <f>IF(ISNUMBER(MATCH(B652,'FICHA SOLIC'!$AB$26:$AB$376,0)),1,0)</f>
        <v>1</v>
      </c>
      <c r="AE652" s="423" t="str">
        <f t="shared" si="10"/>
        <v>La FloridaE-AM2</v>
      </c>
    </row>
    <row r="653" spans="1:31" x14ac:dyDescent="0.25">
      <c r="A653" s="423">
        <v>652</v>
      </c>
      <c r="B653" s="423" t="s">
        <v>412</v>
      </c>
      <c r="C653" s="423" t="s">
        <v>1049</v>
      </c>
      <c r="D653" s="424" t="s">
        <v>990</v>
      </c>
      <c r="E653" s="425" t="s">
        <v>991</v>
      </c>
      <c r="F653" s="425" t="s">
        <v>992</v>
      </c>
      <c r="G653" s="425" t="s">
        <v>1054</v>
      </c>
      <c r="H653" s="426" t="s">
        <v>699</v>
      </c>
      <c r="I653" s="425" t="s">
        <v>1055</v>
      </c>
      <c r="J653" s="424" t="s">
        <v>697</v>
      </c>
      <c r="K653" s="425" t="s">
        <v>995</v>
      </c>
      <c r="L653" s="425" t="s">
        <v>996</v>
      </c>
      <c r="M653" s="425" t="s">
        <v>997</v>
      </c>
      <c r="N653" s="425" t="s">
        <v>558</v>
      </c>
      <c r="O653" s="424" t="s">
        <v>998</v>
      </c>
      <c r="P653" s="425" t="s">
        <v>999</v>
      </c>
      <c r="Q653" s="425" t="s">
        <v>1000</v>
      </c>
      <c r="R653" s="425" t="s">
        <v>1001</v>
      </c>
      <c r="S653" s="425" t="s">
        <v>1002</v>
      </c>
      <c r="T653" s="423">
        <v>700</v>
      </c>
      <c r="U653" s="423" t="s">
        <v>1041</v>
      </c>
      <c r="V653" s="423">
        <v>52</v>
      </c>
      <c r="W653" s="423">
        <v>2.08</v>
      </c>
      <c r="X653" s="423">
        <v>14.4</v>
      </c>
      <c r="Y653" s="423" t="s">
        <v>1041</v>
      </c>
      <c r="Z653" s="423" t="s">
        <v>1058</v>
      </c>
      <c r="AD653" s="423">
        <f>IF(ISNUMBER(MATCH(B653,'FICHA SOLIC'!$AB$26:$AB$376,0)),1,0)</f>
        <v>1</v>
      </c>
      <c r="AE653" s="423" t="str">
        <f t="shared" si="10"/>
        <v>La FloridaE-AM3</v>
      </c>
    </row>
    <row r="654" spans="1:31" x14ac:dyDescent="0.25">
      <c r="A654" s="423">
        <v>653</v>
      </c>
      <c r="B654" s="423" t="s">
        <v>412</v>
      </c>
      <c r="C654" s="423" t="s">
        <v>1050</v>
      </c>
      <c r="D654" s="424" t="s">
        <v>990</v>
      </c>
      <c r="E654" s="425" t="s">
        <v>991</v>
      </c>
      <c r="F654" s="425" t="s">
        <v>992</v>
      </c>
      <c r="G654" s="425" t="s">
        <v>1054</v>
      </c>
      <c r="H654" s="426" t="s">
        <v>699</v>
      </c>
      <c r="I654" s="425" t="s">
        <v>1055</v>
      </c>
      <c r="J654" s="424" t="s">
        <v>697</v>
      </c>
      <c r="K654" s="425" t="s">
        <v>995</v>
      </c>
      <c r="L654" s="425" t="s">
        <v>996</v>
      </c>
      <c r="M654" s="425" t="s">
        <v>997</v>
      </c>
      <c r="N654" s="425" t="s">
        <v>558</v>
      </c>
      <c r="O654" s="424" t="s">
        <v>998</v>
      </c>
      <c r="P654" s="425" t="s">
        <v>999</v>
      </c>
      <c r="Q654" s="425" t="s">
        <v>1000</v>
      </c>
      <c r="R654" s="425" t="s">
        <v>1001</v>
      </c>
      <c r="S654" s="425" t="s">
        <v>1002</v>
      </c>
      <c r="T654" s="423">
        <v>200</v>
      </c>
      <c r="U654" s="423" t="s">
        <v>1041</v>
      </c>
      <c r="V654" s="423">
        <v>70</v>
      </c>
      <c r="W654" s="423">
        <v>2.1</v>
      </c>
      <c r="X654" s="423">
        <v>11.4</v>
      </c>
      <c r="Y654" s="423" t="s">
        <v>1041</v>
      </c>
      <c r="Z654" s="423" t="s">
        <v>1059</v>
      </c>
      <c r="AD654" s="423">
        <f>IF(ISNUMBER(MATCH(B654,'FICHA SOLIC'!$AB$26:$AB$376,0)),1,0)</f>
        <v>1</v>
      </c>
      <c r="AE654" s="423" t="str">
        <f t="shared" si="10"/>
        <v>La FloridaE-AM4</v>
      </c>
    </row>
    <row r="655" spans="1:31" x14ac:dyDescent="0.25">
      <c r="A655" s="423">
        <v>654</v>
      </c>
      <c r="B655" s="423" t="s">
        <v>412</v>
      </c>
      <c r="C655" s="423" t="s">
        <v>1455</v>
      </c>
      <c r="D655" s="424" t="s">
        <v>990</v>
      </c>
      <c r="E655" s="425" t="s">
        <v>991</v>
      </c>
      <c r="F655" s="425" t="s">
        <v>992</v>
      </c>
      <c r="G655" s="425" t="s">
        <v>1054</v>
      </c>
      <c r="H655" s="426" t="s">
        <v>699</v>
      </c>
      <c r="I655" s="425" t="s">
        <v>1055</v>
      </c>
      <c r="J655" s="424" t="s">
        <v>697</v>
      </c>
      <c r="K655" s="425" t="s">
        <v>995</v>
      </c>
      <c r="L655" s="425" t="s">
        <v>996</v>
      </c>
      <c r="M655" s="425" t="s">
        <v>997</v>
      </c>
      <c r="N655" s="425" t="s">
        <v>558</v>
      </c>
      <c r="O655" s="424" t="s">
        <v>998</v>
      </c>
      <c r="P655" s="425" t="s">
        <v>999</v>
      </c>
      <c r="Q655" s="425" t="s">
        <v>1000</v>
      </c>
      <c r="R655" s="425" t="s">
        <v>1001</v>
      </c>
      <c r="S655" s="425" t="s">
        <v>1002</v>
      </c>
      <c r="T655" s="423" t="s">
        <v>1025</v>
      </c>
      <c r="U655" s="423" t="s">
        <v>1041</v>
      </c>
      <c r="V655" s="423">
        <v>20</v>
      </c>
      <c r="W655" s="423">
        <v>0.6</v>
      </c>
      <c r="X655" s="423" t="s">
        <v>1041</v>
      </c>
      <c r="Y655" s="423" t="s">
        <v>1041</v>
      </c>
      <c r="Z655" s="423" t="s">
        <v>1041</v>
      </c>
      <c r="AD655" s="423">
        <f>IF(ISNUMBER(MATCH(B655,'FICHA SOLIC'!$AB$26:$AB$376,0)),1,0)</f>
        <v>1</v>
      </c>
      <c r="AE655" s="423" t="str">
        <f t="shared" si="10"/>
        <v>La FloridaERD</v>
      </c>
    </row>
    <row r="656" spans="1:31" x14ac:dyDescent="0.25">
      <c r="A656" s="423">
        <v>655</v>
      </c>
      <c r="B656" s="423" t="s">
        <v>412</v>
      </c>
      <c r="C656" s="423" t="s">
        <v>1637</v>
      </c>
      <c r="D656" s="424" t="s">
        <v>990</v>
      </c>
      <c r="E656" s="425" t="s">
        <v>991</v>
      </c>
      <c r="F656" s="425" t="s">
        <v>992</v>
      </c>
      <c r="G656" s="425" t="s">
        <v>1054</v>
      </c>
      <c r="H656" s="426" t="s">
        <v>699</v>
      </c>
      <c r="I656" s="425" t="s">
        <v>1055</v>
      </c>
      <c r="J656" s="424" t="s">
        <v>697</v>
      </c>
      <c r="K656" s="425" t="s">
        <v>995</v>
      </c>
      <c r="L656" s="425" t="s">
        <v>996</v>
      </c>
      <c r="M656" s="425" t="s">
        <v>997</v>
      </c>
      <c r="N656" s="425" t="s">
        <v>558</v>
      </c>
      <c r="O656" s="424" t="s">
        <v>998</v>
      </c>
      <c r="P656" s="425" t="s">
        <v>999</v>
      </c>
      <c r="Q656" s="425" t="s">
        <v>1000</v>
      </c>
      <c r="R656" s="425" t="s">
        <v>1001</v>
      </c>
      <c r="S656" s="425" t="s">
        <v>1002</v>
      </c>
      <c r="T656" s="423" t="s">
        <v>1026</v>
      </c>
      <c r="U656" s="423" t="s">
        <v>1041</v>
      </c>
      <c r="V656" s="423">
        <v>70</v>
      </c>
      <c r="W656" s="423" t="s">
        <v>1026</v>
      </c>
      <c r="X656" s="423" t="s">
        <v>1151</v>
      </c>
      <c r="Y656" s="423" t="s">
        <v>1041</v>
      </c>
      <c r="Z656" s="423" t="s">
        <v>1059</v>
      </c>
      <c r="AD656" s="423">
        <f>IF(ISNUMBER(MATCH(B656,'FICHA SOLIC'!$AB$26:$AB$376,0)),1,0)</f>
        <v>1</v>
      </c>
      <c r="AE656" s="423" t="str">
        <f t="shared" si="10"/>
        <v>La FloridaESP-1</v>
      </c>
    </row>
    <row r="657" spans="1:31" x14ac:dyDescent="0.25">
      <c r="A657" s="423">
        <v>656</v>
      </c>
      <c r="B657" s="423" t="s">
        <v>412</v>
      </c>
      <c r="C657" s="423" t="s">
        <v>1638</v>
      </c>
      <c r="D657" s="424" t="s">
        <v>990</v>
      </c>
      <c r="E657" s="425" t="s">
        <v>991</v>
      </c>
      <c r="F657" s="425" t="s">
        <v>992</v>
      </c>
      <c r="G657" s="425" t="s">
        <v>1054</v>
      </c>
      <c r="H657" s="426" t="s">
        <v>699</v>
      </c>
      <c r="I657" s="425" t="s">
        <v>1055</v>
      </c>
      <c r="J657" s="424" t="s">
        <v>697</v>
      </c>
      <c r="K657" s="425" t="s">
        <v>995</v>
      </c>
      <c r="L657" s="425" t="s">
        <v>996</v>
      </c>
      <c r="M657" s="425" t="s">
        <v>997</v>
      </c>
      <c r="N657" s="425" t="s">
        <v>558</v>
      </c>
      <c r="O657" s="424" t="s">
        <v>998</v>
      </c>
      <c r="P657" s="425" t="s">
        <v>999</v>
      </c>
      <c r="Q657" s="425" t="s">
        <v>1000</v>
      </c>
      <c r="R657" s="425" t="s">
        <v>1001</v>
      </c>
      <c r="S657" s="425" t="s">
        <v>1002</v>
      </c>
      <c r="T657" s="423" t="s">
        <v>1025</v>
      </c>
      <c r="U657" s="423" t="s">
        <v>1041</v>
      </c>
      <c r="V657" s="423">
        <v>84</v>
      </c>
      <c r="W657" s="423">
        <v>3.29</v>
      </c>
      <c r="X657" s="423" t="s">
        <v>1151</v>
      </c>
      <c r="Y657" s="423" t="s">
        <v>1041</v>
      </c>
      <c r="Z657" s="423" t="s">
        <v>1058</v>
      </c>
      <c r="AD657" s="423">
        <f>IF(ISNUMBER(MATCH(B657,'FICHA SOLIC'!$AB$26:$AB$376,0)),1,0)</f>
        <v>1</v>
      </c>
      <c r="AE657" s="423" t="str">
        <f t="shared" si="10"/>
        <v>La FloridaESP-2</v>
      </c>
    </row>
    <row r="658" spans="1:31" x14ac:dyDescent="0.25">
      <c r="A658" s="423">
        <v>657</v>
      </c>
      <c r="B658" s="423" t="s">
        <v>412</v>
      </c>
      <c r="C658" s="423" t="s">
        <v>1639</v>
      </c>
      <c r="D658" s="424" t="s">
        <v>990</v>
      </c>
      <c r="E658" s="425" t="s">
        <v>991</v>
      </c>
      <c r="F658" s="425" t="s">
        <v>992</v>
      </c>
      <c r="G658" s="425" t="s">
        <v>1054</v>
      </c>
      <c r="H658" s="426" t="s">
        <v>699</v>
      </c>
      <c r="I658" s="425" t="s">
        <v>1055</v>
      </c>
      <c r="J658" s="424" t="s">
        <v>697</v>
      </c>
      <c r="K658" s="425" t="s">
        <v>995</v>
      </c>
      <c r="L658" s="425" t="s">
        <v>996</v>
      </c>
      <c r="M658" s="425" t="s">
        <v>997</v>
      </c>
      <c r="N658" s="425" t="s">
        <v>558</v>
      </c>
      <c r="O658" s="424" t="s">
        <v>998</v>
      </c>
      <c r="P658" s="425" t="s">
        <v>999</v>
      </c>
      <c r="Q658" s="425" t="s">
        <v>1000</v>
      </c>
      <c r="R658" s="425" t="s">
        <v>1001</v>
      </c>
      <c r="S658" s="425" t="s">
        <v>1002</v>
      </c>
      <c r="T658" s="423">
        <v>700</v>
      </c>
      <c r="U658" s="423" t="s">
        <v>1041</v>
      </c>
      <c r="V658" s="423">
        <v>52</v>
      </c>
      <c r="W658" s="423">
        <v>2.08</v>
      </c>
      <c r="X658" s="423">
        <v>14.4</v>
      </c>
      <c r="Y658" s="423" t="s">
        <v>1041</v>
      </c>
      <c r="Z658" s="423" t="s">
        <v>1058</v>
      </c>
      <c r="AD658" s="423">
        <f>IF(ISNUMBER(MATCH(B658,'FICHA SOLIC'!$AB$26:$AB$376,0)),1,0)</f>
        <v>1</v>
      </c>
      <c r="AE658" s="423" t="str">
        <f t="shared" si="10"/>
        <v>La FloridaESP-3</v>
      </c>
    </row>
    <row r="659" spans="1:31" x14ac:dyDescent="0.25">
      <c r="A659" s="423">
        <v>658</v>
      </c>
      <c r="B659" s="423" t="s">
        <v>412</v>
      </c>
      <c r="C659" s="423" t="s">
        <v>1640</v>
      </c>
      <c r="D659" s="424" t="s">
        <v>990</v>
      </c>
      <c r="E659" s="425" t="s">
        <v>991</v>
      </c>
      <c r="F659" s="425" t="s">
        <v>992</v>
      </c>
      <c r="G659" s="425" t="s">
        <v>1054</v>
      </c>
      <c r="H659" s="426" t="s">
        <v>699</v>
      </c>
      <c r="I659" s="425" t="s">
        <v>1055</v>
      </c>
      <c r="J659" s="424" t="s">
        <v>697</v>
      </c>
      <c r="K659" s="425" t="s">
        <v>995</v>
      </c>
      <c r="L659" s="425" t="s">
        <v>996</v>
      </c>
      <c r="M659" s="425" t="s">
        <v>997</v>
      </c>
      <c r="N659" s="425" t="s">
        <v>558</v>
      </c>
      <c r="O659" s="424" t="s">
        <v>998</v>
      </c>
      <c r="P659" s="425" t="s">
        <v>999</v>
      </c>
      <c r="Q659" s="425" t="s">
        <v>1000</v>
      </c>
      <c r="R659" s="425" t="s">
        <v>1001</v>
      </c>
      <c r="S659" s="425" t="s">
        <v>1002</v>
      </c>
      <c r="T659" s="423">
        <v>10000</v>
      </c>
      <c r="U659" s="423" t="s">
        <v>1041</v>
      </c>
      <c r="V659" s="423">
        <v>1.4</v>
      </c>
      <c r="W659" s="423">
        <v>1.4E-2</v>
      </c>
      <c r="X659" s="423">
        <v>8</v>
      </c>
      <c r="Y659" s="423" t="s">
        <v>1041</v>
      </c>
      <c r="Z659" s="423" t="s">
        <v>1058</v>
      </c>
      <c r="AD659" s="423">
        <f>IF(ISNUMBER(MATCH(B659,'FICHA SOLIC'!$AB$26:$AB$376,0)),1,0)</f>
        <v>1</v>
      </c>
      <c r="AE659" s="423" t="str">
        <f t="shared" si="10"/>
        <v>La FloridaESP-4</v>
      </c>
    </row>
    <row r="660" spans="1:31" x14ac:dyDescent="0.25">
      <c r="A660" s="423">
        <v>659</v>
      </c>
      <c r="B660" s="423" t="s">
        <v>412</v>
      </c>
      <c r="C660" s="423" t="s">
        <v>1169</v>
      </c>
      <c r="D660" s="424" t="s">
        <v>990</v>
      </c>
      <c r="E660" s="425" t="s">
        <v>991</v>
      </c>
      <c r="F660" s="425" t="s">
        <v>992</v>
      </c>
      <c r="G660" s="425" t="s">
        <v>1054</v>
      </c>
      <c r="H660" s="426" t="s">
        <v>699</v>
      </c>
      <c r="I660" s="425" t="s">
        <v>1055</v>
      </c>
      <c r="J660" s="424" t="s">
        <v>697</v>
      </c>
      <c r="K660" s="425" t="s">
        <v>995</v>
      </c>
      <c r="L660" s="425" t="s">
        <v>996</v>
      </c>
      <c r="M660" s="425" t="s">
        <v>997</v>
      </c>
      <c r="N660" s="425" t="s">
        <v>558</v>
      </c>
      <c r="O660" s="424" t="s">
        <v>998</v>
      </c>
      <c r="P660" s="425" t="s">
        <v>999</v>
      </c>
      <c r="Q660" s="425" t="s">
        <v>1000</v>
      </c>
      <c r="R660" s="425" t="s">
        <v>1001</v>
      </c>
      <c r="S660" s="425" t="s">
        <v>1002</v>
      </c>
      <c r="T660" s="423" t="s">
        <v>1576</v>
      </c>
      <c r="AD660" s="423">
        <f>IF(ISNUMBER(MATCH(B660,'FICHA SOLIC'!$AB$26:$AB$376,0)),1,0)</f>
        <v>1</v>
      </c>
      <c r="AE660" s="423" t="str">
        <f t="shared" si="10"/>
        <v>La FloridaICH</v>
      </c>
    </row>
    <row r="661" spans="1:31" x14ac:dyDescent="0.25">
      <c r="A661" s="423">
        <v>660</v>
      </c>
      <c r="B661" s="423" t="s">
        <v>412</v>
      </c>
      <c r="C661" s="423" t="s">
        <v>1643</v>
      </c>
      <c r="D661" s="424" t="s">
        <v>990</v>
      </c>
      <c r="E661" s="425" t="s">
        <v>991</v>
      </c>
      <c r="F661" s="425" t="s">
        <v>992</v>
      </c>
      <c r="G661" s="425" t="s">
        <v>1054</v>
      </c>
      <c r="H661" s="426" t="s">
        <v>699</v>
      </c>
      <c r="I661" s="425" t="s">
        <v>1055</v>
      </c>
      <c r="J661" s="424" t="s">
        <v>697</v>
      </c>
      <c r="K661" s="425" t="s">
        <v>995</v>
      </c>
      <c r="L661" s="425" t="s">
        <v>996</v>
      </c>
      <c r="M661" s="425" t="s">
        <v>997</v>
      </c>
      <c r="N661" s="425" t="s">
        <v>558</v>
      </c>
      <c r="O661" s="424" t="s">
        <v>998</v>
      </c>
      <c r="P661" s="425" t="s">
        <v>999</v>
      </c>
      <c r="Q661" s="425" t="s">
        <v>1000</v>
      </c>
      <c r="R661" s="425" t="s">
        <v>1001</v>
      </c>
      <c r="S661" s="425" t="s">
        <v>1002</v>
      </c>
      <c r="T661" s="423" t="s">
        <v>1041</v>
      </c>
      <c r="U661" s="423" t="s">
        <v>1041</v>
      </c>
      <c r="V661" s="423" t="s">
        <v>1041</v>
      </c>
      <c r="W661" s="423" t="s">
        <v>1041</v>
      </c>
      <c r="X661" s="423" t="s">
        <v>1041</v>
      </c>
      <c r="Y661" s="423" t="s">
        <v>1041</v>
      </c>
      <c r="Z661" s="423" t="s">
        <v>1041</v>
      </c>
      <c r="AD661" s="423">
        <f>IF(ISNUMBER(MATCH(B661,'FICHA SOLIC'!$AB$26:$AB$376,0)),1,0)</f>
        <v>1</v>
      </c>
      <c r="AE661" s="423" t="str">
        <f t="shared" si="10"/>
        <v>La FloridaPEDC-3</v>
      </c>
    </row>
    <row r="662" spans="1:31" x14ac:dyDescent="0.25">
      <c r="A662" s="423">
        <v>661</v>
      </c>
      <c r="B662" s="423" t="s">
        <v>412</v>
      </c>
      <c r="C662" s="423" t="s">
        <v>1260</v>
      </c>
      <c r="D662" s="424" t="s">
        <v>990</v>
      </c>
      <c r="E662" s="425" t="s">
        <v>991</v>
      </c>
      <c r="F662" s="425" t="s">
        <v>992</v>
      </c>
      <c r="G662" s="425" t="s">
        <v>1054</v>
      </c>
      <c r="H662" s="426" t="s">
        <v>699</v>
      </c>
      <c r="I662" s="425" t="s">
        <v>1055</v>
      </c>
      <c r="J662" s="424" t="s">
        <v>697</v>
      </c>
      <c r="K662" s="425" t="s">
        <v>995</v>
      </c>
      <c r="L662" s="425" t="s">
        <v>996</v>
      </c>
      <c r="M662" s="425" t="s">
        <v>997</v>
      </c>
      <c r="N662" s="425" t="s">
        <v>558</v>
      </c>
      <c r="O662" s="424" t="s">
        <v>998</v>
      </c>
      <c r="P662" s="425" t="s">
        <v>999</v>
      </c>
      <c r="Q662" s="425" t="s">
        <v>1000</v>
      </c>
      <c r="R662" s="425" t="s">
        <v>1001</v>
      </c>
      <c r="S662" s="425" t="s">
        <v>1002</v>
      </c>
      <c r="T662" s="423" t="s">
        <v>1041</v>
      </c>
      <c r="U662" s="423" t="s">
        <v>1041</v>
      </c>
      <c r="V662" s="423" t="s">
        <v>1041</v>
      </c>
      <c r="W662" s="423" t="s">
        <v>1041</v>
      </c>
      <c r="X662" s="423" t="s">
        <v>1041</v>
      </c>
      <c r="Y662" s="423" t="s">
        <v>1041</v>
      </c>
      <c r="Z662" s="423" t="s">
        <v>1041</v>
      </c>
      <c r="AD662" s="423">
        <f>IF(ISNUMBER(MATCH(B662,'FICHA SOLIC'!$AB$26:$AB$376,0)),1,0)</f>
        <v>1</v>
      </c>
      <c r="AE662" s="423" t="str">
        <f t="shared" si="10"/>
        <v>La FloridaR-1</v>
      </c>
    </row>
    <row r="663" spans="1:31" x14ac:dyDescent="0.25">
      <c r="A663" s="423">
        <v>662</v>
      </c>
      <c r="B663" s="423" t="s">
        <v>412</v>
      </c>
      <c r="C663" s="423" t="s">
        <v>1261</v>
      </c>
      <c r="D663" s="424" t="s">
        <v>990</v>
      </c>
      <c r="E663" s="425" t="s">
        <v>991</v>
      </c>
      <c r="F663" s="425" t="s">
        <v>992</v>
      </c>
      <c r="G663" s="425" t="s">
        <v>1054</v>
      </c>
      <c r="H663" s="426" t="s">
        <v>699</v>
      </c>
      <c r="I663" s="425" t="s">
        <v>1055</v>
      </c>
      <c r="J663" s="424" t="s">
        <v>697</v>
      </c>
      <c r="K663" s="425" t="s">
        <v>995</v>
      </c>
      <c r="L663" s="425" t="s">
        <v>996</v>
      </c>
      <c r="M663" s="425" t="s">
        <v>997</v>
      </c>
      <c r="N663" s="425" t="s">
        <v>558</v>
      </c>
      <c r="O663" s="424" t="s">
        <v>998</v>
      </c>
      <c r="P663" s="425" t="s">
        <v>999</v>
      </c>
      <c r="Q663" s="425" t="s">
        <v>1000</v>
      </c>
      <c r="R663" s="425" t="s">
        <v>1001</v>
      </c>
      <c r="S663" s="425" t="s">
        <v>1002</v>
      </c>
      <c r="T663" s="423" t="s">
        <v>1041</v>
      </c>
      <c r="U663" s="423" t="s">
        <v>1041</v>
      </c>
      <c r="V663" s="423" t="s">
        <v>1041</v>
      </c>
      <c r="W663" s="423" t="s">
        <v>1041</v>
      </c>
      <c r="X663" s="423" t="s">
        <v>1041</v>
      </c>
      <c r="Y663" s="423" t="s">
        <v>1041</v>
      </c>
      <c r="Z663" s="423" t="s">
        <v>1041</v>
      </c>
      <c r="AD663" s="423">
        <f>IF(ISNUMBER(MATCH(B663,'FICHA SOLIC'!$AB$26:$AB$376,0)),1,0)</f>
        <v>1</v>
      </c>
      <c r="AE663" s="423" t="str">
        <f t="shared" si="10"/>
        <v>La FloridaR-2</v>
      </c>
    </row>
    <row r="664" spans="1:31" x14ac:dyDescent="0.25">
      <c r="A664" s="423">
        <v>663</v>
      </c>
      <c r="B664" s="423" t="s">
        <v>412</v>
      </c>
      <c r="C664" s="423" t="s">
        <v>1262</v>
      </c>
      <c r="D664" s="424" t="s">
        <v>990</v>
      </c>
      <c r="E664" s="425" t="s">
        <v>991</v>
      </c>
      <c r="F664" s="425" t="s">
        <v>992</v>
      </c>
      <c r="G664" s="425" t="s">
        <v>1054</v>
      </c>
      <c r="H664" s="426" t="s">
        <v>699</v>
      </c>
      <c r="I664" s="425" t="s">
        <v>1055</v>
      </c>
      <c r="J664" s="424" t="s">
        <v>697</v>
      </c>
      <c r="K664" s="425" t="s">
        <v>995</v>
      </c>
      <c r="L664" s="425" t="s">
        <v>996</v>
      </c>
      <c r="M664" s="425" t="s">
        <v>997</v>
      </c>
      <c r="N664" s="425" t="s">
        <v>558</v>
      </c>
      <c r="O664" s="424" t="s">
        <v>998</v>
      </c>
      <c r="P664" s="425" t="s">
        <v>999</v>
      </c>
      <c r="Q664" s="425" t="s">
        <v>1000</v>
      </c>
      <c r="R664" s="425" t="s">
        <v>1001</v>
      </c>
      <c r="S664" s="425" t="s">
        <v>1002</v>
      </c>
      <c r="T664" s="423" t="s">
        <v>1041</v>
      </c>
      <c r="U664" s="423" t="s">
        <v>1041</v>
      </c>
      <c r="V664" s="423" t="s">
        <v>1041</v>
      </c>
      <c r="W664" s="423" t="s">
        <v>1041</v>
      </c>
      <c r="X664" s="423" t="s">
        <v>1041</v>
      </c>
      <c r="Y664" s="423" t="s">
        <v>1041</v>
      </c>
      <c r="Z664" s="423" t="s">
        <v>1041</v>
      </c>
      <c r="AD664" s="423">
        <f>IF(ISNUMBER(MATCH(B664,'FICHA SOLIC'!$AB$26:$AB$376,0)),1,0)</f>
        <v>1</v>
      </c>
      <c r="AE664" s="423" t="str">
        <f t="shared" si="10"/>
        <v>La FloridaR-3</v>
      </c>
    </row>
    <row r="665" spans="1:31" x14ac:dyDescent="0.25">
      <c r="A665" s="423">
        <v>664</v>
      </c>
      <c r="B665" s="423" t="s">
        <v>412</v>
      </c>
      <c r="C665" s="423" t="s">
        <v>1263</v>
      </c>
      <c r="D665" s="424" t="s">
        <v>990</v>
      </c>
      <c r="E665" s="425" t="s">
        <v>991</v>
      </c>
      <c r="F665" s="425" t="s">
        <v>992</v>
      </c>
      <c r="G665" s="425" t="s">
        <v>1054</v>
      </c>
      <c r="H665" s="426" t="s">
        <v>699</v>
      </c>
      <c r="I665" s="425" t="s">
        <v>1055</v>
      </c>
      <c r="J665" s="424" t="s">
        <v>697</v>
      </c>
      <c r="K665" s="425" t="s">
        <v>995</v>
      </c>
      <c r="L665" s="425" t="s">
        <v>996</v>
      </c>
      <c r="M665" s="425" t="s">
        <v>997</v>
      </c>
      <c r="N665" s="425" t="s">
        <v>558</v>
      </c>
      <c r="O665" s="424" t="s">
        <v>998</v>
      </c>
      <c r="P665" s="425" t="s">
        <v>999</v>
      </c>
      <c r="Q665" s="425" t="s">
        <v>1000</v>
      </c>
      <c r="R665" s="425" t="s">
        <v>1001</v>
      </c>
      <c r="S665" s="425" t="s">
        <v>1002</v>
      </c>
      <c r="T665" s="423" t="s">
        <v>1041</v>
      </c>
      <c r="U665" s="423" t="s">
        <v>1041</v>
      </c>
      <c r="V665" s="423" t="s">
        <v>1041</v>
      </c>
      <c r="W665" s="423" t="s">
        <v>1041</v>
      </c>
      <c r="X665" s="423" t="s">
        <v>1041</v>
      </c>
      <c r="Y665" s="423" t="s">
        <v>1041</v>
      </c>
      <c r="Z665" s="423" t="s">
        <v>1041</v>
      </c>
      <c r="AD665" s="423">
        <f>IF(ISNUMBER(MATCH(B665,'FICHA SOLIC'!$AB$26:$AB$376,0)),1,0)</f>
        <v>1</v>
      </c>
      <c r="AE665" s="423" t="str">
        <f t="shared" si="10"/>
        <v>La FloridaR-4</v>
      </c>
    </row>
    <row r="666" spans="1:31" x14ac:dyDescent="0.25">
      <c r="A666" s="423">
        <v>665</v>
      </c>
      <c r="B666" s="423" t="s">
        <v>412</v>
      </c>
      <c r="C666" s="423" t="s">
        <v>1264</v>
      </c>
      <c r="D666" s="424" t="s">
        <v>990</v>
      </c>
      <c r="E666" s="425" t="s">
        <v>991</v>
      </c>
      <c r="F666" s="425" t="s">
        <v>992</v>
      </c>
      <c r="G666" s="425" t="s">
        <v>1054</v>
      </c>
      <c r="H666" s="426" t="s">
        <v>699</v>
      </c>
      <c r="I666" s="425" t="s">
        <v>1055</v>
      </c>
      <c r="J666" s="424" t="s">
        <v>697</v>
      </c>
      <c r="K666" s="425" t="s">
        <v>995</v>
      </c>
      <c r="L666" s="425" t="s">
        <v>996</v>
      </c>
      <c r="M666" s="425" t="s">
        <v>997</v>
      </c>
      <c r="N666" s="425" t="s">
        <v>558</v>
      </c>
      <c r="O666" s="424" t="s">
        <v>998</v>
      </c>
      <c r="P666" s="425" t="s">
        <v>999</v>
      </c>
      <c r="Q666" s="425" t="s">
        <v>1000</v>
      </c>
      <c r="R666" s="425" t="s">
        <v>1001</v>
      </c>
      <c r="S666" s="425" t="s">
        <v>1002</v>
      </c>
      <c r="T666" s="423" t="s">
        <v>1041</v>
      </c>
      <c r="U666" s="423" t="s">
        <v>1041</v>
      </c>
      <c r="V666" s="423" t="s">
        <v>1041</v>
      </c>
      <c r="W666" s="423" t="s">
        <v>1041</v>
      </c>
      <c r="X666" s="423" t="s">
        <v>1041</v>
      </c>
      <c r="Y666" s="423" t="s">
        <v>1041</v>
      </c>
      <c r="Z666" s="423" t="s">
        <v>1041</v>
      </c>
      <c r="AD666" s="423">
        <f>IF(ISNUMBER(MATCH(B666,'FICHA SOLIC'!$AB$26:$AB$376,0)),1,0)</f>
        <v>1</v>
      </c>
      <c r="AE666" s="423" t="str">
        <f t="shared" si="10"/>
        <v>La FloridaR-5</v>
      </c>
    </row>
    <row r="667" spans="1:31" x14ac:dyDescent="0.25">
      <c r="A667" s="423">
        <v>666</v>
      </c>
      <c r="B667" s="423" t="s">
        <v>412</v>
      </c>
      <c r="C667" s="423" t="s">
        <v>1641</v>
      </c>
      <c r="D667" s="424" t="s">
        <v>990</v>
      </c>
      <c r="E667" s="425" t="s">
        <v>991</v>
      </c>
      <c r="F667" s="425" t="s">
        <v>992</v>
      </c>
      <c r="G667" s="425" t="s">
        <v>1054</v>
      </c>
      <c r="H667" s="426" t="s">
        <v>699</v>
      </c>
      <c r="I667" s="425" t="s">
        <v>1055</v>
      </c>
      <c r="J667" s="424" t="s">
        <v>697</v>
      </c>
      <c r="K667" s="425" t="s">
        <v>995</v>
      </c>
      <c r="L667" s="425" t="s">
        <v>996</v>
      </c>
      <c r="M667" s="425" t="s">
        <v>997</v>
      </c>
      <c r="N667" s="425" t="s">
        <v>558</v>
      </c>
      <c r="O667" s="424" t="s">
        <v>998</v>
      </c>
      <c r="P667" s="425" t="s">
        <v>999</v>
      </c>
      <c r="Q667" s="425" t="s">
        <v>1000</v>
      </c>
      <c r="R667" s="425" t="s">
        <v>1001</v>
      </c>
      <c r="S667" s="425" t="s">
        <v>1002</v>
      </c>
      <c r="T667" s="423" t="s">
        <v>1041</v>
      </c>
      <c r="U667" s="423" t="s">
        <v>1041</v>
      </c>
      <c r="V667" s="423" t="s">
        <v>1041</v>
      </c>
      <c r="W667" s="423" t="s">
        <v>1041</v>
      </c>
      <c r="X667" s="423" t="s">
        <v>1041</v>
      </c>
      <c r="Y667" s="423" t="s">
        <v>1041</v>
      </c>
      <c r="Z667" s="423" t="s">
        <v>1041</v>
      </c>
      <c r="AD667" s="423">
        <f>IF(ISNUMBER(MATCH(B667,'FICHA SOLIC'!$AB$26:$AB$376,0)),1,0)</f>
        <v>1</v>
      </c>
      <c r="AE667" s="423" t="str">
        <f t="shared" si="10"/>
        <v>La FloridaRI-1</v>
      </c>
    </row>
    <row r="668" spans="1:31" x14ac:dyDescent="0.25">
      <c r="A668" s="423">
        <v>667</v>
      </c>
      <c r="B668" s="423" t="s">
        <v>412</v>
      </c>
      <c r="C668" s="423" t="s">
        <v>1642</v>
      </c>
      <c r="D668" s="424" t="s">
        <v>990</v>
      </c>
      <c r="E668" s="425" t="s">
        <v>991</v>
      </c>
      <c r="F668" s="425" t="s">
        <v>992</v>
      </c>
      <c r="G668" s="425" t="s">
        <v>1054</v>
      </c>
      <c r="H668" s="426" t="s">
        <v>699</v>
      </c>
      <c r="I668" s="425" t="s">
        <v>1055</v>
      </c>
      <c r="J668" s="424" t="s">
        <v>697</v>
      </c>
      <c r="K668" s="425" t="s">
        <v>995</v>
      </c>
      <c r="L668" s="425" t="s">
        <v>996</v>
      </c>
      <c r="M668" s="425" t="s">
        <v>997</v>
      </c>
      <c r="N668" s="425" t="s">
        <v>558</v>
      </c>
      <c r="O668" s="424" t="s">
        <v>998</v>
      </c>
      <c r="P668" s="425" t="s">
        <v>999</v>
      </c>
      <c r="Q668" s="425" t="s">
        <v>1000</v>
      </c>
      <c r="R668" s="425" t="s">
        <v>1001</v>
      </c>
      <c r="S668" s="425" t="s">
        <v>1002</v>
      </c>
      <c r="T668" s="423" t="s">
        <v>1041</v>
      </c>
      <c r="U668" s="423" t="s">
        <v>1041</v>
      </c>
      <c r="V668" s="423" t="s">
        <v>1041</v>
      </c>
      <c r="W668" s="423" t="s">
        <v>1041</v>
      </c>
      <c r="X668" s="423" t="s">
        <v>1041</v>
      </c>
      <c r="Y668" s="423" t="s">
        <v>1041</v>
      </c>
      <c r="Z668" s="423" t="s">
        <v>1041</v>
      </c>
      <c r="AD668" s="423">
        <f>IF(ISNUMBER(MATCH(B668,'FICHA SOLIC'!$AB$26:$AB$376,0)),1,0)</f>
        <v>1</v>
      </c>
      <c r="AE668" s="423" t="str">
        <f t="shared" si="10"/>
        <v>La FloridaRI-2</v>
      </c>
    </row>
    <row r="669" spans="1:31" x14ac:dyDescent="0.25">
      <c r="A669" s="423">
        <v>668</v>
      </c>
      <c r="B669" s="423" t="s">
        <v>412</v>
      </c>
      <c r="C669" s="423" t="s">
        <v>1650</v>
      </c>
      <c r="D669" s="424" t="s">
        <v>990</v>
      </c>
      <c r="E669" s="425" t="s">
        <v>991</v>
      </c>
      <c r="F669" s="425" t="s">
        <v>992</v>
      </c>
      <c r="G669" s="425" t="s">
        <v>1054</v>
      </c>
      <c r="H669" s="426" t="s">
        <v>699</v>
      </c>
      <c r="I669" s="425" t="s">
        <v>1055</v>
      </c>
      <c r="J669" s="424" t="s">
        <v>697</v>
      </c>
      <c r="K669" s="425" t="s">
        <v>995</v>
      </c>
      <c r="L669" s="425" t="s">
        <v>996</v>
      </c>
      <c r="M669" s="425" t="s">
        <v>997</v>
      </c>
      <c r="N669" s="425" t="s">
        <v>558</v>
      </c>
      <c r="O669" s="424" t="s">
        <v>998</v>
      </c>
      <c r="P669" s="425" t="s">
        <v>999</v>
      </c>
      <c r="Q669" s="425" t="s">
        <v>1000</v>
      </c>
      <c r="R669" s="425" t="s">
        <v>1001</v>
      </c>
      <c r="S669" s="425" t="s">
        <v>1002</v>
      </c>
      <c r="T669" s="423">
        <v>1000</v>
      </c>
      <c r="U669" s="423" t="s">
        <v>1041</v>
      </c>
      <c r="V669" s="423">
        <v>40</v>
      </c>
      <c r="W669" s="423">
        <v>3.2</v>
      </c>
      <c r="X669" s="423" t="s">
        <v>1151</v>
      </c>
      <c r="Y669" s="423" t="s">
        <v>1041</v>
      </c>
      <c r="Z669" s="423" t="s">
        <v>1058</v>
      </c>
      <c r="AD669" s="423">
        <f>IF(ISNUMBER(MATCH(B669,'FICHA SOLIC'!$AB$26:$AB$376,0)),1,0)</f>
        <v>1</v>
      </c>
      <c r="AE669" s="423" t="str">
        <f t="shared" si="10"/>
        <v>La FloridaZ-AA+CB/CM</v>
      </c>
    </row>
    <row r="670" spans="1:31" x14ac:dyDescent="0.25">
      <c r="A670" s="423">
        <v>669</v>
      </c>
      <c r="B670" s="423" t="s">
        <v>412</v>
      </c>
      <c r="C670" s="423" t="s">
        <v>1651</v>
      </c>
      <c r="D670" s="424" t="s">
        <v>990</v>
      </c>
      <c r="E670" s="425" t="s">
        <v>991</v>
      </c>
      <c r="F670" s="425" t="s">
        <v>992</v>
      </c>
      <c r="G670" s="425" t="s">
        <v>1054</v>
      </c>
      <c r="H670" s="426" t="s">
        <v>699</v>
      </c>
      <c r="I670" s="425" t="s">
        <v>1055</v>
      </c>
      <c r="J670" s="424" t="s">
        <v>697</v>
      </c>
      <c r="K670" s="425" t="s">
        <v>995</v>
      </c>
      <c r="L670" s="425" t="s">
        <v>996</v>
      </c>
      <c r="M670" s="425" t="s">
        <v>997</v>
      </c>
      <c r="N670" s="425" t="s">
        <v>558</v>
      </c>
      <c r="O670" s="424" t="s">
        <v>998</v>
      </c>
      <c r="P670" s="425" t="s">
        <v>999</v>
      </c>
      <c r="Q670" s="425" t="s">
        <v>1000</v>
      </c>
      <c r="R670" s="425" t="s">
        <v>1001</v>
      </c>
      <c r="S670" s="425" t="s">
        <v>1002</v>
      </c>
      <c r="T670" s="423">
        <v>1500</v>
      </c>
      <c r="U670" s="423" t="s">
        <v>1041</v>
      </c>
      <c r="V670" s="423">
        <v>70</v>
      </c>
      <c r="W670" s="423">
        <v>4</v>
      </c>
      <c r="X670" s="423" t="s">
        <v>1151</v>
      </c>
      <c r="Y670" s="423">
        <v>6</v>
      </c>
      <c r="Z670" s="423" t="s">
        <v>1653</v>
      </c>
      <c r="AD670" s="423">
        <f>IF(ISNUMBER(MATCH(B670,'FICHA SOLIC'!$AB$26:$AB$376,0)),1,0)</f>
        <v>1</v>
      </c>
      <c r="AE670" s="423" t="str">
        <f t="shared" si="10"/>
        <v>La FloridaZ-AA+CM</v>
      </c>
    </row>
    <row r="671" spans="1:31" x14ac:dyDescent="0.25">
      <c r="A671" s="423">
        <v>670</v>
      </c>
      <c r="B671" s="423" t="s">
        <v>412</v>
      </c>
      <c r="C671" s="423" t="s">
        <v>1648</v>
      </c>
      <c r="D671" s="424" t="s">
        <v>990</v>
      </c>
      <c r="E671" s="425" t="s">
        <v>991</v>
      </c>
      <c r="F671" s="425" t="s">
        <v>992</v>
      </c>
      <c r="G671" s="425" t="s">
        <v>1054</v>
      </c>
      <c r="H671" s="426" t="s">
        <v>699</v>
      </c>
      <c r="I671" s="425" t="s">
        <v>1055</v>
      </c>
      <c r="J671" s="424" t="s">
        <v>697</v>
      </c>
      <c r="K671" s="425" t="s">
        <v>995</v>
      </c>
      <c r="L671" s="425" t="s">
        <v>996</v>
      </c>
      <c r="M671" s="425" t="s">
        <v>997</v>
      </c>
      <c r="N671" s="425" t="s">
        <v>558</v>
      </c>
      <c r="O671" s="424" t="s">
        <v>998</v>
      </c>
      <c r="P671" s="425" t="s">
        <v>999</v>
      </c>
      <c r="Q671" s="425" t="s">
        <v>1000</v>
      </c>
      <c r="R671" s="425" t="s">
        <v>1001</v>
      </c>
      <c r="S671" s="425" t="s">
        <v>1002</v>
      </c>
      <c r="T671" s="423">
        <v>1000</v>
      </c>
      <c r="U671" s="423" t="s">
        <v>1041</v>
      </c>
      <c r="V671" s="423">
        <v>30</v>
      </c>
      <c r="W671" s="423">
        <v>3.5</v>
      </c>
      <c r="X671" s="423" t="s">
        <v>1151</v>
      </c>
      <c r="Y671" s="423" t="s">
        <v>1041</v>
      </c>
      <c r="Z671" s="423" t="s">
        <v>1058</v>
      </c>
      <c r="AD671" s="423">
        <f>IF(ISNUMBER(MATCH(B671,'FICHA SOLIC'!$AB$26:$AB$376,0)),1,0)</f>
        <v>1</v>
      </c>
      <c r="AE671" s="423" t="str">
        <f t="shared" si="10"/>
        <v>La FloridaZ-AA1</v>
      </c>
    </row>
    <row r="672" spans="1:31" x14ac:dyDescent="0.25">
      <c r="A672" s="423">
        <v>671</v>
      </c>
      <c r="B672" s="423" t="s">
        <v>412</v>
      </c>
      <c r="C672" s="423" t="s">
        <v>1649</v>
      </c>
      <c r="D672" s="424" t="s">
        <v>990</v>
      </c>
      <c r="E672" s="425" t="s">
        <v>991</v>
      </c>
      <c r="F672" s="425" t="s">
        <v>992</v>
      </c>
      <c r="G672" s="425" t="s">
        <v>1054</v>
      </c>
      <c r="H672" s="426" t="s">
        <v>699</v>
      </c>
      <c r="I672" s="425" t="s">
        <v>1055</v>
      </c>
      <c r="J672" s="424" t="s">
        <v>697</v>
      </c>
      <c r="K672" s="425" t="s">
        <v>995</v>
      </c>
      <c r="L672" s="425" t="s">
        <v>996</v>
      </c>
      <c r="M672" s="425" t="s">
        <v>997</v>
      </c>
      <c r="N672" s="425" t="s">
        <v>558</v>
      </c>
      <c r="O672" s="424" t="s">
        <v>998</v>
      </c>
      <c r="P672" s="425" t="s">
        <v>999</v>
      </c>
      <c r="Q672" s="425" t="s">
        <v>1000</v>
      </c>
      <c r="R672" s="425" t="s">
        <v>1001</v>
      </c>
      <c r="S672" s="425" t="s">
        <v>1002</v>
      </c>
      <c r="T672" s="423">
        <v>1000</v>
      </c>
      <c r="U672" s="423" t="s">
        <v>1041</v>
      </c>
      <c r="V672" s="423">
        <v>40</v>
      </c>
      <c r="W672" s="423">
        <v>2.4</v>
      </c>
      <c r="X672" s="423" t="s">
        <v>1151</v>
      </c>
      <c r="Y672" s="423" t="s">
        <v>1041</v>
      </c>
      <c r="Z672" s="423" t="s">
        <v>1058</v>
      </c>
      <c r="AD672" s="423">
        <f>IF(ISNUMBER(MATCH(B672,'FICHA SOLIC'!$AB$26:$AB$376,0)),1,0)</f>
        <v>1</v>
      </c>
      <c r="AE672" s="423" t="str">
        <f t="shared" si="10"/>
        <v>La FloridaZ-AA2</v>
      </c>
    </row>
    <row r="673" spans="1:31" x14ac:dyDescent="0.25">
      <c r="A673" s="423">
        <v>672</v>
      </c>
      <c r="B673" s="423" t="s">
        <v>412</v>
      </c>
      <c r="C673" s="423" t="s">
        <v>1652</v>
      </c>
      <c r="D673" s="424" t="s">
        <v>990</v>
      </c>
      <c r="E673" s="425" t="s">
        <v>991</v>
      </c>
      <c r="F673" s="425" t="s">
        <v>992</v>
      </c>
      <c r="G673" s="425" t="s">
        <v>1054</v>
      </c>
      <c r="H673" s="426" t="s">
        <v>699</v>
      </c>
      <c r="I673" s="425" t="s">
        <v>1055</v>
      </c>
      <c r="J673" s="424" t="s">
        <v>697</v>
      </c>
      <c r="K673" s="425" t="s">
        <v>995</v>
      </c>
      <c r="L673" s="425" t="s">
        <v>996</v>
      </c>
      <c r="M673" s="425" t="s">
        <v>997</v>
      </c>
      <c r="N673" s="425" t="s">
        <v>558</v>
      </c>
      <c r="O673" s="424" t="s">
        <v>998</v>
      </c>
      <c r="P673" s="425" t="s">
        <v>999</v>
      </c>
      <c r="Q673" s="425" t="s">
        <v>1000</v>
      </c>
      <c r="R673" s="425" t="s">
        <v>1001</v>
      </c>
      <c r="S673" s="425" t="s">
        <v>1002</v>
      </c>
      <c r="T673" s="423">
        <v>1000</v>
      </c>
      <c r="U673" s="423" t="s">
        <v>1041</v>
      </c>
      <c r="V673" s="423">
        <v>40</v>
      </c>
      <c r="W673" s="423">
        <v>2</v>
      </c>
      <c r="X673" s="423" t="s">
        <v>1151</v>
      </c>
      <c r="Y673" s="423">
        <v>6</v>
      </c>
      <c r="Z673" s="423" t="s">
        <v>1058</v>
      </c>
      <c r="AD673" s="423">
        <f>IF(ISNUMBER(MATCH(B673,'FICHA SOLIC'!$AB$26:$AB$376,0)),1,0)</f>
        <v>1</v>
      </c>
      <c r="AE673" s="423" t="str">
        <f t="shared" si="10"/>
        <v>La FloridaZ-AM</v>
      </c>
    </row>
    <row r="674" spans="1:31" x14ac:dyDescent="0.25">
      <c r="A674" s="423">
        <v>673</v>
      </c>
      <c r="B674" s="423" t="s">
        <v>412</v>
      </c>
      <c r="C674" s="423" t="s">
        <v>1647</v>
      </c>
      <c r="D674" s="424" t="s">
        <v>990</v>
      </c>
      <c r="E674" s="425" t="s">
        <v>991</v>
      </c>
      <c r="F674" s="425" t="s">
        <v>992</v>
      </c>
      <c r="G674" s="425" t="s">
        <v>1054</v>
      </c>
      <c r="H674" s="426" t="s">
        <v>699</v>
      </c>
      <c r="I674" s="425" t="s">
        <v>1055</v>
      </c>
      <c r="J674" s="424" t="s">
        <v>697</v>
      </c>
      <c r="K674" s="425" t="s">
        <v>995</v>
      </c>
      <c r="L674" s="425" t="s">
        <v>996</v>
      </c>
      <c r="M674" s="425" t="s">
        <v>997</v>
      </c>
      <c r="N674" s="425" t="s">
        <v>558</v>
      </c>
      <c r="O674" s="424" t="s">
        <v>998</v>
      </c>
      <c r="P674" s="425" t="s">
        <v>999</v>
      </c>
      <c r="Q674" s="425" t="s">
        <v>1000</v>
      </c>
      <c r="R674" s="425" t="s">
        <v>1001</v>
      </c>
      <c r="S674" s="425" t="s">
        <v>1002</v>
      </c>
      <c r="T674" s="423" t="s">
        <v>1041</v>
      </c>
      <c r="U674" s="423" t="s">
        <v>1041</v>
      </c>
      <c r="V674" s="423">
        <v>60</v>
      </c>
      <c r="W674" s="423" t="s">
        <v>1041</v>
      </c>
      <c r="X674" s="423" t="s">
        <v>1026</v>
      </c>
      <c r="Y674" s="423" t="s">
        <v>1041</v>
      </c>
      <c r="Z674" s="423" t="s">
        <v>1041</v>
      </c>
      <c r="AD674" s="423">
        <f>IF(ISNUMBER(MATCH(B674,'FICHA SOLIC'!$AB$26:$AB$376,0)),1,0)</f>
        <v>1</v>
      </c>
      <c r="AE674" s="423" t="str">
        <f t="shared" si="10"/>
        <v>La FloridaZ-S</v>
      </c>
    </row>
    <row r="675" spans="1:31" x14ac:dyDescent="0.25">
      <c r="A675" s="423">
        <v>674</v>
      </c>
      <c r="B675" s="423" t="s">
        <v>413</v>
      </c>
      <c r="C675" s="423" t="s">
        <v>1654</v>
      </c>
      <c r="D675" s="424" t="s">
        <v>990</v>
      </c>
      <c r="E675" s="425" t="s">
        <v>991</v>
      </c>
      <c r="F675" s="425" t="s">
        <v>992</v>
      </c>
      <c r="G675" s="425" t="s">
        <v>1054</v>
      </c>
      <c r="H675" s="426" t="s">
        <v>699</v>
      </c>
      <c r="I675" s="425" t="s">
        <v>1055</v>
      </c>
      <c r="J675" s="424" t="s">
        <v>697</v>
      </c>
      <c r="K675" s="425" t="s">
        <v>995</v>
      </c>
      <c r="L675" s="425" t="s">
        <v>996</v>
      </c>
      <c r="M675" s="425" t="s">
        <v>997</v>
      </c>
      <c r="N675" s="425" t="s">
        <v>558</v>
      </c>
      <c r="O675" s="424" t="s">
        <v>998</v>
      </c>
      <c r="P675" s="425" t="s">
        <v>999</v>
      </c>
      <c r="Q675" s="425" t="s">
        <v>1000</v>
      </c>
      <c r="R675" s="425" t="s">
        <v>1001</v>
      </c>
      <c r="S675" s="425" t="s">
        <v>1002</v>
      </c>
      <c r="T675" s="423" t="s">
        <v>1041</v>
      </c>
      <c r="U675" s="423" t="s">
        <v>1041</v>
      </c>
      <c r="V675" s="423">
        <v>5</v>
      </c>
      <c r="W675" s="423">
        <v>0.05</v>
      </c>
      <c r="X675" s="423" t="s">
        <v>1041</v>
      </c>
      <c r="Y675" s="423" t="s">
        <v>1041</v>
      </c>
      <c r="Z675" s="423" t="s">
        <v>1041</v>
      </c>
      <c r="AD675" s="423">
        <f>IF(ISNUMBER(MATCH(B675,'FICHA SOLIC'!$AB$26:$AB$376,0)),1,0)</f>
        <v>1</v>
      </c>
      <c r="AE675" s="423" t="str">
        <f t="shared" si="10"/>
        <v>La GranjaZAV-1</v>
      </c>
    </row>
    <row r="676" spans="1:31" x14ac:dyDescent="0.25">
      <c r="A676" s="423">
        <v>675</v>
      </c>
      <c r="B676" s="423" t="s">
        <v>413</v>
      </c>
      <c r="C676" s="423" t="s">
        <v>1655</v>
      </c>
      <c r="D676" s="424" t="s">
        <v>990</v>
      </c>
      <c r="E676" s="425" t="s">
        <v>991</v>
      </c>
      <c r="F676" s="425" t="s">
        <v>992</v>
      </c>
      <c r="G676" s="425" t="s">
        <v>1054</v>
      </c>
      <c r="H676" s="426" t="s">
        <v>699</v>
      </c>
      <c r="I676" s="425" t="s">
        <v>1055</v>
      </c>
      <c r="J676" s="424" t="s">
        <v>697</v>
      </c>
      <c r="K676" s="425" t="s">
        <v>995</v>
      </c>
      <c r="L676" s="425" t="s">
        <v>996</v>
      </c>
      <c r="M676" s="425" t="s">
        <v>997</v>
      </c>
      <c r="N676" s="425" t="s">
        <v>558</v>
      </c>
      <c r="O676" s="424" t="s">
        <v>998</v>
      </c>
      <c r="P676" s="425" t="s">
        <v>999</v>
      </c>
      <c r="Q676" s="425" t="s">
        <v>1000</v>
      </c>
      <c r="R676" s="425" t="s">
        <v>1001</v>
      </c>
      <c r="S676" s="425" t="s">
        <v>1002</v>
      </c>
      <c r="T676" s="423" t="s">
        <v>1041</v>
      </c>
      <c r="U676" s="423" t="s">
        <v>1041</v>
      </c>
      <c r="V676" s="423" t="s">
        <v>1041</v>
      </c>
      <c r="W676" s="423" t="s">
        <v>1041</v>
      </c>
      <c r="X676" s="423" t="s">
        <v>1041</v>
      </c>
      <c r="Y676" s="423" t="s">
        <v>1041</v>
      </c>
      <c r="Z676" s="423" t="s">
        <v>1041</v>
      </c>
      <c r="AD676" s="423">
        <f>IF(ISNUMBER(MATCH(B676,'FICHA SOLIC'!$AB$26:$AB$376,0)),1,0)</f>
        <v>1</v>
      </c>
      <c r="AE676" s="423" t="str">
        <f t="shared" si="10"/>
        <v>La GranjaZAV-2</v>
      </c>
    </row>
    <row r="677" spans="1:31" x14ac:dyDescent="0.25">
      <c r="A677" s="423">
        <v>676</v>
      </c>
      <c r="B677" s="423" t="s">
        <v>413</v>
      </c>
      <c r="C677" s="423" t="s">
        <v>1460</v>
      </c>
      <c r="D677" s="424" t="s">
        <v>990</v>
      </c>
      <c r="E677" s="425" t="s">
        <v>991</v>
      </c>
      <c r="F677" s="425" t="s">
        <v>992</v>
      </c>
      <c r="G677" s="425" t="s">
        <v>1054</v>
      </c>
      <c r="H677" s="426" t="s">
        <v>699</v>
      </c>
      <c r="I677" s="425" t="s">
        <v>1055</v>
      </c>
      <c r="J677" s="424" t="s">
        <v>697</v>
      </c>
      <c r="K677" s="425" t="s">
        <v>995</v>
      </c>
      <c r="L677" s="425" t="s">
        <v>996</v>
      </c>
      <c r="M677" s="425" t="s">
        <v>997</v>
      </c>
      <c r="N677" s="425" t="s">
        <v>558</v>
      </c>
      <c r="O677" s="424" t="s">
        <v>998</v>
      </c>
      <c r="P677" s="425" t="s">
        <v>999</v>
      </c>
      <c r="Q677" s="425" t="s">
        <v>1000</v>
      </c>
      <c r="R677" s="425" t="s">
        <v>1001</v>
      </c>
      <c r="S677" s="425" t="s">
        <v>1002</v>
      </c>
      <c r="T677" s="423">
        <v>500</v>
      </c>
      <c r="U677" s="423" t="s">
        <v>1041</v>
      </c>
      <c r="V677" s="423">
        <v>70</v>
      </c>
      <c r="W677" s="423">
        <v>4.5</v>
      </c>
      <c r="X677" s="423" t="s">
        <v>1151</v>
      </c>
      <c r="Y677" s="423" t="s">
        <v>1041</v>
      </c>
      <c r="Z677" s="423" t="s">
        <v>1059</v>
      </c>
      <c r="AD677" s="423">
        <f>IF(ISNUMBER(MATCH(B677,'FICHA SOLIC'!$AB$26:$AB$376,0)),1,0)</f>
        <v>1</v>
      </c>
      <c r="AE677" s="423" t="str">
        <f t="shared" si="10"/>
        <v>La GranjaZC-1</v>
      </c>
    </row>
    <row r="678" spans="1:31" x14ac:dyDescent="0.25">
      <c r="A678" s="423">
        <v>677</v>
      </c>
      <c r="B678" s="423" t="s">
        <v>413</v>
      </c>
      <c r="C678" s="423" t="s">
        <v>1461</v>
      </c>
      <c r="D678" s="424" t="s">
        <v>990</v>
      </c>
      <c r="E678" s="425" t="s">
        <v>991</v>
      </c>
      <c r="F678" s="425" t="s">
        <v>992</v>
      </c>
      <c r="G678" s="425" t="s">
        <v>1054</v>
      </c>
      <c r="H678" s="426" t="s">
        <v>699</v>
      </c>
      <c r="I678" s="425" t="s">
        <v>1055</v>
      </c>
      <c r="J678" s="424" t="s">
        <v>697</v>
      </c>
      <c r="K678" s="425" t="s">
        <v>995</v>
      </c>
      <c r="L678" s="425" t="s">
        <v>996</v>
      </c>
      <c r="M678" s="425" t="s">
        <v>997</v>
      </c>
      <c r="N678" s="425" t="s">
        <v>558</v>
      </c>
      <c r="O678" s="424" t="s">
        <v>998</v>
      </c>
      <c r="P678" s="425" t="s">
        <v>999</v>
      </c>
      <c r="Q678" s="425" t="s">
        <v>1000</v>
      </c>
      <c r="R678" s="425" t="s">
        <v>1001</v>
      </c>
      <c r="S678" s="425" t="s">
        <v>1002</v>
      </c>
      <c r="T678" s="423">
        <v>500</v>
      </c>
      <c r="U678" s="423" t="s">
        <v>1041</v>
      </c>
      <c r="V678" s="423">
        <v>70</v>
      </c>
      <c r="W678" s="423">
        <v>5.2</v>
      </c>
      <c r="X678" s="423" t="s">
        <v>1151</v>
      </c>
      <c r="Y678" s="423" t="s">
        <v>1041</v>
      </c>
      <c r="Z678" s="423" t="s">
        <v>1059</v>
      </c>
      <c r="AD678" s="423">
        <f>IF(ISNUMBER(MATCH(B678,'FICHA SOLIC'!$AB$26:$AB$376,0)),1,0)</f>
        <v>1</v>
      </c>
      <c r="AE678" s="423" t="str">
        <f t="shared" si="10"/>
        <v>La GranjaZC-2</v>
      </c>
    </row>
    <row r="679" spans="1:31" x14ac:dyDescent="0.25">
      <c r="A679" s="423">
        <v>678</v>
      </c>
      <c r="B679" s="423" t="s">
        <v>413</v>
      </c>
      <c r="C679" s="423" t="s">
        <v>1462</v>
      </c>
      <c r="D679" s="424" t="s">
        <v>990</v>
      </c>
      <c r="E679" s="425" t="s">
        <v>991</v>
      </c>
      <c r="F679" s="425" t="s">
        <v>992</v>
      </c>
      <c r="G679" s="425" t="s">
        <v>1054</v>
      </c>
      <c r="H679" s="426" t="s">
        <v>699</v>
      </c>
      <c r="I679" s="425" t="s">
        <v>1055</v>
      </c>
      <c r="J679" s="424" t="s">
        <v>697</v>
      </c>
      <c r="K679" s="425" t="s">
        <v>995</v>
      </c>
      <c r="L679" s="425" t="s">
        <v>996</v>
      </c>
      <c r="M679" s="425" t="s">
        <v>997</v>
      </c>
      <c r="N679" s="425" t="s">
        <v>558</v>
      </c>
      <c r="O679" s="424" t="s">
        <v>998</v>
      </c>
      <c r="P679" s="425" t="s">
        <v>999</v>
      </c>
      <c r="Q679" s="425" t="s">
        <v>1000</v>
      </c>
      <c r="R679" s="425" t="s">
        <v>1001</v>
      </c>
      <c r="S679" s="425" t="s">
        <v>1002</v>
      </c>
      <c r="T679" s="423">
        <v>500</v>
      </c>
      <c r="U679" s="423" t="s">
        <v>1041</v>
      </c>
      <c r="V679" s="423">
        <v>70</v>
      </c>
      <c r="W679" s="423">
        <v>3.7</v>
      </c>
      <c r="X679" s="423" t="s">
        <v>1151</v>
      </c>
      <c r="Y679" s="423" t="s">
        <v>1041</v>
      </c>
      <c r="Z679" s="423" t="s">
        <v>1059</v>
      </c>
      <c r="AD679" s="423">
        <f>IF(ISNUMBER(MATCH(B679,'FICHA SOLIC'!$AB$26:$AB$376,0)),1,0)</f>
        <v>1</v>
      </c>
      <c r="AE679" s="423" t="str">
        <f t="shared" si="10"/>
        <v>La GranjaZC-3</v>
      </c>
    </row>
    <row r="680" spans="1:31" x14ac:dyDescent="0.25">
      <c r="A680" s="423">
        <v>679</v>
      </c>
      <c r="B680" s="423" t="s">
        <v>413</v>
      </c>
      <c r="C680" s="423" t="s">
        <v>1454</v>
      </c>
      <c r="D680" s="424" t="s">
        <v>990</v>
      </c>
      <c r="E680" s="425" t="s">
        <v>991</v>
      </c>
      <c r="F680" s="425" t="s">
        <v>992</v>
      </c>
      <c r="G680" s="425" t="s">
        <v>1054</v>
      </c>
      <c r="H680" s="426" t="s">
        <v>699</v>
      </c>
      <c r="I680" s="425" t="s">
        <v>1055</v>
      </c>
      <c r="J680" s="424" t="s">
        <v>697</v>
      </c>
      <c r="K680" s="425" t="s">
        <v>995</v>
      </c>
      <c r="L680" s="425" t="s">
        <v>996</v>
      </c>
      <c r="M680" s="425" t="s">
        <v>997</v>
      </c>
      <c r="N680" s="425" t="s">
        <v>558</v>
      </c>
      <c r="O680" s="424" t="s">
        <v>998</v>
      </c>
      <c r="P680" s="425" t="s">
        <v>999</v>
      </c>
      <c r="Q680" s="425" t="s">
        <v>1000</v>
      </c>
      <c r="R680" s="425" t="s">
        <v>1001</v>
      </c>
      <c r="S680" s="425" t="s">
        <v>1002</v>
      </c>
      <c r="T680" s="423">
        <v>800</v>
      </c>
      <c r="U680" s="423" t="s">
        <v>1041</v>
      </c>
      <c r="V680" s="423">
        <v>80</v>
      </c>
      <c r="W680" s="423">
        <v>3</v>
      </c>
      <c r="X680" s="423" t="s">
        <v>1151</v>
      </c>
      <c r="Y680" s="423" t="s">
        <v>1041</v>
      </c>
      <c r="Z680" s="423" t="s">
        <v>1058</v>
      </c>
      <c r="AD680" s="423">
        <f>IF(ISNUMBER(MATCH(B680,'FICHA SOLIC'!$AB$26:$AB$376,0)),1,0)</f>
        <v>1</v>
      </c>
      <c r="AE680" s="423" t="str">
        <f t="shared" si="10"/>
        <v>La GranjaZE-1</v>
      </c>
    </row>
    <row r="681" spans="1:31" x14ac:dyDescent="0.25">
      <c r="A681" s="423">
        <v>680</v>
      </c>
      <c r="B681" s="423" t="s">
        <v>413</v>
      </c>
      <c r="C681" s="423" t="s">
        <v>1464</v>
      </c>
      <c r="D681" s="424" t="s">
        <v>990</v>
      </c>
      <c r="E681" s="425" t="s">
        <v>991</v>
      </c>
      <c r="F681" s="425" t="s">
        <v>992</v>
      </c>
      <c r="G681" s="425" t="s">
        <v>1054</v>
      </c>
      <c r="H681" s="426" t="s">
        <v>699</v>
      </c>
      <c r="I681" s="425" t="s">
        <v>1055</v>
      </c>
      <c r="J681" s="424" t="s">
        <v>697</v>
      </c>
      <c r="K681" s="425" t="s">
        <v>995</v>
      </c>
      <c r="L681" s="425" t="s">
        <v>996</v>
      </c>
      <c r="M681" s="425" t="s">
        <v>997</v>
      </c>
      <c r="N681" s="425" t="s">
        <v>558</v>
      </c>
      <c r="O681" s="424" t="s">
        <v>998</v>
      </c>
      <c r="P681" s="425" t="s">
        <v>999</v>
      </c>
      <c r="Q681" s="425" t="s">
        <v>1000</v>
      </c>
      <c r="R681" s="425" t="s">
        <v>1001</v>
      </c>
      <c r="S681" s="425" t="s">
        <v>1002</v>
      </c>
      <c r="T681" s="423">
        <v>500</v>
      </c>
      <c r="U681" s="423" t="s">
        <v>1041</v>
      </c>
      <c r="V681" s="423">
        <v>80</v>
      </c>
      <c r="W681" s="423">
        <v>2.6</v>
      </c>
      <c r="X681" s="423">
        <v>14</v>
      </c>
      <c r="Y681" s="423" t="s">
        <v>1041</v>
      </c>
      <c r="Z681" s="423" t="s">
        <v>1057</v>
      </c>
      <c r="AD681" s="423">
        <f>IF(ISNUMBER(MATCH(B681,'FICHA SOLIC'!$AB$26:$AB$376,0)),1,0)</f>
        <v>1</v>
      </c>
      <c r="AE681" s="423" t="str">
        <f t="shared" si="10"/>
        <v>La GranjaZH-1</v>
      </c>
    </row>
    <row r="682" spans="1:31" x14ac:dyDescent="0.25">
      <c r="A682" s="423">
        <v>681</v>
      </c>
      <c r="B682" s="423" t="s">
        <v>413</v>
      </c>
      <c r="C682" s="423" t="s">
        <v>1465</v>
      </c>
      <c r="D682" s="424" t="s">
        <v>990</v>
      </c>
      <c r="E682" s="425" t="s">
        <v>991</v>
      </c>
      <c r="F682" s="425" t="s">
        <v>992</v>
      </c>
      <c r="G682" s="425" t="s">
        <v>1054</v>
      </c>
      <c r="H682" s="426" t="s">
        <v>699</v>
      </c>
      <c r="I682" s="425" t="s">
        <v>1055</v>
      </c>
      <c r="J682" s="424" t="s">
        <v>697</v>
      </c>
      <c r="K682" s="425" t="s">
        <v>995</v>
      </c>
      <c r="L682" s="425" t="s">
        <v>996</v>
      </c>
      <c r="M682" s="425" t="s">
        <v>997</v>
      </c>
      <c r="N682" s="425" t="s">
        <v>558</v>
      </c>
      <c r="O682" s="424" t="s">
        <v>998</v>
      </c>
      <c r="P682" s="425" t="s">
        <v>999</v>
      </c>
      <c r="Q682" s="425" t="s">
        <v>1000</v>
      </c>
      <c r="R682" s="425" t="s">
        <v>1001</v>
      </c>
      <c r="S682" s="425" t="s">
        <v>1002</v>
      </c>
      <c r="T682" s="423">
        <v>500</v>
      </c>
      <c r="U682" s="423" t="s">
        <v>1041</v>
      </c>
      <c r="V682" s="423">
        <v>60</v>
      </c>
      <c r="W682" s="423">
        <v>4.5</v>
      </c>
      <c r="X682" s="423" t="s">
        <v>1151</v>
      </c>
      <c r="Y682" s="423" t="s">
        <v>1041</v>
      </c>
      <c r="Z682" s="423" t="s">
        <v>1057</v>
      </c>
      <c r="AD682" s="423">
        <f>IF(ISNUMBER(MATCH(B682,'FICHA SOLIC'!$AB$26:$AB$376,0)),1,0)</f>
        <v>1</v>
      </c>
      <c r="AE682" s="423" t="str">
        <f t="shared" si="10"/>
        <v>La GranjaZH-2</v>
      </c>
    </row>
    <row r="683" spans="1:31" x14ac:dyDescent="0.25">
      <c r="A683" s="423">
        <v>682</v>
      </c>
      <c r="B683" s="423" t="s">
        <v>413</v>
      </c>
      <c r="C683" s="423" t="s">
        <v>1466</v>
      </c>
      <c r="D683" s="424" t="s">
        <v>990</v>
      </c>
      <c r="E683" s="425" t="s">
        <v>991</v>
      </c>
      <c r="F683" s="425" t="s">
        <v>992</v>
      </c>
      <c r="G683" s="425" t="s">
        <v>1054</v>
      </c>
      <c r="H683" s="426" t="s">
        <v>699</v>
      </c>
      <c r="I683" s="425" t="s">
        <v>1055</v>
      </c>
      <c r="J683" s="424" t="s">
        <v>697</v>
      </c>
      <c r="K683" s="425" t="s">
        <v>995</v>
      </c>
      <c r="L683" s="425" t="s">
        <v>996</v>
      </c>
      <c r="M683" s="425" t="s">
        <v>997</v>
      </c>
      <c r="N683" s="425" t="s">
        <v>558</v>
      </c>
      <c r="O683" s="424" t="s">
        <v>998</v>
      </c>
      <c r="P683" s="425" t="s">
        <v>999</v>
      </c>
      <c r="Q683" s="425" t="s">
        <v>1000</v>
      </c>
      <c r="R683" s="425" t="s">
        <v>1001</v>
      </c>
      <c r="S683" s="425" t="s">
        <v>1002</v>
      </c>
      <c r="T683" s="423">
        <v>200</v>
      </c>
      <c r="U683" s="423" t="s">
        <v>1041</v>
      </c>
      <c r="V683" s="423">
        <v>80</v>
      </c>
      <c r="W683" s="423">
        <v>2.6</v>
      </c>
      <c r="X683" s="423">
        <v>14</v>
      </c>
      <c r="Y683" s="423" t="s">
        <v>1041</v>
      </c>
      <c r="Z683" s="423" t="s">
        <v>1057</v>
      </c>
      <c r="AD683" s="423">
        <f>IF(ISNUMBER(MATCH(B683,'FICHA SOLIC'!$AB$26:$AB$376,0)),1,0)</f>
        <v>1</v>
      </c>
      <c r="AE683" s="423" t="str">
        <f t="shared" si="10"/>
        <v>La GranjaZH-3</v>
      </c>
    </row>
    <row r="684" spans="1:31" x14ac:dyDescent="0.25">
      <c r="A684" s="423">
        <v>683</v>
      </c>
      <c r="B684" s="423" t="s">
        <v>413</v>
      </c>
      <c r="C684" s="423" t="s">
        <v>1467</v>
      </c>
      <c r="D684" s="424" t="s">
        <v>990</v>
      </c>
      <c r="E684" s="425" t="s">
        <v>991</v>
      </c>
      <c r="F684" s="425" t="s">
        <v>992</v>
      </c>
      <c r="G684" s="425" t="s">
        <v>1054</v>
      </c>
      <c r="H684" s="426" t="s">
        <v>699</v>
      </c>
      <c r="I684" s="425" t="s">
        <v>1055</v>
      </c>
      <c r="J684" s="424" t="s">
        <v>697</v>
      </c>
      <c r="K684" s="425" t="s">
        <v>995</v>
      </c>
      <c r="L684" s="425" t="s">
        <v>996</v>
      </c>
      <c r="M684" s="425" t="s">
        <v>997</v>
      </c>
      <c r="N684" s="425" t="s">
        <v>558</v>
      </c>
      <c r="O684" s="424" t="s">
        <v>998</v>
      </c>
      <c r="P684" s="425" t="s">
        <v>999</v>
      </c>
      <c r="Q684" s="425" t="s">
        <v>1000</v>
      </c>
      <c r="R684" s="425" t="s">
        <v>1001</v>
      </c>
      <c r="S684" s="425" t="s">
        <v>1002</v>
      </c>
      <c r="T684" s="423">
        <v>200</v>
      </c>
      <c r="U684" s="423" t="s">
        <v>1041</v>
      </c>
      <c r="V684" s="423">
        <v>60</v>
      </c>
      <c r="W684" s="423">
        <v>1.2</v>
      </c>
      <c r="X684" s="423">
        <v>7</v>
      </c>
      <c r="Y684" s="423" t="s">
        <v>1041</v>
      </c>
      <c r="Z684" s="423" t="s">
        <v>1057</v>
      </c>
      <c r="AD684" s="423">
        <f>IF(ISNUMBER(MATCH(B684,'FICHA SOLIC'!$AB$26:$AB$376,0)),1,0)</f>
        <v>1</v>
      </c>
      <c r="AE684" s="423" t="str">
        <f t="shared" si="10"/>
        <v>La GranjaZH-4</v>
      </c>
    </row>
    <row r="685" spans="1:31" x14ac:dyDescent="0.25">
      <c r="A685" s="423">
        <v>684</v>
      </c>
      <c r="B685" s="423" t="s">
        <v>413</v>
      </c>
      <c r="C685" s="423" t="s">
        <v>1457</v>
      </c>
      <c r="D685" s="424" t="s">
        <v>990</v>
      </c>
      <c r="E685" s="425" t="s">
        <v>991</v>
      </c>
      <c r="F685" s="425" t="s">
        <v>992</v>
      </c>
      <c r="G685" s="425" t="s">
        <v>1054</v>
      </c>
      <c r="H685" s="426" t="s">
        <v>699</v>
      </c>
      <c r="I685" s="425" t="s">
        <v>1055</v>
      </c>
      <c r="J685" s="424" t="s">
        <v>697</v>
      </c>
      <c r="K685" s="425" t="s">
        <v>995</v>
      </c>
      <c r="L685" s="425" t="s">
        <v>996</v>
      </c>
      <c r="M685" s="425" t="s">
        <v>997</v>
      </c>
      <c r="N685" s="425" t="s">
        <v>558</v>
      </c>
      <c r="O685" s="424" t="s">
        <v>998</v>
      </c>
      <c r="P685" s="425" t="s">
        <v>999</v>
      </c>
      <c r="Q685" s="425" t="s">
        <v>1000</v>
      </c>
      <c r="R685" s="425" t="s">
        <v>1001</v>
      </c>
      <c r="S685" s="425" t="s">
        <v>1002</v>
      </c>
      <c r="T685" s="423">
        <v>1500</v>
      </c>
      <c r="U685" s="423" t="s">
        <v>1041</v>
      </c>
      <c r="V685" s="423">
        <v>70</v>
      </c>
      <c r="W685" s="423">
        <v>2</v>
      </c>
      <c r="X685" s="423">
        <v>14</v>
      </c>
      <c r="Y685" s="423">
        <v>3</v>
      </c>
      <c r="Z685" s="423" t="s">
        <v>1058</v>
      </c>
      <c r="AD685" s="423">
        <f>IF(ISNUMBER(MATCH(B685,'FICHA SOLIC'!$AB$26:$AB$376,0)),1,0)</f>
        <v>1</v>
      </c>
      <c r="AE685" s="423" t="str">
        <f t="shared" si="10"/>
        <v>La GranjaZI-1</v>
      </c>
    </row>
    <row r="686" spans="1:31" x14ac:dyDescent="0.25">
      <c r="A686" s="423">
        <v>685</v>
      </c>
      <c r="B686" s="423" t="s">
        <v>413</v>
      </c>
      <c r="C686" s="423" t="s">
        <v>1452</v>
      </c>
      <c r="D686" s="424" t="s">
        <v>990</v>
      </c>
      <c r="E686" s="425" t="s">
        <v>991</v>
      </c>
      <c r="F686" s="425" t="s">
        <v>992</v>
      </c>
      <c r="G686" s="425" t="s">
        <v>1054</v>
      </c>
      <c r="H686" s="426" t="s">
        <v>699</v>
      </c>
      <c r="I686" s="425" t="s">
        <v>1055</v>
      </c>
      <c r="J686" s="424" t="s">
        <v>697</v>
      </c>
      <c r="K686" s="425" t="s">
        <v>995</v>
      </c>
      <c r="L686" s="425" t="s">
        <v>996</v>
      </c>
      <c r="M686" s="425" t="s">
        <v>997</v>
      </c>
      <c r="N686" s="425" t="s">
        <v>558</v>
      </c>
      <c r="O686" s="424" t="s">
        <v>998</v>
      </c>
      <c r="P686" s="425" t="s">
        <v>999</v>
      </c>
      <c r="Q686" s="425" t="s">
        <v>1000</v>
      </c>
      <c r="R686" s="425" t="s">
        <v>1001</v>
      </c>
      <c r="S686" s="425" t="s">
        <v>1002</v>
      </c>
      <c r="T686" s="423" t="s">
        <v>1544</v>
      </c>
      <c r="U686" s="423" t="s">
        <v>1544</v>
      </c>
      <c r="V686" s="423" t="s">
        <v>1544</v>
      </c>
      <c r="W686" s="423" t="s">
        <v>1544</v>
      </c>
      <c r="X686" s="423" t="s">
        <v>1544</v>
      </c>
      <c r="Y686" s="423" t="s">
        <v>1544</v>
      </c>
      <c r="Z686" s="423" t="s">
        <v>1544</v>
      </c>
      <c r="AD686" s="423">
        <f>IF(ISNUMBER(MATCH(B686,'FICHA SOLIC'!$AB$26:$AB$376,0)),1,0)</f>
        <v>1</v>
      </c>
      <c r="AE686" s="423" t="str">
        <f t="shared" si="10"/>
        <v>La GranjaZR-1</v>
      </c>
    </row>
    <row r="687" spans="1:31" x14ac:dyDescent="0.25">
      <c r="A687" s="423">
        <v>686</v>
      </c>
      <c r="B687" s="423" t="s">
        <v>159</v>
      </c>
      <c r="C687" s="423" t="s">
        <v>1041</v>
      </c>
      <c r="D687" s="972" t="s">
        <v>990</v>
      </c>
      <c r="E687" s="973" t="s">
        <v>991</v>
      </c>
      <c r="F687" s="973" t="s">
        <v>992</v>
      </c>
      <c r="G687" s="973" t="s">
        <v>1997</v>
      </c>
      <c r="H687" s="973" t="s">
        <v>1998</v>
      </c>
      <c r="I687" s="973" t="s">
        <v>1999</v>
      </c>
      <c r="J687" s="972" t="s">
        <v>697</v>
      </c>
      <c r="K687" s="973" t="s">
        <v>995</v>
      </c>
      <c r="L687" s="973" t="s">
        <v>996</v>
      </c>
      <c r="M687" s="973" t="s">
        <v>2000</v>
      </c>
      <c r="N687" s="973" t="s">
        <v>2001</v>
      </c>
      <c r="O687" s="972" t="s">
        <v>1971</v>
      </c>
      <c r="P687" s="973" t="s">
        <v>999</v>
      </c>
      <c r="Q687" s="973" t="s">
        <v>1000</v>
      </c>
      <c r="R687" s="973" t="s">
        <v>1001</v>
      </c>
      <c r="S687" s="973" t="s">
        <v>1002</v>
      </c>
      <c r="T687" s="423" t="s">
        <v>1041</v>
      </c>
      <c r="U687" s="423" t="s">
        <v>1041</v>
      </c>
      <c r="V687" s="423" t="s">
        <v>1041</v>
      </c>
      <c r="W687" s="423" t="s">
        <v>1041</v>
      </c>
      <c r="X687" s="423" t="s">
        <v>1041</v>
      </c>
      <c r="Y687" s="423" t="s">
        <v>1041</v>
      </c>
      <c r="Z687" s="423" t="s">
        <v>1041</v>
      </c>
      <c r="AD687" s="423">
        <f>IF(ISNUMBER(MATCH(B687,'FICHA SOLIC'!$AB$26:$AB$376,0)),1,0)</f>
        <v>1</v>
      </c>
      <c r="AE687" s="423" t="str">
        <f t="shared" si="10"/>
        <v>La LiguaOGUC</v>
      </c>
    </row>
    <row r="688" spans="1:31" x14ac:dyDescent="0.25">
      <c r="A688" s="423">
        <v>687</v>
      </c>
      <c r="B688" s="423" t="s">
        <v>414</v>
      </c>
      <c r="C688" s="423" t="s">
        <v>1662</v>
      </c>
      <c r="D688" s="424" t="s">
        <v>990</v>
      </c>
      <c r="E688" s="425" t="s">
        <v>991</v>
      </c>
      <c r="F688" s="425" t="s">
        <v>992</v>
      </c>
      <c r="G688" s="425" t="s">
        <v>1054</v>
      </c>
      <c r="H688" s="426" t="s">
        <v>699</v>
      </c>
      <c r="I688" s="425" t="s">
        <v>1055</v>
      </c>
      <c r="J688" s="424" t="s">
        <v>697</v>
      </c>
      <c r="K688" s="425" t="s">
        <v>995</v>
      </c>
      <c r="L688" s="425" t="s">
        <v>996</v>
      </c>
      <c r="M688" s="425" t="s">
        <v>997</v>
      </c>
      <c r="N688" s="425" t="s">
        <v>558</v>
      </c>
      <c r="O688" s="424" t="s">
        <v>998</v>
      </c>
      <c r="P688" s="425" t="s">
        <v>999</v>
      </c>
      <c r="Q688" s="425" t="s">
        <v>1000</v>
      </c>
      <c r="R688" s="425" t="s">
        <v>1001</v>
      </c>
      <c r="S688" s="425" t="s">
        <v>1002</v>
      </c>
      <c r="T688" s="423">
        <v>1000</v>
      </c>
      <c r="U688" s="423" t="s">
        <v>1041</v>
      </c>
      <c r="V688" s="423">
        <v>40</v>
      </c>
      <c r="W688" s="423">
        <v>2</v>
      </c>
      <c r="X688" s="423">
        <v>14</v>
      </c>
      <c r="Y688" s="423" t="s">
        <v>1041</v>
      </c>
      <c r="Z688" s="423" t="s">
        <v>1058</v>
      </c>
      <c r="AD688" s="423">
        <f>IF(ISNUMBER(MATCH(B688,'FICHA SOLIC'!$AB$26:$AB$376,0)),1,0)</f>
        <v>1</v>
      </c>
      <c r="AE688" s="423" t="str">
        <f t="shared" si="10"/>
        <v>La PintanaCE</v>
      </c>
    </row>
    <row r="689" spans="1:31" x14ac:dyDescent="0.25">
      <c r="A689" s="423">
        <v>688</v>
      </c>
      <c r="B689" s="423" t="s">
        <v>414</v>
      </c>
      <c r="C689" s="423" t="s">
        <v>1669</v>
      </c>
      <c r="D689" s="424" t="s">
        <v>990</v>
      </c>
      <c r="E689" s="425" t="s">
        <v>991</v>
      </c>
      <c r="F689" s="425" t="s">
        <v>992</v>
      </c>
      <c r="G689" s="425" t="s">
        <v>1054</v>
      </c>
      <c r="H689" s="426" t="s">
        <v>699</v>
      </c>
      <c r="I689" s="425" t="s">
        <v>1055</v>
      </c>
      <c r="J689" s="424" t="s">
        <v>697</v>
      </c>
      <c r="K689" s="425" t="s">
        <v>995</v>
      </c>
      <c r="L689" s="425" t="s">
        <v>996</v>
      </c>
      <c r="M689" s="425" t="s">
        <v>997</v>
      </c>
      <c r="N689" s="425" t="s">
        <v>558</v>
      </c>
      <c r="O689" s="424" t="s">
        <v>998</v>
      </c>
      <c r="P689" s="425" t="s">
        <v>999</v>
      </c>
      <c r="Q689" s="425" t="s">
        <v>1000</v>
      </c>
      <c r="R689" s="425" t="s">
        <v>1001</v>
      </c>
      <c r="S689" s="425" t="s">
        <v>1002</v>
      </c>
      <c r="T689" s="423">
        <v>1000</v>
      </c>
      <c r="U689" s="423" t="s">
        <v>1041</v>
      </c>
      <c r="V689" s="423">
        <v>40</v>
      </c>
      <c r="W689" s="423">
        <v>2</v>
      </c>
      <c r="X689" s="423">
        <v>14</v>
      </c>
      <c r="Y689" s="423" t="s">
        <v>1041</v>
      </c>
      <c r="Z689" s="423" t="s">
        <v>1058</v>
      </c>
      <c r="AD689" s="423">
        <f>IF(ISNUMBER(MATCH(B689,'FICHA SOLIC'!$AB$26:$AB$376,0)),1,0)</f>
        <v>1</v>
      </c>
      <c r="AE689" s="423" t="str">
        <f t="shared" si="10"/>
        <v>La PintanaCEX</v>
      </c>
    </row>
    <row r="690" spans="1:31" x14ac:dyDescent="0.25">
      <c r="A690" s="423">
        <v>689</v>
      </c>
      <c r="B690" s="423" t="s">
        <v>414</v>
      </c>
      <c r="C690" s="423" t="s">
        <v>1663</v>
      </c>
      <c r="D690" s="424" t="s">
        <v>990</v>
      </c>
      <c r="E690" s="425" t="s">
        <v>991</v>
      </c>
      <c r="F690" s="425" t="s">
        <v>992</v>
      </c>
      <c r="G690" s="425" t="s">
        <v>1054</v>
      </c>
      <c r="H690" s="426" t="s">
        <v>699</v>
      </c>
      <c r="I690" s="425" t="s">
        <v>1055</v>
      </c>
      <c r="J690" s="424" t="s">
        <v>697</v>
      </c>
      <c r="K690" s="425" t="s">
        <v>995</v>
      </c>
      <c r="L690" s="425" t="s">
        <v>996</v>
      </c>
      <c r="M690" s="425" t="s">
        <v>997</v>
      </c>
      <c r="N690" s="425" t="s">
        <v>558</v>
      </c>
      <c r="O690" s="424" t="s">
        <v>998</v>
      </c>
      <c r="P690" s="425" t="s">
        <v>999</v>
      </c>
      <c r="Q690" s="425" t="s">
        <v>1000</v>
      </c>
      <c r="R690" s="425" t="s">
        <v>1001</v>
      </c>
      <c r="S690" s="425" t="s">
        <v>1002</v>
      </c>
      <c r="T690" s="423">
        <v>2500</v>
      </c>
      <c r="U690" s="423" t="s">
        <v>1041</v>
      </c>
      <c r="V690" s="423">
        <v>20</v>
      </c>
      <c r="W690" s="423">
        <v>0.4</v>
      </c>
      <c r="X690" s="423" t="s">
        <v>1418</v>
      </c>
      <c r="Y690" s="423">
        <v>6</v>
      </c>
      <c r="Z690" s="423" t="s">
        <v>1058</v>
      </c>
      <c r="AD690" s="423">
        <f>IF(ISNUMBER(MATCH(B690,'FICHA SOLIC'!$AB$26:$AB$376,0)),1,0)</f>
        <v>1</v>
      </c>
      <c r="AE690" s="423" t="str">
        <f t="shared" si="10"/>
        <v>La PintanaDR</v>
      </c>
    </row>
    <row r="691" spans="1:31" x14ac:dyDescent="0.25">
      <c r="A691" s="423">
        <v>690</v>
      </c>
      <c r="B691" s="423" t="s">
        <v>414</v>
      </c>
      <c r="C691" s="423" t="s">
        <v>1661</v>
      </c>
      <c r="D691" s="424" t="s">
        <v>990</v>
      </c>
      <c r="E691" s="425" t="s">
        <v>991</v>
      </c>
      <c r="F691" s="425" t="s">
        <v>992</v>
      </c>
      <c r="G691" s="425" t="s">
        <v>1054</v>
      </c>
      <c r="H691" s="426" t="s">
        <v>699</v>
      </c>
      <c r="I691" s="425" t="s">
        <v>1055</v>
      </c>
      <c r="J691" s="424" t="s">
        <v>697</v>
      </c>
      <c r="K691" s="425" t="s">
        <v>995</v>
      </c>
      <c r="L691" s="425" t="s">
        <v>996</v>
      </c>
      <c r="M691" s="425" t="s">
        <v>997</v>
      </c>
      <c r="N691" s="425" t="s">
        <v>558</v>
      </c>
      <c r="O691" s="424" t="s">
        <v>998</v>
      </c>
      <c r="P691" s="425" t="s">
        <v>999</v>
      </c>
      <c r="Q691" s="425" t="s">
        <v>1000</v>
      </c>
      <c r="R691" s="425" t="s">
        <v>1001</v>
      </c>
      <c r="S691" s="425" t="s">
        <v>1002</v>
      </c>
      <c r="T691" s="423">
        <v>1000</v>
      </c>
      <c r="U691" s="423" t="s">
        <v>1041</v>
      </c>
      <c r="V691" s="423">
        <v>60</v>
      </c>
      <c r="W691" s="423">
        <v>3</v>
      </c>
      <c r="X691" s="423">
        <v>21</v>
      </c>
      <c r="Y691" s="423" t="s">
        <v>1041</v>
      </c>
      <c r="Z691" s="423" t="s">
        <v>1058</v>
      </c>
      <c r="AD691" s="423">
        <f>IF(ISNUMBER(MATCH(B691,'FICHA SOLIC'!$AB$26:$AB$376,0)),1,0)</f>
        <v>1</v>
      </c>
      <c r="AE691" s="423" t="str">
        <f t="shared" si="10"/>
        <v>La PintanaEE</v>
      </c>
    </row>
    <row r="692" spans="1:31" x14ac:dyDescent="0.25">
      <c r="A692" s="423">
        <v>691</v>
      </c>
      <c r="B692" s="423" t="s">
        <v>414</v>
      </c>
      <c r="C692" s="423" t="s">
        <v>1667</v>
      </c>
      <c r="D692" s="424" t="s">
        <v>990</v>
      </c>
      <c r="E692" s="425" t="s">
        <v>991</v>
      </c>
      <c r="F692" s="425" t="s">
        <v>992</v>
      </c>
      <c r="G692" s="425" t="s">
        <v>1054</v>
      </c>
      <c r="H692" s="426" t="s">
        <v>699</v>
      </c>
      <c r="I692" s="425" t="s">
        <v>1055</v>
      </c>
      <c r="J692" s="424" t="s">
        <v>697</v>
      </c>
      <c r="K692" s="425" t="s">
        <v>995</v>
      </c>
      <c r="L692" s="425" t="s">
        <v>996</v>
      </c>
      <c r="M692" s="425" t="s">
        <v>997</v>
      </c>
      <c r="N692" s="425" t="s">
        <v>558</v>
      </c>
      <c r="O692" s="424" t="s">
        <v>998</v>
      </c>
      <c r="P692" s="425" t="s">
        <v>999</v>
      </c>
      <c r="Q692" s="425" t="s">
        <v>1000</v>
      </c>
      <c r="R692" s="425" t="s">
        <v>1001</v>
      </c>
      <c r="S692" s="425" t="s">
        <v>1002</v>
      </c>
      <c r="T692" s="423">
        <v>1000</v>
      </c>
      <c r="U692" s="423" t="s">
        <v>1041</v>
      </c>
      <c r="V692" s="423">
        <v>80</v>
      </c>
      <c r="W692" s="423">
        <v>2</v>
      </c>
      <c r="X692" s="423">
        <v>21</v>
      </c>
      <c r="Y692" s="423" t="s">
        <v>1041</v>
      </c>
      <c r="Z692" s="423" t="s">
        <v>1058</v>
      </c>
      <c r="AD692" s="423">
        <f>IF(ISNUMBER(MATCH(B692,'FICHA SOLIC'!$AB$26:$AB$376,0)),1,0)</f>
        <v>1</v>
      </c>
      <c r="AE692" s="423" t="str">
        <f t="shared" si="10"/>
        <v>La PintanaEEX</v>
      </c>
    </row>
    <row r="693" spans="1:31" x14ac:dyDescent="0.25">
      <c r="A693" s="423">
        <v>692</v>
      </c>
      <c r="B693" s="423" t="s">
        <v>414</v>
      </c>
      <c r="C693" s="423" t="s">
        <v>1664</v>
      </c>
      <c r="D693" s="424" t="s">
        <v>990</v>
      </c>
      <c r="E693" s="425" t="s">
        <v>991</v>
      </c>
      <c r="F693" s="425" t="s">
        <v>992</v>
      </c>
      <c r="G693" s="425" t="s">
        <v>1054</v>
      </c>
      <c r="H693" s="426" t="s">
        <v>699</v>
      </c>
      <c r="I693" s="425" t="s">
        <v>1055</v>
      </c>
      <c r="J693" s="424" t="s">
        <v>697</v>
      </c>
      <c r="K693" s="425" t="s">
        <v>995</v>
      </c>
      <c r="L693" s="425" t="s">
        <v>996</v>
      </c>
      <c r="M693" s="425" t="s">
        <v>997</v>
      </c>
      <c r="N693" s="425" t="s">
        <v>558</v>
      </c>
      <c r="O693" s="424" t="s">
        <v>998</v>
      </c>
      <c r="P693" s="425" t="s">
        <v>999</v>
      </c>
      <c r="Q693" s="425" t="s">
        <v>1000</v>
      </c>
      <c r="R693" s="425" t="s">
        <v>1001</v>
      </c>
      <c r="S693" s="425" t="s">
        <v>1002</v>
      </c>
      <c r="T693" s="423">
        <v>2500</v>
      </c>
      <c r="U693" s="423" t="s">
        <v>1041</v>
      </c>
      <c r="V693" s="423">
        <v>30</v>
      </c>
      <c r="W693" s="423">
        <v>0.6</v>
      </c>
      <c r="X693" s="423">
        <v>10.5</v>
      </c>
      <c r="Y693" s="423" t="s">
        <v>1041</v>
      </c>
      <c r="Z693" s="423" t="s">
        <v>1058</v>
      </c>
      <c r="AD693" s="423">
        <f>IF(ISNUMBER(MATCH(B693,'FICHA SOLIC'!$AB$26:$AB$376,0)),1,0)</f>
        <v>1</v>
      </c>
      <c r="AE693" s="423" t="str">
        <f t="shared" si="10"/>
        <v>La PintanaET</v>
      </c>
    </row>
    <row r="694" spans="1:31" x14ac:dyDescent="0.25">
      <c r="A694" s="423">
        <v>693</v>
      </c>
      <c r="B694" s="423" t="s">
        <v>414</v>
      </c>
      <c r="C694" s="423" t="s">
        <v>1520</v>
      </c>
      <c r="D694" s="424" t="s">
        <v>990</v>
      </c>
      <c r="E694" s="425" t="s">
        <v>991</v>
      </c>
      <c r="F694" s="425" t="s">
        <v>992</v>
      </c>
      <c r="G694" s="425" t="s">
        <v>1054</v>
      </c>
      <c r="H694" s="426" t="s">
        <v>699</v>
      </c>
      <c r="I694" s="425" t="s">
        <v>1055</v>
      </c>
      <c r="J694" s="424" t="s">
        <v>697</v>
      </c>
      <c r="K694" s="425" t="s">
        <v>995</v>
      </c>
      <c r="L694" s="425" t="s">
        <v>996</v>
      </c>
      <c r="M694" s="425" t="s">
        <v>997</v>
      </c>
      <c r="N694" s="425" t="s">
        <v>558</v>
      </c>
      <c r="O694" s="424" t="s">
        <v>998</v>
      </c>
      <c r="P694" s="425" t="s">
        <v>999</v>
      </c>
      <c r="Q694" s="425" t="s">
        <v>1000</v>
      </c>
      <c r="R694" s="425" t="s">
        <v>1001</v>
      </c>
      <c r="S694" s="425" t="s">
        <v>1002</v>
      </c>
      <c r="T694" s="423">
        <v>1000</v>
      </c>
      <c r="U694" s="423" t="s">
        <v>1041</v>
      </c>
      <c r="V694" s="423">
        <v>30</v>
      </c>
      <c r="W694" s="423">
        <v>2</v>
      </c>
      <c r="X694" s="423" t="s">
        <v>1026</v>
      </c>
      <c r="Y694" s="423" t="s">
        <v>1041</v>
      </c>
      <c r="Z694" s="423" t="s">
        <v>1058</v>
      </c>
      <c r="AD694" s="423">
        <f>IF(ISNUMBER(MATCH(B694,'FICHA SOLIC'!$AB$26:$AB$376,0)),1,0)</f>
        <v>1</v>
      </c>
      <c r="AE694" s="423" t="str">
        <f t="shared" si="10"/>
        <v>La PintanaHA</v>
      </c>
    </row>
    <row r="695" spans="1:31" x14ac:dyDescent="0.25">
      <c r="A695" s="423">
        <v>694</v>
      </c>
      <c r="B695" s="423" t="s">
        <v>414</v>
      </c>
      <c r="C695" s="423" t="s">
        <v>1666</v>
      </c>
      <c r="D695" s="424" t="s">
        <v>990</v>
      </c>
      <c r="E695" s="425" t="s">
        <v>991</v>
      </c>
      <c r="F695" s="425" t="s">
        <v>992</v>
      </c>
      <c r="G695" s="425" t="s">
        <v>1054</v>
      </c>
      <c r="H695" s="426" t="s">
        <v>699</v>
      </c>
      <c r="I695" s="425" t="s">
        <v>1055</v>
      </c>
      <c r="J695" s="424" t="s">
        <v>697</v>
      </c>
      <c r="K695" s="425" t="s">
        <v>995</v>
      </c>
      <c r="L695" s="425" t="s">
        <v>996</v>
      </c>
      <c r="M695" s="425" t="s">
        <v>997</v>
      </c>
      <c r="N695" s="425" t="s">
        <v>558</v>
      </c>
      <c r="O695" s="424" t="s">
        <v>998</v>
      </c>
      <c r="P695" s="425" t="s">
        <v>999</v>
      </c>
      <c r="Q695" s="425" t="s">
        <v>1000</v>
      </c>
      <c r="R695" s="425" t="s">
        <v>1001</v>
      </c>
      <c r="S695" s="425" t="s">
        <v>1002</v>
      </c>
      <c r="T695" s="423">
        <v>1000</v>
      </c>
      <c r="U695" s="423" t="s">
        <v>1041</v>
      </c>
      <c r="V695" s="423">
        <v>30</v>
      </c>
      <c r="W695" s="423">
        <v>2</v>
      </c>
      <c r="X695" s="423">
        <v>21</v>
      </c>
      <c r="Y695" s="423" t="s">
        <v>1041</v>
      </c>
      <c r="Z695" s="423" t="s">
        <v>1058</v>
      </c>
      <c r="AD695" s="423">
        <f>IF(ISNUMBER(MATCH(B695,'FICHA SOLIC'!$AB$26:$AB$376,0)),1,0)</f>
        <v>1</v>
      </c>
      <c r="AE695" s="423" t="str">
        <f t="shared" si="10"/>
        <v>La PintanaHAX</v>
      </c>
    </row>
    <row r="696" spans="1:31" x14ac:dyDescent="0.25">
      <c r="A696" s="423">
        <v>695</v>
      </c>
      <c r="B696" s="423" t="s">
        <v>414</v>
      </c>
      <c r="C696" s="423" t="s">
        <v>1656</v>
      </c>
      <c r="D696" s="424" t="s">
        <v>990</v>
      </c>
      <c r="E696" s="425" t="s">
        <v>991</v>
      </c>
      <c r="F696" s="425" t="s">
        <v>992</v>
      </c>
      <c r="G696" s="425" t="s">
        <v>1054</v>
      </c>
      <c r="H696" s="426" t="s">
        <v>699</v>
      </c>
      <c r="I696" s="425" t="s">
        <v>1055</v>
      </c>
      <c r="J696" s="424" t="s">
        <v>697</v>
      </c>
      <c r="K696" s="425" t="s">
        <v>995</v>
      </c>
      <c r="L696" s="425" t="s">
        <v>996</v>
      </c>
      <c r="M696" s="425" t="s">
        <v>997</v>
      </c>
      <c r="N696" s="425" t="s">
        <v>558</v>
      </c>
      <c r="O696" s="424" t="s">
        <v>998</v>
      </c>
      <c r="P696" s="425" t="s">
        <v>999</v>
      </c>
      <c r="Q696" s="425" t="s">
        <v>1000</v>
      </c>
      <c r="R696" s="425" t="s">
        <v>1001</v>
      </c>
      <c r="S696" s="425" t="s">
        <v>1002</v>
      </c>
      <c r="T696" s="423">
        <v>160</v>
      </c>
      <c r="U696" s="423" t="s">
        <v>1041</v>
      </c>
      <c r="V696" s="423">
        <v>80</v>
      </c>
      <c r="W696" s="423">
        <v>1.6</v>
      </c>
      <c r="X696" s="423">
        <v>7</v>
      </c>
      <c r="Y696" s="423" t="s">
        <v>1041</v>
      </c>
      <c r="Z696" s="423" t="s">
        <v>1059</v>
      </c>
      <c r="AD696" s="423">
        <f>IF(ISNUMBER(MATCH(B696,'FICHA SOLIC'!$AB$26:$AB$376,0)),1,0)</f>
        <v>1</v>
      </c>
      <c r="AE696" s="423" t="str">
        <f t="shared" si="10"/>
        <v>La PintanaHM</v>
      </c>
    </row>
    <row r="697" spans="1:31" x14ac:dyDescent="0.25">
      <c r="A697" s="423">
        <v>696</v>
      </c>
      <c r="B697" s="423" t="s">
        <v>414</v>
      </c>
      <c r="C697" s="423" t="s">
        <v>1657</v>
      </c>
      <c r="D697" s="424" t="s">
        <v>990</v>
      </c>
      <c r="E697" s="425" t="s">
        <v>991</v>
      </c>
      <c r="F697" s="425" t="s">
        <v>992</v>
      </c>
      <c r="G697" s="425" t="s">
        <v>1054</v>
      </c>
      <c r="H697" s="426" t="s">
        <v>699</v>
      </c>
      <c r="I697" s="425" t="s">
        <v>1055</v>
      </c>
      <c r="J697" s="424" t="s">
        <v>697</v>
      </c>
      <c r="K697" s="425" t="s">
        <v>995</v>
      </c>
      <c r="L697" s="425" t="s">
        <v>996</v>
      </c>
      <c r="M697" s="425" t="s">
        <v>997</v>
      </c>
      <c r="N697" s="425" t="s">
        <v>558</v>
      </c>
      <c r="O697" s="424" t="s">
        <v>998</v>
      </c>
      <c r="P697" s="425" t="s">
        <v>999</v>
      </c>
      <c r="Q697" s="425" t="s">
        <v>1000</v>
      </c>
      <c r="R697" s="425" t="s">
        <v>1001</v>
      </c>
      <c r="S697" s="425" t="s">
        <v>1002</v>
      </c>
      <c r="T697" s="423">
        <v>320</v>
      </c>
      <c r="U697" s="423" t="s">
        <v>1041</v>
      </c>
      <c r="V697" s="423">
        <v>40</v>
      </c>
      <c r="W697" s="423">
        <v>1.6</v>
      </c>
      <c r="X697" s="423">
        <v>7</v>
      </c>
      <c r="Y697" s="423" t="s">
        <v>1041</v>
      </c>
      <c r="Z697" s="423" t="s">
        <v>1059</v>
      </c>
      <c r="AD697" s="423">
        <f>IF(ISNUMBER(MATCH(B697,'FICHA SOLIC'!$AB$26:$AB$376,0)),1,0)</f>
        <v>1</v>
      </c>
      <c r="AE697" s="423" t="str">
        <f t="shared" si="10"/>
        <v>La PintanaHM1</v>
      </c>
    </row>
    <row r="698" spans="1:31" x14ac:dyDescent="0.25">
      <c r="A698" s="423">
        <v>697</v>
      </c>
      <c r="B698" s="423" t="s">
        <v>414</v>
      </c>
      <c r="C698" s="423" t="s">
        <v>1658</v>
      </c>
      <c r="D698" s="424" t="s">
        <v>990</v>
      </c>
      <c r="E698" s="425" t="s">
        <v>991</v>
      </c>
      <c r="F698" s="425" t="s">
        <v>992</v>
      </c>
      <c r="G698" s="425" t="s">
        <v>1054</v>
      </c>
      <c r="H698" s="426" t="s">
        <v>699</v>
      </c>
      <c r="I698" s="425" t="s">
        <v>1055</v>
      </c>
      <c r="J698" s="424" t="s">
        <v>697</v>
      </c>
      <c r="K698" s="425" t="s">
        <v>995</v>
      </c>
      <c r="L698" s="425" t="s">
        <v>996</v>
      </c>
      <c r="M698" s="425" t="s">
        <v>997</v>
      </c>
      <c r="N698" s="425" t="s">
        <v>558</v>
      </c>
      <c r="O698" s="424" t="s">
        <v>998</v>
      </c>
      <c r="P698" s="425" t="s">
        <v>999</v>
      </c>
      <c r="Q698" s="425" t="s">
        <v>1000</v>
      </c>
      <c r="R698" s="425" t="s">
        <v>1001</v>
      </c>
      <c r="S698" s="425" t="s">
        <v>1002</v>
      </c>
      <c r="T698" s="423">
        <v>500</v>
      </c>
      <c r="U698" s="423" t="s">
        <v>1041</v>
      </c>
      <c r="V698" s="423">
        <v>60</v>
      </c>
      <c r="W698" s="423">
        <v>1.2</v>
      </c>
      <c r="X698" s="423">
        <v>7</v>
      </c>
      <c r="Y698" s="423" t="s">
        <v>1041</v>
      </c>
      <c r="Z698" s="423" t="s">
        <v>1059</v>
      </c>
      <c r="AD698" s="423">
        <f>IF(ISNUMBER(MATCH(B698,'FICHA SOLIC'!$AB$26:$AB$376,0)),1,0)</f>
        <v>1</v>
      </c>
      <c r="AE698" s="423" t="str">
        <f t="shared" si="10"/>
        <v>La PintanaHP</v>
      </c>
    </row>
    <row r="699" spans="1:31" x14ac:dyDescent="0.25">
      <c r="A699" s="423">
        <v>698</v>
      </c>
      <c r="B699" s="423" t="s">
        <v>414</v>
      </c>
      <c r="C699" s="423" t="s">
        <v>1670</v>
      </c>
      <c r="D699" s="424" t="s">
        <v>990</v>
      </c>
      <c r="E699" s="425" t="s">
        <v>991</v>
      </c>
      <c r="F699" s="425" t="s">
        <v>992</v>
      </c>
      <c r="G699" s="425" t="s">
        <v>1054</v>
      </c>
      <c r="H699" s="426" t="s">
        <v>699</v>
      </c>
      <c r="I699" s="425" t="s">
        <v>1055</v>
      </c>
      <c r="J699" s="424" t="s">
        <v>697</v>
      </c>
      <c r="K699" s="425" t="s">
        <v>995</v>
      </c>
      <c r="L699" s="425" t="s">
        <v>996</v>
      </c>
      <c r="M699" s="425" t="s">
        <v>997</v>
      </c>
      <c r="N699" s="425" t="s">
        <v>558</v>
      </c>
      <c r="O699" s="424" t="s">
        <v>998</v>
      </c>
      <c r="P699" s="425" t="s">
        <v>999</v>
      </c>
      <c r="Q699" s="425" t="s">
        <v>1000</v>
      </c>
      <c r="R699" s="425" t="s">
        <v>1001</v>
      </c>
      <c r="S699" s="425" t="s">
        <v>1002</v>
      </c>
      <c r="T699" s="423">
        <v>2500</v>
      </c>
      <c r="U699" s="423" t="s">
        <v>1041</v>
      </c>
      <c r="V699" s="423">
        <v>70</v>
      </c>
      <c r="W699" s="423">
        <v>1.4</v>
      </c>
      <c r="X699" s="423">
        <v>10.5</v>
      </c>
      <c r="Y699" s="423">
        <v>5</v>
      </c>
      <c r="Z699" s="423" t="s">
        <v>1058</v>
      </c>
      <c r="AD699" s="423">
        <f>IF(ISNUMBER(MATCH(B699,'FICHA SOLIC'!$AB$26:$AB$376,0)),1,0)</f>
        <v>1</v>
      </c>
      <c r="AE699" s="423" t="str">
        <f t="shared" si="10"/>
        <v>La PintanaIMX</v>
      </c>
    </row>
    <row r="700" spans="1:31" x14ac:dyDescent="0.25">
      <c r="A700" s="423">
        <v>699</v>
      </c>
      <c r="B700" s="423" t="s">
        <v>414</v>
      </c>
      <c r="C700" s="423" t="s">
        <v>1659</v>
      </c>
      <c r="D700" s="424" t="s">
        <v>990</v>
      </c>
      <c r="E700" s="425" t="s">
        <v>991</v>
      </c>
      <c r="F700" s="425" t="s">
        <v>992</v>
      </c>
      <c r="G700" s="425" t="s">
        <v>1054</v>
      </c>
      <c r="H700" s="426" t="s">
        <v>699</v>
      </c>
      <c r="I700" s="425" t="s">
        <v>1055</v>
      </c>
      <c r="J700" s="424" t="s">
        <v>697</v>
      </c>
      <c r="K700" s="425" t="s">
        <v>995</v>
      </c>
      <c r="L700" s="425" t="s">
        <v>996</v>
      </c>
      <c r="M700" s="425" t="s">
        <v>997</v>
      </c>
      <c r="N700" s="425" t="s">
        <v>558</v>
      </c>
      <c r="O700" s="424" t="s">
        <v>998</v>
      </c>
      <c r="P700" s="425" t="s">
        <v>999</v>
      </c>
      <c r="Q700" s="425" t="s">
        <v>1000</v>
      </c>
      <c r="R700" s="425" t="s">
        <v>1001</v>
      </c>
      <c r="S700" s="425" t="s">
        <v>1002</v>
      </c>
      <c r="T700" s="423">
        <v>160</v>
      </c>
      <c r="U700" s="423" t="s">
        <v>1041</v>
      </c>
      <c r="V700" s="423">
        <v>80</v>
      </c>
      <c r="W700" s="423">
        <v>2</v>
      </c>
      <c r="X700" s="423">
        <v>14</v>
      </c>
      <c r="Y700" s="423" t="s">
        <v>1041</v>
      </c>
      <c r="Z700" s="423" t="s">
        <v>1059</v>
      </c>
      <c r="AD700" s="423">
        <f>IF(ISNUMBER(MATCH(B700,'FICHA SOLIC'!$AB$26:$AB$376,0)),1,0)</f>
        <v>1</v>
      </c>
      <c r="AE700" s="423" t="str">
        <f t="shared" si="10"/>
        <v>La PintanaMH</v>
      </c>
    </row>
    <row r="701" spans="1:31" x14ac:dyDescent="0.25">
      <c r="A701" s="423">
        <v>700</v>
      </c>
      <c r="B701" s="423" t="s">
        <v>414</v>
      </c>
      <c r="C701" s="423" t="s">
        <v>1660</v>
      </c>
      <c r="D701" s="424" t="s">
        <v>990</v>
      </c>
      <c r="E701" s="425" t="s">
        <v>991</v>
      </c>
      <c r="F701" s="425" t="s">
        <v>992</v>
      </c>
      <c r="G701" s="425" t="s">
        <v>1054</v>
      </c>
      <c r="H701" s="426" t="s">
        <v>699</v>
      </c>
      <c r="I701" s="425" t="s">
        <v>1055</v>
      </c>
      <c r="J701" s="424" t="s">
        <v>697</v>
      </c>
      <c r="K701" s="425" t="s">
        <v>995</v>
      </c>
      <c r="L701" s="425" t="s">
        <v>996</v>
      </c>
      <c r="M701" s="425" t="s">
        <v>997</v>
      </c>
      <c r="N701" s="425" t="s">
        <v>558</v>
      </c>
      <c r="O701" s="424" t="s">
        <v>998</v>
      </c>
      <c r="P701" s="425" t="s">
        <v>999</v>
      </c>
      <c r="Q701" s="425" t="s">
        <v>1000</v>
      </c>
      <c r="R701" s="425" t="s">
        <v>1001</v>
      </c>
      <c r="S701" s="425" t="s">
        <v>1002</v>
      </c>
      <c r="T701" s="423">
        <v>320</v>
      </c>
      <c r="U701" s="423" t="s">
        <v>1041</v>
      </c>
      <c r="V701" s="423">
        <v>60</v>
      </c>
      <c r="W701" s="423">
        <v>2</v>
      </c>
      <c r="X701" s="423">
        <v>17.5</v>
      </c>
      <c r="Y701" s="423" t="s">
        <v>1041</v>
      </c>
      <c r="Z701" s="423" t="s">
        <v>1059</v>
      </c>
      <c r="AD701" s="423">
        <f>IF(ISNUMBER(MATCH(B701,'FICHA SOLIC'!$AB$26:$AB$376,0)),1,0)</f>
        <v>1</v>
      </c>
      <c r="AE701" s="423" t="str">
        <f t="shared" si="10"/>
        <v>La PintanaMH1</v>
      </c>
    </row>
    <row r="702" spans="1:31" x14ac:dyDescent="0.25">
      <c r="A702" s="423">
        <v>701</v>
      </c>
      <c r="B702" s="423" t="s">
        <v>414</v>
      </c>
      <c r="C702" s="423" t="s">
        <v>1665</v>
      </c>
      <c r="D702" s="424" t="s">
        <v>990</v>
      </c>
      <c r="E702" s="425" t="s">
        <v>991</v>
      </c>
      <c r="F702" s="425" t="s">
        <v>992</v>
      </c>
      <c r="G702" s="425" t="s">
        <v>1054</v>
      </c>
      <c r="H702" s="426" t="s">
        <v>699</v>
      </c>
      <c r="I702" s="425" t="s">
        <v>1055</v>
      </c>
      <c r="J702" s="424" t="s">
        <v>697</v>
      </c>
      <c r="K702" s="425" t="s">
        <v>995</v>
      </c>
      <c r="L702" s="425" t="s">
        <v>996</v>
      </c>
      <c r="M702" s="425" t="s">
        <v>997</v>
      </c>
      <c r="N702" s="425" t="s">
        <v>558</v>
      </c>
      <c r="O702" s="424" t="s">
        <v>998</v>
      </c>
      <c r="P702" s="425" t="s">
        <v>999</v>
      </c>
      <c r="Q702" s="425" t="s">
        <v>1000</v>
      </c>
      <c r="R702" s="425" t="s">
        <v>1001</v>
      </c>
      <c r="S702" s="425" t="s">
        <v>1002</v>
      </c>
      <c r="T702" s="423">
        <v>400</v>
      </c>
      <c r="U702" s="423" t="s">
        <v>1041</v>
      </c>
      <c r="V702" s="423">
        <v>70</v>
      </c>
      <c r="W702" s="423">
        <v>2</v>
      </c>
      <c r="X702" s="423">
        <v>10.5</v>
      </c>
      <c r="Y702" s="423" t="s">
        <v>1041</v>
      </c>
      <c r="Z702" s="423" t="s">
        <v>1058</v>
      </c>
      <c r="AD702" s="423">
        <f>IF(ISNUMBER(MATCH(B702,'FICHA SOLIC'!$AB$26:$AB$376,0)),1,0)</f>
        <v>1</v>
      </c>
      <c r="AE702" s="423" t="str">
        <f t="shared" si="10"/>
        <v>La PintanaMT</v>
      </c>
    </row>
    <row r="703" spans="1:31" x14ac:dyDescent="0.25">
      <c r="A703" s="423">
        <v>702</v>
      </c>
      <c r="B703" s="423" t="s">
        <v>414</v>
      </c>
      <c r="C703" s="423" t="s">
        <v>1668</v>
      </c>
      <c r="D703" s="424" t="s">
        <v>990</v>
      </c>
      <c r="E703" s="425" t="s">
        <v>991</v>
      </c>
      <c r="F703" s="425" t="s">
        <v>992</v>
      </c>
      <c r="G703" s="425" t="s">
        <v>1054</v>
      </c>
      <c r="H703" s="426" t="s">
        <v>699</v>
      </c>
      <c r="I703" s="425" t="s">
        <v>1055</v>
      </c>
      <c r="J703" s="424" t="s">
        <v>697</v>
      </c>
      <c r="K703" s="425" t="s">
        <v>995</v>
      </c>
      <c r="L703" s="425" t="s">
        <v>996</v>
      </c>
      <c r="M703" s="425" t="s">
        <v>997</v>
      </c>
      <c r="N703" s="425" t="s">
        <v>558</v>
      </c>
      <c r="O703" s="424" t="s">
        <v>998</v>
      </c>
      <c r="P703" s="425" t="s">
        <v>999</v>
      </c>
      <c r="Q703" s="425" t="s">
        <v>1000</v>
      </c>
      <c r="R703" s="425" t="s">
        <v>1001</v>
      </c>
      <c r="S703" s="425" t="s">
        <v>1002</v>
      </c>
      <c r="T703" s="423">
        <v>70000</v>
      </c>
      <c r="U703" s="423" t="s">
        <v>1041</v>
      </c>
      <c r="V703" s="423">
        <v>15</v>
      </c>
      <c r="W703" s="423">
        <v>0.5</v>
      </c>
      <c r="X703" s="423">
        <v>14</v>
      </c>
      <c r="Y703" s="423">
        <v>25</v>
      </c>
      <c r="Z703" s="423" t="s">
        <v>1058</v>
      </c>
      <c r="AD703" s="423">
        <f>IF(ISNUMBER(MATCH(B703,'FICHA SOLIC'!$AB$26:$AB$376,0)),1,0)</f>
        <v>1</v>
      </c>
      <c r="AE703" s="423" t="str">
        <f t="shared" si="10"/>
        <v>La PintanaREC</v>
      </c>
    </row>
    <row r="704" spans="1:31" x14ac:dyDescent="0.25">
      <c r="A704" s="423">
        <v>703</v>
      </c>
      <c r="B704" s="423" t="s">
        <v>415</v>
      </c>
      <c r="C704" s="423" t="s">
        <v>1177</v>
      </c>
      <c r="D704" s="424" t="s">
        <v>990</v>
      </c>
      <c r="E704" s="425" t="s">
        <v>991</v>
      </c>
      <c r="F704" s="425" t="s">
        <v>992</v>
      </c>
      <c r="G704" s="425" t="s">
        <v>993</v>
      </c>
      <c r="H704" s="426" t="s">
        <v>489</v>
      </c>
      <c r="I704" s="425" t="s">
        <v>994</v>
      </c>
      <c r="J704" s="424" t="s">
        <v>697</v>
      </c>
      <c r="K704" s="425" t="s">
        <v>995</v>
      </c>
      <c r="L704" s="425" t="s">
        <v>996</v>
      </c>
      <c r="M704" s="425" t="s">
        <v>997</v>
      </c>
      <c r="N704" s="425" t="s">
        <v>558</v>
      </c>
      <c r="O704" s="424" t="s">
        <v>998</v>
      </c>
      <c r="P704" s="425" t="s">
        <v>999</v>
      </c>
      <c r="Q704" s="425" t="s">
        <v>1000</v>
      </c>
      <c r="R704" s="425" t="s">
        <v>1001</v>
      </c>
      <c r="S704" s="425" t="s">
        <v>1002</v>
      </c>
      <c r="T704" s="423">
        <v>300</v>
      </c>
      <c r="U704" s="423">
        <v>10</v>
      </c>
      <c r="V704" s="423">
        <v>20</v>
      </c>
      <c r="W704" s="423">
        <v>0.6</v>
      </c>
      <c r="X704" s="423">
        <v>9</v>
      </c>
      <c r="Y704" s="423">
        <v>1.4</v>
      </c>
      <c r="Z704" s="423" t="s">
        <v>1057</v>
      </c>
      <c r="AD704" s="423">
        <f>IF(ISNUMBER(MATCH(B704,'FICHA SOLIC'!$AB$26:$AB$376,0)),1,0)</f>
        <v>1</v>
      </c>
      <c r="AE704" s="423" t="str">
        <f t="shared" si="10"/>
        <v>La ReinaA</v>
      </c>
    </row>
    <row r="705" spans="1:31" x14ac:dyDescent="0.25">
      <c r="A705" s="423">
        <v>704</v>
      </c>
      <c r="B705" s="423" t="s">
        <v>415</v>
      </c>
      <c r="C705" s="423" t="s">
        <v>1178</v>
      </c>
      <c r="D705" s="424" t="s">
        <v>990</v>
      </c>
      <c r="E705" s="425" t="s">
        <v>991</v>
      </c>
      <c r="F705" s="425" t="s">
        <v>992</v>
      </c>
      <c r="G705" s="425" t="s">
        <v>993</v>
      </c>
      <c r="H705" s="426" t="s">
        <v>489</v>
      </c>
      <c r="I705" s="425" t="s">
        <v>994</v>
      </c>
      <c r="J705" s="424" t="s">
        <v>697</v>
      </c>
      <c r="K705" s="425" t="s">
        <v>995</v>
      </c>
      <c r="L705" s="425" t="s">
        <v>996</v>
      </c>
      <c r="M705" s="425" t="s">
        <v>997</v>
      </c>
      <c r="N705" s="425" t="s">
        <v>558</v>
      </c>
      <c r="O705" s="424" t="s">
        <v>998</v>
      </c>
      <c r="P705" s="425" t="s">
        <v>999</v>
      </c>
      <c r="Q705" s="425" t="s">
        <v>1000</v>
      </c>
      <c r="R705" s="425" t="s">
        <v>1001</v>
      </c>
      <c r="S705" s="425" t="s">
        <v>1002</v>
      </c>
      <c r="T705" s="423">
        <v>7000</v>
      </c>
      <c r="U705" s="423">
        <v>50</v>
      </c>
      <c r="V705" s="423">
        <v>70</v>
      </c>
      <c r="W705" s="423" t="s">
        <v>1026</v>
      </c>
      <c r="X705" s="423" t="s">
        <v>1151</v>
      </c>
      <c r="Y705" s="423">
        <v>15</v>
      </c>
      <c r="Z705" s="423" t="s">
        <v>1058</v>
      </c>
      <c r="AD705" s="423">
        <f>IF(ISNUMBER(MATCH(B705,'FICHA SOLIC'!$AB$26:$AB$376,0)),1,0)</f>
        <v>1</v>
      </c>
      <c r="AE705" s="423" t="str">
        <f t="shared" si="10"/>
        <v>La ReinaB</v>
      </c>
    </row>
    <row r="706" spans="1:31" x14ac:dyDescent="0.25">
      <c r="A706" s="423">
        <v>705</v>
      </c>
      <c r="B706" s="423" t="s">
        <v>415</v>
      </c>
      <c r="C706" s="423" t="s">
        <v>1060</v>
      </c>
      <c r="D706" s="424" t="s">
        <v>990</v>
      </c>
      <c r="E706" s="425" t="s">
        <v>991</v>
      </c>
      <c r="F706" s="425" t="s">
        <v>992</v>
      </c>
      <c r="G706" s="425" t="s">
        <v>993</v>
      </c>
      <c r="H706" s="426" t="s">
        <v>489</v>
      </c>
      <c r="I706" s="425" t="s">
        <v>994</v>
      </c>
      <c r="J706" s="424" t="s">
        <v>697</v>
      </c>
      <c r="K706" s="425" t="s">
        <v>995</v>
      </c>
      <c r="L706" s="425" t="s">
        <v>996</v>
      </c>
      <c r="M706" s="425" t="s">
        <v>997</v>
      </c>
      <c r="N706" s="425" t="s">
        <v>558</v>
      </c>
      <c r="O706" s="424" t="s">
        <v>998</v>
      </c>
      <c r="P706" s="425" t="s">
        <v>999</v>
      </c>
      <c r="Q706" s="425" t="s">
        <v>1000</v>
      </c>
      <c r="R706" s="425" t="s">
        <v>1001</v>
      </c>
      <c r="S706" s="425" t="s">
        <v>1002</v>
      </c>
      <c r="T706" s="423">
        <v>300</v>
      </c>
      <c r="U706" s="423">
        <v>20</v>
      </c>
      <c r="V706" s="423">
        <v>25</v>
      </c>
      <c r="W706" s="423">
        <v>0.6</v>
      </c>
      <c r="X706" s="423">
        <v>9</v>
      </c>
      <c r="Y706" s="423" t="s">
        <v>1041</v>
      </c>
      <c r="Z706" s="423" t="s">
        <v>1057</v>
      </c>
      <c r="AD706" s="423">
        <f>IF(ISNUMBER(MATCH(B706,'FICHA SOLIC'!$AB$26:$AB$376,0)),1,0)</f>
        <v>1</v>
      </c>
      <c r="AE706" s="423" t="str">
        <f t="shared" si="10"/>
        <v>La ReinaC</v>
      </c>
    </row>
    <row r="707" spans="1:31" x14ac:dyDescent="0.25">
      <c r="A707" s="423">
        <v>706</v>
      </c>
      <c r="B707" s="423" t="s">
        <v>415</v>
      </c>
      <c r="C707" s="423" t="s">
        <v>1179</v>
      </c>
      <c r="D707" s="424" t="s">
        <v>990</v>
      </c>
      <c r="E707" s="425" t="s">
        <v>991</v>
      </c>
      <c r="F707" s="425" t="s">
        <v>992</v>
      </c>
      <c r="G707" s="425" t="s">
        <v>993</v>
      </c>
      <c r="H707" s="426" t="s">
        <v>489</v>
      </c>
      <c r="I707" s="425" t="s">
        <v>994</v>
      </c>
      <c r="J707" s="424" t="s">
        <v>697</v>
      </c>
      <c r="K707" s="425" t="s">
        <v>995</v>
      </c>
      <c r="L707" s="425" t="s">
        <v>996</v>
      </c>
      <c r="M707" s="425" t="s">
        <v>997</v>
      </c>
      <c r="N707" s="425" t="s">
        <v>558</v>
      </c>
      <c r="O707" s="424" t="s">
        <v>998</v>
      </c>
      <c r="P707" s="425" t="s">
        <v>999</v>
      </c>
      <c r="Q707" s="425" t="s">
        <v>1000</v>
      </c>
      <c r="R707" s="425" t="s">
        <v>1001</v>
      </c>
      <c r="S707" s="425" t="s">
        <v>1002</v>
      </c>
      <c r="T707" s="423">
        <v>600</v>
      </c>
      <c r="U707" s="423">
        <v>20</v>
      </c>
      <c r="V707" s="423">
        <v>25</v>
      </c>
      <c r="W707" s="423">
        <v>0.6</v>
      </c>
      <c r="X707" s="423">
        <v>9</v>
      </c>
      <c r="Y707" s="423">
        <v>1.4</v>
      </c>
      <c r="Z707" s="423" t="s">
        <v>1057</v>
      </c>
      <c r="AD707" s="423">
        <f>IF(ISNUMBER(MATCH(B707,'FICHA SOLIC'!$AB$26:$AB$376,0)),1,0)</f>
        <v>1</v>
      </c>
      <c r="AE707" s="423" t="str">
        <f t="shared" ref="AE707:AE770" si="11">B707&amp;C707</f>
        <v>La ReinaD</v>
      </c>
    </row>
    <row r="708" spans="1:31" x14ac:dyDescent="0.25">
      <c r="A708" s="423">
        <v>707</v>
      </c>
      <c r="B708" s="423" t="s">
        <v>415</v>
      </c>
      <c r="C708" s="423" t="s">
        <v>1250</v>
      </c>
      <c r="D708" s="424" t="s">
        <v>990</v>
      </c>
      <c r="E708" s="425" t="s">
        <v>991</v>
      </c>
      <c r="F708" s="425" t="s">
        <v>992</v>
      </c>
      <c r="G708" s="425" t="s">
        <v>993</v>
      </c>
      <c r="H708" s="426" t="s">
        <v>489</v>
      </c>
      <c r="I708" s="425" t="s">
        <v>994</v>
      </c>
      <c r="J708" s="424" t="s">
        <v>697</v>
      </c>
      <c r="K708" s="425" t="s">
        <v>995</v>
      </c>
      <c r="L708" s="425" t="s">
        <v>996</v>
      </c>
      <c r="M708" s="425" t="s">
        <v>997</v>
      </c>
      <c r="N708" s="425" t="s">
        <v>558</v>
      </c>
      <c r="O708" s="424" t="s">
        <v>998</v>
      </c>
      <c r="P708" s="425" t="s">
        <v>999</v>
      </c>
      <c r="Q708" s="425" t="s">
        <v>1000</v>
      </c>
      <c r="R708" s="425" t="s">
        <v>1001</v>
      </c>
      <c r="S708" s="425" t="s">
        <v>1002</v>
      </c>
      <c r="T708" s="423">
        <v>100</v>
      </c>
      <c r="U708" s="423">
        <v>5</v>
      </c>
      <c r="V708" s="423">
        <v>80</v>
      </c>
      <c r="W708" s="423">
        <v>1.6</v>
      </c>
      <c r="X708" s="423">
        <v>7</v>
      </c>
      <c r="Y708" s="423">
        <v>1.4</v>
      </c>
      <c r="Z708" s="423" t="s">
        <v>1270</v>
      </c>
      <c r="AD708" s="423">
        <f>IF(ISNUMBER(MATCH(B708,'FICHA SOLIC'!$AB$26:$AB$376,0)),1,0)</f>
        <v>1</v>
      </c>
      <c r="AE708" s="423" t="str">
        <f t="shared" si="11"/>
        <v>La ReinaE</v>
      </c>
    </row>
    <row r="709" spans="1:31" x14ac:dyDescent="0.25">
      <c r="A709" s="423">
        <v>708</v>
      </c>
      <c r="B709" s="423" t="s">
        <v>415</v>
      </c>
      <c r="C709" s="423" t="s">
        <v>1180</v>
      </c>
      <c r="D709" s="424" t="s">
        <v>990</v>
      </c>
      <c r="E709" s="425" t="s">
        <v>991</v>
      </c>
      <c r="F709" s="425" t="s">
        <v>992</v>
      </c>
      <c r="G709" s="425" t="s">
        <v>993</v>
      </c>
      <c r="H709" s="426" t="s">
        <v>489</v>
      </c>
      <c r="I709" s="425" t="s">
        <v>994</v>
      </c>
      <c r="J709" s="424" t="s">
        <v>697</v>
      </c>
      <c r="K709" s="425" t="s">
        <v>995</v>
      </c>
      <c r="L709" s="425" t="s">
        <v>996</v>
      </c>
      <c r="M709" s="425" t="s">
        <v>997</v>
      </c>
      <c r="N709" s="425" t="s">
        <v>558</v>
      </c>
      <c r="O709" s="424" t="s">
        <v>998</v>
      </c>
      <c r="P709" s="425" t="s">
        <v>999</v>
      </c>
      <c r="Q709" s="425" t="s">
        <v>1000</v>
      </c>
      <c r="R709" s="425" t="s">
        <v>1001</v>
      </c>
      <c r="S709" s="425" t="s">
        <v>1002</v>
      </c>
      <c r="T709" s="423">
        <v>1500</v>
      </c>
      <c r="U709" s="423">
        <v>25</v>
      </c>
      <c r="V709" s="423">
        <v>70</v>
      </c>
      <c r="W709" s="423">
        <v>1.4</v>
      </c>
      <c r="X709" s="423">
        <v>14</v>
      </c>
      <c r="Z709" s="423" t="s">
        <v>1058</v>
      </c>
      <c r="AD709" s="423">
        <f>IF(ISNUMBER(MATCH(B709,'FICHA SOLIC'!$AB$26:$AB$376,0)),1,0)</f>
        <v>1</v>
      </c>
      <c r="AE709" s="423" t="str">
        <f t="shared" si="11"/>
        <v>La ReinaF</v>
      </c>
    </row>
    <row r="710" spans="1:31" x14ac:dyDescent="0.25">
      <c r="A710" s="423">
        <v>709</v>
      </c>
      <c r="B710" s="423" t="s">
        <v>415</v>
      </c>
      <c r="C710" s="423" t="s">
        <v>1181</v>
      </c>
      <c r="D710" s="424" t="s">
        <v>990</v>
      </c>
      <c r="E710" s="425" t="s">
        <v>991</v>
      </c>
      <c r="F710" s="425" t="s">
        <v>992</v>
      </c>
      <c r="G710" s="425" t="s">
        <v>993</v>
      </c>
      <c r="H710" s="426" t="s">
        <v>489</v>
      </c>
      <c r="I710" s="425" t="s">
        <v>994</v>
      </c>
      <c r="J710" s="424" t="s">
        <v>697</v>
      </c>
      <c r="K710" s="425" t="s">
        <v>995</v>
      </c>
      <c r="L710" s="425" t="s">
        <v>996</v>
      </c>
      <c r="M710" s="425" t="s">
        <v>997</v>
      </c>
      <c r="N710" s="425" t="s">
        <v>558</v>
      </c>
      <c r="O710" s="424" t="s">
        <v>998</v>
      </c>
      <c r="P710" s="425" t="s">
        <v>999</v>
      </c>
      <c r="Q710" s="425" t="s">
        <v>1000</v>
      </c>
      <c r="R710" s="425" t="s">
        <v>1001</v>
      </c>
      <c r="S710" s="425" t="s">
        <v>1002</v>
      </c>
      <c r="T710" s="423">
        <v>800</v>
      </c>
      <c r="U710" s="423">
        <v>20</v>
      </c>
      <c r="V710" s="423">
        <v>30</v>
      </c>
      <c r="W710" s="423">
        <v>0.8</v>
      </c>
      <c r="X710" s="423">
        <v>9</v>
      </c>
      <c r="Y710" s="423">
        <v>5</v>
      </c>
      <c r="Z710" s="423" t="s">
        <v>1058</v>
      </c>
      <c r="AD710" s="423">
        <f>IF(ISNUMBER(MATCH(B710,'FICHA SOLIC'!$AB$26:$AB$376,0)),1,0)</f>
        <v>1</v>
      </c>
      <c r="AE710" s="423" t="str">
        <f t="shared" si="11"/>
        <v>La ReinaG</v>
      </c>
    </row>
    <row r="711" spans="1:31" x14ac:dyDescent="0.25">
      <c r="A711" s="423">
        <v>710</v>
      </c>
      <c r="B711" s="423" t="s">
        <v>415</v>
      </c>
      <c r="C711" s="423" t="s">
        <v>1061</v>
      </c>
      <c r="D711" s="424" t="s">
        <v>990</v>
      </c>
      <c r="E711" s="425" t="s">
        <v>991</v>
      </c>
      <c r="F711" s="425" t="s">
        <v>992</v>
      </c>
      <c r="G711" s="425" t="s">
        <v>993</v>
      </c>
      <c r="H711" s="426" t="s">
        <v>489</v>
      </c>
      <c r="I711" s="425" t="s">
        <v>994</v>
      </c>
      <c r="J711" s="424" t="s">
        <v>697</v>
      </c>
      <c r="K711" s="425" t="s">
        <v>995</v>
      </c>
      <c r="L711" s="425" t="s">
        <v>996</v>
      </c>
      <c r="M711" s="425" t="s">
        <v>997</v>
      </c>
      <c r="N711" s="425" t="s">
        <v>558</v>
      </c>
      <c r="O711" s="424" t="s">
        <v>998</v>
      </c>
      <c r="P711" s="425" t="s">
        <v>999</v>
      </c>
      <c r="Q711" s="425" t="s">
        <v>1000</v>
      </c>
      <c r="R711" s="425" t="s">
        <v>1001</v>
      </c>
      <c r="S711" s="425" t="s">
        <v>1002</v>
      </c>
      <c r="T711" s="423">
        <v>2000</v>
      </c>
      <c r="U711" s="423">
        <v>20</v>
      </c>
      <c r="V711" s="423">
        <v>18</v>
      </c>
      <c r="W711" s="423">
        <v>0.45</v>
      </c>
      <c r="X711" s="423">
        <v>9</v>
      </c>
      <c r="Y711" s="423">
        <v>5</v>
      </c>
      <c r="Z711" s="423" t="s">
        <v>1058</v>
      </c>
      <c r="AD711" s="423">
        <f>IF(ISNUMBER(MATCH(B711,'FICHA SOLIC'!$AB$26:$AB$376,0)),1,0)</f>
        <v>1</v>
      </c>
      <c r="AE711" s="423" t="str">
        <f t="shared" si="11"/>
        <v>La ReinaH</v>
      </c>
    </row>
    <row r="712" spans="1:31" x14ac:dyDescent="0.25">
      <c r="A712" s="423">
        <v>711</v>
      </c>
      <c r="B712" s="423" t="s">
        <v>415</v>
      </c>
      <c r="C712" s="423" t="s">
        <v>1183</v>
      </c>
      <c r="D712" s="424" t="s">
        <v>990</v>
      </c>
      <c r="E712" s="425" t="s">
        <v>991</v>
      </c>
      <c r="F712" s="425" t="s">
        <v>992</v>
      </c>
      <c r="G712" s="425" t="s">
        <v>993</v>
      </c>
      <c r="H712" s="426" t="s">
        <v>489</v>
      </c>
      <c r="I712" s="425" t="s">
        <v>994</v>
      </c>
      <c r="J712" s="424" t="s">
        <v>697</v>
      </c>
      <c r="K712" s="425" t="s">
        <v>995</v>
      </c>
      <c r="L712" s="425" t="s">
        <v>996</v>
      </c>
      <c r="M712" s="425" t="s">
        <v>997</v>
      </c>
      <c r="N712" s="425" t="s">
        <v>558</v>
      </c>
      <c r="O712" s="424" t="s">
        <v>998</v>
      </c>
      <c r="P712" s="425" t="s">
        <v>999</v>
      </c>
      <c r="Q712" s="425" t="s">
        <v>1000</v>
      </c>
      <c r="R712" s="425" t="s">
        <v>1001</v>
      </c>
      <c r="S712" s="425" t="s">
        <v>1002</v>
      </c>
      <c r="T712" s="423">
        <v>10000</v>
      </c>
      <c r="U712" s="423">
        <v>30</v>
      </c>
      <c r="V712" s="423">
        <v>10</v>
      </c>
      <c r="W712" s="423">
        <v>1</v>
      </c>
      <c r="X712" s="423">
        <v>9</v>
      </c>
      <c r="Y712" s="423">
        <v>5</v>
      </c>
      <c r="Z712" s="423" t="s">
        <v>1058</v>
      </c>
      <c r="AD712" s="423">
        <f>IF(ISNUMBER(MATCH(B712,'FICHA SOLIC'!$AB$26:$AB$376,0)),1,0)</f>
        <v>1</v>
      </c>
      <c r="AE712" s="423" t="str">
        <f t="shared" si="11"/>
        <v>La ReinaI</v>
      </c>
    </row>
    <row r="713" spans="1:31" x14ac:dyDescent="0.25">
      <c r="A713" s="423">
        <v>712</v>
      </c>
      <c r="B713" s="423" t="s">
        <v>415</v>
      </c>
      <c r="C713" s="423" t="s">
        <v>1251</v>
      </c>
      <c r="D713" s="424" t="s">
        <v>990</v>
      </c>
      <c r="E713" s="425" t="s">
        <v>991</v>
      </c>
      <c r="F713" s="425" t="s">
        <v>992</v>
      </c>
      <c r="G713" s="425" t="s">
        <v>993</v>
      </c>
      <c r="H713" s="426" t="s">
        <v>489</v>
      </c>
      <c r="I713" s="425" t="s">
        <v>994</v>
      </c>
      <c r="J713" s="424" t="s">
        <v>697</v>
      </c>
      <c r="K713" s="425" t="s">
        <v>995</v>
      </c>
      <c r="L713" s="425" t="s">
        <v>996</v>
      </c>
      <c r="M713" s="425" t="s">
        <v>997</v>
      </c>
      <c r="N713" s="425" t="s">
        <v>558</v>
      </c>
      <c r="O713" s="424" t="s">
        <v>998</v>
      </c>
      <c r="P713" s="425" t="s">
        <v>999</v>
      </c>
      <c r="Q713" s="425" t="s">
        <v>1000</v>
      </c>
      <c r="R713" s="425" t="s">
        <v>1001</v>
      </c>
      <c r="S713" s="425" t="s">
        <v>1002</v>
      </c>
      <c r="T713" s="423">
        <v>2000</v>
      </c>
      <c r="U713" s="423">
        <v>20</v>
      </c>
      <c r="V713" s="423">
        <v>20</v>
      </c>
      <c r="W713" s="423">
        <v>0.3</v>
      </c>
      <c r="X713" s="423">
        <v>9</v>
      </c>
      <c r="Y713" s="423">
        <v>5</v>
      </c>
      <c r="Z713" s="423" t="s">
        <v>1058</v>
      </c>
      <c r="AD713" s="423">
        <f>IF(ISNUMBER(MATCH(B713,'FICHA SOLIC'!$AB$26:$AB$376,0)),1,0)</f>
        <v>1</v>
      </c>
      <c r="AE713" s="423" t="str">
        <f t="shared" si="11"/>
        <v>La ReinaJ-1</v>
      </c>
    </row>
    <row r="714" spans="1:31" x14ac:dyDescent="0.25">
      <c r="A714" s="423">
        <v>713</v>
      </c>
      <c r="B714" s="423" t="s">
        <v>415</v>
      </c>
      <c r="C714" s="423" t="s">
        <v>1269</v>
      </c>
      <c r="D714" s="424" t="s">
        <v>990</v>
      </c>
      <c r="E714" s="425" t="s">
        <v>991</v>
      </c>
      <c r="F714" s="425" t="s">
        <v>992</v>
      </c>
      <c r="G714" s="425" t="s">
        <v>993</v>
      </c>
      <c r="H714" s="426" t="s">
        <v>489</v>
      </c>
      <c r="I714" s="425" t="s">
        <v>994</v>
      </c>
      <c r="J714" s="424" t="s">
        <v>697</v>
      </c>
      <c r="K714" s="425" t="s">
        <v>995</v>
      </c>
      <c r="L714" s="425" t="s">
        <v>996</v>
      </c>
      <c r="M714" s="425" t="s">
        <v>997</v>
      </c>
      <c r="N714" s="425" t="s">
        <v>558</v>
      </c>
      <c r="O714" s="424" t="s">
        <v>998</v>
      </c>
      <c r="P714" s="425" t="s">
        <v>999</v>
      </c>
      <c r="Q714" s="425" t="s">
        <v>1000</v>
      </c>
      <c r="R714" s="425" t="s">
        <v>1001</v>
      </c>
      <c r="S714" s="425" t="s">
        <v>1002</v>
      </c>
      <c r="T714" s="423">
        <v>100000</v>
      </c>
      <c r="U714" s="423" t="s">
        <v>1041</v>
      </c>
      <c r="V714" s="423">
        <v>50</v>
      </c>
      <c r="W714" s="423">
        <v>0.01</v>
      </c>
      <c r="X714" s="423">
        <v>7</v>
      </c>
      <c r="Y714" s="423" t="s">
        <v>1041</v>
      </c>
      <c r="Z714" s="423" t="s">
        <v>1041</v>
      </c>
      <c r="AD714" s="423">
        <f>IF(ISNUMBER(MATCH(B714,'FICHA SOLIC'!$AB$26:$AB$376,0)),1,0)</f>
        <v>1</v>
      </c>
      <c r="AE714" s="423" t="str">
        <f t="shared" si="11"/>
        <v>La ReinaJ-2</v>
      </c>
    </row>
    <row r="715" spans="1:31" x14ac:dyDescent="0.25">
      <c r="A715" s="423">
        <v>714</v>
      </c>
      <c r="B715" s="423" t="s">
        <v>415</v>
      </c>
      <c r="C715" s="423" t="s">
        <v>1184</v>
      </c>
      <c r="D715" s="424" t="s">
        <v>990</v>
      </c>
      <c r="E715" s="425" t="s">
        <v>991</v>
      </c>
      <c r="F715" s="425" t="s">
        <v>992</v>
      </c>
      <c r="G715" s="425" t="s">
        <v>993</v>
      </c>
      <c r="H715" s="426" t="s">
        <v>489</v>
      </c>
      <c r="I715" s="425" t="s">
        <v>994</v>
      </c>
      <c r="J715" s="424" t="s">
        <v>697</v>
      </c>
      <c r="K715" s="425" t="s">
        <v>995</v>
      </c>
      <c r="L715" s="425" t="s">
        <v>996</v>
      </c>
      <c r="M715" s="425" t="s">
        <v>997</v>
      </c>
      <c r="N715" s="425" t="s">
        <v>558</v>
      </c>
      <c r="O715" s="424" t="s">
        <v>998</v>
      </c>
      <c r="P715" s="425" t="s">
        <v>999</v>
      </c>
      <c r="Q715" s="425" t="s">
        <v>1000</v>
      </c>
      <c r="R715" s="425" t="s">
        <v>1001</v>
      </c>
      <c r="S715" s="425" t="s">
        <v>1002</v>
      </c>
      <c r="T715" s="423">
        <v>200</v>
      </c>
      <c r="U715" s="423">
        <v>10</v>
      </c>
      <c r="V715" s="423">
        <v>40</v>
      </c>
      <c r="W715" s="423">
        <v>1</v>
      </c>
      <c r="X715" s="423">
        <v>9</v>
      </c>
      <c r="Y715" s="423" t="s">
        <v>1041</v>
      </c>
      <c r="Z715" s="423" t="s">
        <v>1058</v>
      </c>
      <c r="AD715" s="423">
        <f>IF(ISNUMBER(MATCH(B715,'FICHA SOLIC'!$AB$26:$AB$376,0)),1,0)</f>
        <v>1</v>
      </c>
      <c r="AE715" s="423" t="str">
        <f t="shared" si="11"/>
        <v>La ReinaK</v>
      </c>
    </row>
    <row r="716" spans="1:31" x14ac:dyDescent="0.25">
      <c r="A716" s="423">
        <v>715</v>
      </c>
      <c r="B716" s="423" t="s">
        <v>415</v>
      </c>
      <c r="C716" s="423" t="s">
        <v>1252</v>
      </c>
      <c r="D716" s="424" t="s">
        <v>990</v>
      </c>
      <c r="E716" s="425" t="s">
        <v>991</v>
      </c>
      <c r="F716" s="425" t="s">
        <v>992</v>
      </c>
      <c r="G716" s="425" t="s">
        <v>993</v>
      </c>
      <c r="H716" s="426" t="s">
        <v>489</v>
      </c>
      <c r="I716" s="425" t="s">
        <v>994</v>
      </c>
      <c r="J716" s="424" t="s">
        <v>697</v>
      </c>
      <c r="K716" s="425" t="s">
        <v>995</v>
      </c>
      <c r="L716" s="425" t="s">
        <v>996</v>
      </c>
      <c r="M716" s="425" t="s">
        <v>997</v>
      </c>
      <c r="N716" s="425" t="s">
        <v>558</v>
      </c>
      <c r="O716" s="424" t="s">
        <v>998</v>
      </c>
      <c r="P716" s="425" t="s">
        <v>999</v>
      </c>
      <c r="Q716" s="425" t="s">
        <v>1000</v>
      </c>
      <c r="R716" s="425" t="s">
        <v>1001</v>
      </c>
      <c r="S716" s="425" t="s">
        <v>1002</v>
      </c>
      <c r="T716" s="423" t="s">
        <v>2328</v>
      </c>
      <c r="U716" s="423" t="s">
        <v>1041</v>
      </c>
      <c r="V716" s="423" t="s">
        <v>1041</v>
      </c>
      <c r="W716" s="423" t="s">
        <v>1041</v>
      </c>
      <c r="X716" s="423" t="s">
        <v>1041</v>
      </c>
      <c r="Y716" s="423" t="s">
        <v>1041</v>
      </c>
      <c r="Z716" s="423" t="s">
        <v>1041</v>
      </c>
      <c r="AD716" s="423">
        <f>IF(ISNUMBER(MATCH(B716,'FICHA SOLIC'!$AB$26:$AB$376,0)),1,0)</f>
        <v>1</v>
      </c>
      <c r="AE716" s="423" t="str">
        <f t="shared" si="11"/>
        <v>La ReinaL-1</v>
      </c>
    </row>
    <row r="717" spans="1:31" x14ac:dyDescent="0.25">
      <c r="A717" s="423">
        <v>716</v>
      </c>
      <c r="B717" s="423" t="s">
        <v>415</v>
      </c>
      <c r="C717" s="423" t="s">
        <v>1253</v>
      </c>
      <c r="D717" s="424" t="s">
        <v>990</v>
      </c>
      <c r="E717" s="425" t="s">
        <v>991</v>
      </c>
      <c r="F717" s="425" t="s">
        <v>992</v>
      </c>
      <c r="G717" s="425" t="s">
        <v>993</v>
      </c>
      <c r="H717" s="426" t="s">
        <v>489</v>
      </c>
      <c r="I717" s="425" t="s">
        <v>994</v>
      </c>
      <c r="J717" s="424" t="s">
        <v>697</v>
      </c>
      <c r="K717" s="425" t="s">
        <v>995</v>
      </c>
      <c r="L717" s="425" t="s">
        <v>996</v>
      </c>
      <c r="M717" s="425" t="s">
        <v>997</v>
      </c>
      <c r="N717" s="425" t="s">
        <v>558</v>
      </c>
      <c r="O717" s="424" t="s">
        <v>998</v>
      </c>
      <c r="P717" s="425" t="s">
        <v>999</v>
      </c>
      <c r="Q717" s="425" t="s">
        <v>1000</v>
      </c>
      <c r="R717" s="425" t="s">
        <v>1001</v>
      </c>
      <c r="S717" s="425" t="s">
        <v>1002</v>
      </c>
      <c r="T717" s="423" t="s">
        <v>2329</v>
      </c>
      <c r="U717" s="423" t="s">
        <v>1041</v>
      </c>
      <c r="V717" s="423" t="s">
        <v>1041</v>
      </c>
      <c r="W717" s="423" t="s">
        <v>1041</v>
      </c>
      <c r="X717" s="423" t="s">
        <v>1041</v>
      </c>
      <c r="Y717" s="423" t="s">
        <v>1041</v>
      </c>
      <c r="Z717" s="423" t="s">
        <v>1041</v>
      </c>
      <c r="AD717" s="423">
        <f>IF(ISNUMBER(MATCH(B717,'FICHA SOLIC'!$AB$26:$AB$376,0)),1,0)</f>
        <v>1</v>
      </c>
      <c r="AE717" s="423" t="str">
        <f t="shared" si="11"/>
        <v>La ReinaL-2</v>
      </c>
    </row>
    <row r="718" spans="1:31" x14ac:dyDescent="0.25">
      <c r="A718" s="423">
        <v>717</v>
      </c>
      <c r="B718" s="423" t="s">
        <v>415</v>
      </c>
      <c r="C718" s="423" t="s">
        <v>1254</v>
      </c>
      <c r="D718" s="424" t="s">
        <v>990</v>
      </c>
      <c r="E718" s="425" t="s">
        <v>991</v>
      </c>
      <c r="F718" s="425" t="s">
        <v>992</v>
      </c>
      <c r="G718" s="425" t="s">
        <v>993</v>
      </c>
      <c r="H718" s="426" t="s">
        <v>489</v>
      </c>
      <c r="I718" s="425" t="s">
        <v>994</v>
      </c>
      <c r="J718" s="424" t="s">
        <v>697</v>
      </c>
      <c r="K718" s="425" t="s">
        <v>995</v>
      </c>
      <c r="L718" s="425" t="s">
        <v>996</v>
      </c>
      <c r="M718" s="425" t="s">
        <v>997</v>
      </c>
      <c r="N718" s="425" t="s">
        <v>558</v>
      </c>
      <c r="O718" s="424" t="s">
        <v>998</v>
      </c>
      <c r="P718" s="425" t="s">
        <v>999</v>
      </c>
      <c r="Q718" s="425" t="s">
        <v>1000</v>
      </c>
      <c r="R718" s="425" t="s">
        <v>1001</v>
      </c>
      <c r="S718" s="425" t="s">
        <v>1002</v>
      </c>
      <c r="T718" s="423" t="s">
        <v>1041</v>
      </c>
      <c r="U718" s="423" t="s">
        <v>1041</v>
      </c>
      <c r="V718" s="423">
        <v>5</v>
      </c>
      <c r="W718" s="423">
        <v>0.05</v>
      </c>
      <c r="X718" s="423">
        <v>14</v>
      </c>
      <c r="Y718" s="423" t="s">
        <v>1041</v>
      </c>
      <c r="Z718" s="423" t="s">
        <v>1058</v>
      </c>
      <c r="AD718" s="423">
        <f>IF(ISNUMBER(MATCH(B718,'FICHA SOLIC'!$AB$26:$AB$376,0)),1,0)</f>
        <v>1</v>
      </c>
      <c r="AE718" s="423" t="str">
        <f t="shared" si="11"/>
        <v>La ReinaM-1</v>
      </c>
    </row>
    <row r="719" spans="1:31" x14ac:dyDescent="0.25">
      <c r="A719" s="423">
        <v>718</v>
      </c>
      <c r="B719" s="423" t="s">
        <v>415</v>
      </c>
      <c r="C719" s="423" t="s">
        <v>1255</v>
      </c>
      <c r="D719" s="424" t="s">
        <v>990</v>
      </c>
      <c r="E719" s="425" t="s">
        <v>991</v>
      </c>
      <c r="F719" s="425" t="s">
        <v>992</v>
      </c>
      <c r="G719" s="425" t="s">
        <v>993</v>
      </c>
      <c r="H719" s="426" t="s">
        <v>489</v>
      </c>
      <c r="I719" s="425" t="s">
        <v>994</v>
      </c>
      <c r="J719" s="424" t="s">
        <v>697</v>
      </c>
      <c r="K719" s="425" t="s">
        <v>995</v>
      </c>
      <c r="L719" s="425" t="s">
        <v>996</v>
      </c>
      <c r="M719" s="425" t="s">
        <v>997</v>
      </c>
      <c r="N719" s="425" t="s">
        <v>558</v>
      </c>
      <c r="O719" s="424" t="s">
        <v>998</v>
      </c>
      <c r="P719" s="425" t="s">
        <v>999</v>
      </c>
      <c r="Q719" s="425" t="s">
        <v>1000</v>
      </c>
      <c r="R719" s="425" t="s">
        <v>1001</v>
      </c>
      <c r="S719" s="425" t="s">
        <v>1002</v>
      </c>
      <c r="T719" s="423" t="s">
        <v>1041</v>
      </c>
      <c r="U719" s="423" t="s">
        <v>1041</v>
      </c>
      <c r="V719" s="423">
        <v>5</v>
      </c>
      <c r="W719" s="423">
        <v>0.05</v>
      </c>
      <c r="X719" s="423">
        <v>14</v>
      </c>
      <c r="Y719" s="423" t="s">
        <v>1041</v>
      </c>
      <c r="Z719" s="423" t="s">
        <v>1058</v>
      </c>
      <c r="AD719" s="423">
        <f>IF(ISNUMBER(MATCH(B719,'FICHA SOLIC'!$AB$26:$AB$376,0)),1,0)</f>
        <v>1</v>
      </c>
      <c r="AE719" s="423" t="str">
        <f t="shared" si="11"/>
        <v>La ReinaM-2</v>
      </c>
    </row>
    <row r="720" spans="1:31" x14ac:dyDescent="0.25">
      <c r="A720" s="423">
        <v>719</v>
      </c>
      <c r="B720" s="423" t="s">
        <v>415</v>
      </c>
      <c r="C720" s="423" t="s">
        <v>1256</v>
      </c>
      <c r="D720" s="424" t="s">
        <v>990</v>
      </c>
      <c r="E720" s="425" t="s">
        <v>991</v>
      </c>
      <c r="F720" s="425" t="s">
        <v>992</v>
      </c>
      <c r="G720" s="425" t="s">
        <v>993</v>
      </c>
      <c r="H720" s="426" t="s">
        <v>489</v>
      </c>
      <c r="I720" s="425" t="s">
        <v>994</v>
      </c>
      <c r="J720" s="424" t="s">
        <v>697</v>
      </c>
      <c r="K720" s="425" t="s">
        <v>995</v>
      </c>
      <c r="L720" s="425" t="s">
        <v>996</v>
      </c>
      <c r="M720" s="425" t="s">
        <v>997</v>
      </c>
      <c r="N720" s="425" t="s">
        <v>558</v>
      </c>
      <c r="O720" s="424" t="s">
        <v>998</v>
      </c>
      <c r="P720" s="425" t="s">
        <v>999</v>
      </c>
      <c r="Q720" s="425" t="s">
        <v>1000</v>
      </c>
      <c r="R720" s="425" t="s">
        <v>1001</v>
      </c>
      <c r="S720" s="425" t="s">
        <v>1002</v>
      </c>
      <c r="T720" s="423" t="s">
        <v>1041</v>
      </c>
      <c r="U720" s="423" t="s">
        <v>1041</v>
      </c>
      <c r="V720" s="423" t="s">
        <v>1041</v>
      </c>
      <c r="W720" s="423" t="s">
        <v>1041</v>
      </c>
      <c r="X720" s="423" t="s">
        <v>1041</v>
      </c>
      <c r="Y720" s="423" t="s">
        <v>1041</v>
      </c>
      <c r="Z720" s="423" t="s">
        <v>1041</v>
      </c>
      <c r="AD720" s="423">
        <f>IF(ISNUMBER(MATCH(B720,'FICHA SOLIC'!$AB$26:$AB$376,0)),1,0)</f>
        <v>1</v>
      </c>
      <c r="AE720" s="423" t="str">
        <f t="shared" si="11"/>
        <v>La ReinaM-3</v>
      </c>
    </row>
    <row r="721" spans="1:31" x14ac:dyDescent="0.25">
      <c r="A721" s="423">
        <v>720</v>
      </c>
      <c r="B721" s="423" t="s">
        <v>415</v>
      </c>
      <c r="C721" s="423" t="s">
        <v>1257</v>
      </c>
      <c r="D721" s="424" t="s">
        <v>990</v>
      </c>
      <c r="E721" s="425" t="s">
        <v>991</v>
      </c>
      <c r="F721" s="425" t="s">
        <v>992</v>
      </c>
      <c r="G721" s="425" t="s">
        <v>993</v>
      </c>
      <c r="H721" s="426" t="s">
        <v>489</v>
      </c>
      <c r="I721" s="425" t="s">
        <v>994</v>
      </c>
      <c r="J721" s="424" t="s">
        <v>697</v>
      </c>
      <c r="K721" s="425" t="s">
        <v>995</v>
      </c>
      <c r="L721" s="425" t="s">
        <v>996</v>
      </c>
      <c r="M721" s="425" t="s">
        <v>997</v>
      </c>
      <c r="N721" s="425" t="s">
        <v>558</v>
      </c>
      <c r="O721" s="424" t="s">
        <v>998</v>
      </c>
      <c r="P721" s="425" t="s">
        <v>999</v>
      </c>
      <c r="Q721" s="425" t="s">
        <v>1000</v>
      </c>
      <c r="R721" s="425" t="s">
        <v>1001</v>
      </c>
      <c r="S721" s="425" t="s">
        <v>1002</v>
      </c>
      <c r="T721" s="423" t="s">
        <v>1097</v>
      </c>
      <c r="U721" s="423" t="s">
        <v>1097</v>
      </c>
      <c r="V721" s="423">
        <v>1</v>
      </c>
      <c r="W721" s="423">
        <v>0.01</v>
      </c>
      <c r="Y721" s="423" t="s">
        <v>1041</v>
      </c>
      <c r="Z721" s="423" t="s">
        <v>1041</v>
      </c>
      <c r="AD721" s="423">
        <f>IF(ISNUMBER(MATCH(B721,'FICHA SOLIC'!$AB$26:$AB$376,0)),1,0)</f>
        <v>1</v>
      </c>
      <c r="AE721" s="423" t="str">
        <f t="shared" si="11"/>
        <v>La ReinaM-4</v>
      </c>
    </row>
    <row r="722" spans="1:31" x14ac:dyDescent="0.25">
      <c r="A722" s="423">
        <v>721</v>
      </c>
      <c r="B722" s="423" t="s">
        <v>415</v>
      </c>
      <c r="C722" s="423" t="s">
        <v>1258</v>
      </c>
      <c r="D722" s="424" t="s">
        <v>990</v>
      </c>
      <c r="E722" s="425" t="s">
        <v>991</v>
      </c>
      <c r="F722" s="425" t="s">
        <v>992</v>
      </c>
      <c r="G722" s="425" t="s">
        <v>993</v>
      </c>
      <c r="H722" s="426" t="s">
        <v>489</v>
      </c>
      <c r="I722" s="425" t="s">
        <v>994</v>
      </c>
      <c r="J722" s="424" t="s">
        <v>697</v>
      </c>
      <c r="K722" s="425" t="s">
        <v>995</v>
      </c>
      <c r="L722" s="425" t="s">
        <v>996</v>
      </c>
      <c r="M722" s="425" t="s">
        <v>997</v>
      </c>
      <c r="N722" s="425" t="s">
        <v>558</v>
      </c>
      <c r="O722" s="424" t="s">
        <v>998</v>
      </c>
      <c r="P722" s="425" t="s">
        <v>999</v>
      </c>
      <c r="Q722" s="425" t="s">
        <v>1000</v>
      </c>
      <c r="R722" s="425" t="s">
        <v>1001</v>
      </c>
      <c r="S722" s="425" t="s">
        <v>1002</v>
      </c>
      <c r="T722" s="423" t="s">
        <v>1097</v>
      </c>
      <c r="U722" s="423" t="s">
        <v>1097</v>
      </c>
      <c r="V722" s="423" t="s">
        <v>1097</v>
      </c>
      <c r="W722" s="423" t="s">
        <v>1097</v>
      </c>
      <c r="X722" s="423" t="s">
        <v>1097</v>
      </c>
      <c r="Y722" s="423" t="s">
        <v>1097</v>
      </c>
      <c r="Z722" s="423" t="s">
        <v>1097</v>
      </c>
      <c r="AD722" s="423">
        <f>IF(ISNUMBER(MATCH(B722,'FICHA SOLIC'!$AB$26:$AB$376,0)),1,0)</f>
        <v>1</v>
      </c>
      <c r="AE722" s="423" t="str">
        <f t="shared" si="11"/>
        <v>La ReinaM-5</v>
      </c>
    </row>
    <row r="723" spans="1:31" x14ac:dyDescent="0.25">
      <c r="A723" s="423">
        <v>722</v>
      </c>
      <c r="B723" s="423" t="s">
        <v>415</v>
      </c>
      <c r="C723" s="423" t="s">
        <v>1186</v>
      </c>
      <c r="D723" s="424" t="s">
        <v>990</v>
      </c>
      <c r="E723" s="425" t="s">
        <v>991</v>
      </c>
      <c r="F723" s="425" t="s">
        <v>992</v>
      </c>
      <c r="G723" s="425" t="s">
        <v>993</v>
      </c>
      <c r="H723" s="426" t="s">
        <v>489</v>
      </c>
      <c r="I723" s="425" t="s">
        <v>994</v>
      </c>
      <c r="J723" s="424" t="s">
        <v>697</v>
      </c>
      <c r="K723" s="425" t="s">
        <v>995</v>
      </c>
      <c r="L723" s="425" t="s">
        <v>996</v>
      </c>
      <c r="M723" s="425" t="s">
        <v>997</v>
      </c>
      <c r="N723" s="425" t="s">
        <v>558</v>
      </c>
      <c r="O723" s="424" t="s">
        <v>998</v>
      </c>
      <c r="P723" s="425" t="s">
        <v>999</v>
      </c>
      <c r="Q723" s="425" t="s">
        <v>1000</v>
      </c>
      <c r="R723" s="425" t="s">
        <v>1001</v>
      </c>
      <c r="S723" s="425" t="s">
        <v>1002</v>
      </c>
      <c r="T723" s="423" t="s">
        <v>2330</v>
      </c>
      <c r="U723" s="423" t="s">
        <v>1041</v>
      </c>
      <c r="V723" s="423" t="s">
        <v>1041</v>
      </c>
      <c r="W723" s="423" t="s">
        <v>1041</v>
      </c>
      <c r="X723" s="423" t="s">
        <v>1041</v>
      </c>
      <c r="Y723" s="423" t="s">
        <v>1041</v>
      </c>
      <c r="Z723" s="423" t="s">
        <v>1041</v>
      </c>
      <c r="AD723" s="423">
        <f>IF(ISNUMBER(MATCH(B723,'FICHA SOLIC'!$AB$26:$AB$376,0)),1,0)</f>
        <v>1</v>
      </c>
      <c r="AE723" s="423" t="str">
        <f t="shared" si="11"/>
        <v>La ReinaN</v>
      </c>
    </row>
    <row r="724" spans="1:31" x14ac:dyDescent="0.25">
      <c r="A724" s="423">
        <v>723</v>
      </c>
      <c r="B724" s="423" t="s">
        <v>415</v>
      </c>
      <c r="C724" s="423" t="s">
        <v>1259</v>
      </c>
      <c r="D724" s="424" t="s">
        <v>990</v>
      </c>
      <c r="E724" s="425" t="s">
        <v>991</v>
      </c>
      <c r="F724" s="425" t="s">
        <v>992</v>
      </c>
      <c r="G724" s="425" t="s">
        <v>993</v>
      </c>
      <c r="H724" s="426" t="s">
        <v>489</v>
      </c>
      <c r="I724" s="425" t="s">
        <v>994</v>
      </c>
      <c r="J724" s="424" t="s">
        <v>697</v>
      </c>
      <c r="K724" s="425" t="s">
        <v>995</v>
      </c>
      <c r="L724" s="425" t="s">
        <v>996</v>
      </c>
      <c r="M724" s="425" t="s">
        <v>997</v>
      </c>
      <c r="N724" s="425" t="s">
        <v>558</v>
      </c>
      <c r="O724" s="424" t="s">
        <v>998</v>
      </c>
      <c r="P724" s="425" t="s">
        <v>999</v>
      </c>
      <c r="Q724" s="425" t="s">
        <v>1000</v>
      </c>
      <c r="R724" s="425" t="s">
        <v>1001</v>
      </c>
      <c r="S724" s="425" t="s">
        <v>1002</v>
      </c>
      <c r="T724" s="423" t="s">
        <v>2331</v>
      </c>
      <c r="U724" s="423" t="s">
        <v>1041</v>
      </c>
      <c r="V724" s="423" t="s">
        <v>1041</v>
      </c>
      <c r="W724" s="423" t="s">
        <v>1041</v>
      </c>
      <c r="X724" s="423" t="s">
        <v>1041</v>
      </c>
      <c r="Y724" s="423" t="s">
        <v>1041</v>
      </c>
      <c r="Z724" s="423" t="s">
        <v>1041</v>
      </c>
      <c r="AD724" s="423">
        <f>IF(ISNUMBER(MATCH(B724,'FICHA SOLIC'!$AB$26:$AB$376,0)),1,0)</f>
        <v>1</v>
      </c>
      <c r="AE724" s="423" t="str">
        <f t="shared" si="11"/>
        <v>La ReinaP</v>
      </c>
    </row>
    <row r="725" spans="1:31" x14ac:dyDescent="0.25">
      <c r="A725" s="423">
        <v>724</v>
      </c>
      <c r="B725" s="423" t="s">
        <v>415</v>
      </c>
      <c r="C725" s="423" t="s">
        <v>1063</v>
      </c>
      <c r="D725" s="424" t="s">
        <v>990</v>
      </c>
      <c r="E725" s="425" t="s">
        <v>991</v>
      </c>
      <c r="F725" s="425" t="s">
        <v>992</v>
      </c>
      <c r="G725" s="425" t="s">
        <v>993</v>
      </c>
      <c r="H725" s="426" t="s">
        <v>489</v>
      </c>
      <c r="I725" s="425" t="s">
        <v>994</v>
      </c>
      <c r="J725" s="424" t="s">
        <v>697</v>
      </c>
      <c r="K725" s="425" t="s">
        <v>995</v>
      </c>
      <c r="L725" s="425" t="s">
        <v>996</v>
      </c>
      <c r="M725" s="425" t="s">
        <v>997</v>
      </c>
      <c r="N725" s="425" t="s">
        <v>558</v>
      </c>
      <c r="O725" s="424" t="s">
        <v>998</v>
      </c>
      <c r="P725" s="425" t="s">
        <v>999</v>
      </c>
      <c r="Q725" s="425" t="s">
        <v>1000</v>
      </c>
      <c r="R725" s="425" t="s">
        <v>1001</v>
      </c>
      <c r="S725" s="425" t="s">
        <v>1002</v>
      </c>
      <c r="T725" s="423" t="s">
        <v>2332</v>
      </c>
      <c r="U725" s="423" t="s">
        <v>1041</v>
      </c>
      <c r="V725" s="423" t="s">
        <v>1041</v>
      </c>
      <c r="W725" s="423" t="s">
        <v>1041</v>
      </c>
      <c r="X725" s="423" t="s">
        <v>1041</v>
      </c>
      <c r="Y725" s="423" t="s">
        <v>1041</v>
      </c>
      <c r="Z725" s="423" t="s">
        <v>1041</v>
      </c>
      <c r="AD725" s="423">
        <f>IF(ISNUMBER(MATCH(B725,'FICHA SOLIC'!$AB$26:$AB$376,0)),1,0)</f>
        <v>1</v>
      </c>
      <c r="AE725" s="423" t="str">
        <f t="shared" si="11"/>
        <v>La ReinaR</v>
      </c>
    </row>
    <row r="726" spans="1:31" x14ac:dyDescent="0.25">
      <c r="A726" s="423">
        <v>725</v>
      </c>
      <c r="B726" s="423" t="s">
        <v>415</v>
      </c>
      <c r="C726" s="423" t="s">
        <v>1260</v>
      </c>
      <c r="D726" s="424" t="s">
        <v>990</v>
      </c>
      <c r="E726" s="425" t="s">
        <v>991</v>
      </c>
      <c r="F726" s="425" t="s">
        <v>992</v>
      </c>
      <c r="G726" s="425" t="s">
        <v>993</v>
      </c>
      <c r="H726" s="426" t="s">
        <v>489</v>
      </c>
      <c r="I726" s="425" t="s">
        <v>994</v>
      </c>
      <c r="J726" s="424" t="s">
        <v>697</v>
      </c>
      <c r="K726" s="425" t="s">
        <v>995</v>
      </c>
      <c r="L726" s="425" t="s">
        <v>996</v>
      </c>
      <c r="M726" s="425" t="s">
        <v>997</v>
      </c>
      <c r="N726" s="425" t="s">
        <v>558</v>
      </c>
      <c r="O726" s="424" t="s">
        <v>998</v>
      </c>
      <c r="P726" s="425" t="s">
        <v>999</v>
      </c>
      <c r="Q726" s="425" t="s">
        <v>1000</v>
      </c>
      <c r="R726" s="425" t="s">
        <v>1001</v>
      </c>
      <c r="S726" s="425" t="s">
        <v>1002</v>
      </c>
      <c r="T726" s="423" t="s">
        <v>2333</v>
      </c>
      <c r="U726" s="423" t="s">
        <v>1041</v>
      </c>
      <c r="V726" s="423" t="s">
        <v>1041</v>
      </c>
      <c r="W726" s="423" t="s">
        <v>1041</v>
      </c>
      <c r="X726" s="423" t="s">
        <v>1041</v>
      </c>
      <c r="Y726" s="423" t="s">
        <v>1041</v>
      </c>
      <c r="Z726" s="423" t="s">
        <v>1041</v>
      </c>
      <c r="AD726" s="423">
        <f>IF(ISNUMBER(MATCH(B726,'FICHA SOLIC'!$AB$26:$AB$376,0)),1,0)</f>
        <v>1</v>
      </c>
      <c r="AE726" s="423" t="str">
        <f t="shared" si="11"/>
        <v>La ReinaR-1</v>
      </c>
    </row>
    <row r="727" spans="1:31" x14ac:dyDescent="0.25">
      <c r="A727" s="423">
        <v>726</v>
      </c>
      <c r="B727" s="423" t="s">
        <v>415</v>
      </c>
      <c r="C727" s="423" t="s">
        <v>1261</v>
      </c>
      <c r="D727" s="424" t="s">
        <v>990</v>
      </c>
      <c r="E727" s="425" t="s">
        <v>991</v>
      </c>
      <c r="F727" s="425" t="s">
        <v>992</v>
      </c>
      <c r="G727" s="425" t="s">
        <v>993</v>
      </c>
      <c r="H727" s="426" t="s">
        <v>489</v>
      </c>
      <c r="I727" s="425" t="s">
        <v>994</v>
      </c>
      <c r="J727" s="424" t="s">
        <v>697</v>
      </c>
      <c r="K727" s="425" t="s">
        <v>995</v>
      </c>
      <c r="L727" s="425" t="s">
        <v>996</v>
      </c>
      <c r="M727" s="425" t="s">
        <v>997</v>
      </c>
      <c r="N727" s="425" t="s">
        <v>558</v>
      </c>
      <c r="O727" s="424" t="s">
        <v>998</v>
      </c>
      <c r="P727" s="425" t="s">
        <v>999</v>
      </c>
      <c r="Q727" s="425" t="s">
        <v>1000</v>
      </c>
      <c r="R727" s="425" t="s">
        <v>1001</v>
      </c>
      <c r="S727" s="425" t="s">
        <v>1002</v>
      </c>
      <c r="T727" s="423" t="s">
        <v>2334</v>
      </c>
      <c r="U727" s="423" t="s">
        <v>1041</v>
      </c>
      <c r="V727" s="423" t="s">
        <v>1041</v>
      </c>
      <c r="W727" s="423" t="s">
        <v>1041</v>
      </c>
      <c r="X727" s="423" t="s">
        <v>1041</v>
      </c>
      <c r="Y727" s="423" t="s">
        <v>1041</v>
      </c>
      <c r="Z727" s="423" t="s">
        <v>1041</v>
      </c>
      <c r="AD727" s="423">
        <f>IF(ISNUMBER(MATCH(B727,'FICHA SOLIC'!$AB$26:$AB$376,0)),1,0)</f>
        <v>1</v>
      </c>
      <c r="AE727" s="423" t="str">
        <f t="shared" si="11"/>
        <v>La ReinaR-2</v>
      </c>
    </row>
    <row r="728" spans="1:31" x14ac:dyDescent="0.25">
      <c r="A728" s="423">
        <v>727</v>
      </c>
      <c r="B728" s="423" t="s">
        <v>415</v>
      </c>
      <c r="C728" s="423" t="s">
        <v>1262</v>
      </c>
      <c r="D728" s="424" t="s">
        <v>990</v>
      </c>
      <c r="E728" s="425" t="s">
        <v>991</v>
      </c>
      <c r="F728" s="425" t="s">
        <v>992</v>
      </c>
      <c r="G728" s="425" t="s">
        <v>993</v>
      </c>
      <c r="H728" s="426" t="s">
        <v>489</v>
      </c>
      <c r="I728" s="425" t="s">
        <v>994</v>
      </c>
      <c r="J728" s="424" t="s">
        <v>697</v>
      </c>
      <c r="K728" s="425" t="s">
        <v>995</v>
      </c>
      <c r="L728" s="425" t="s">
        <v>996</v>
      </c>
      <c r="M728" s="425" t="s">
        <v>997</v>
      </c>
      <c r="N728" s="425" t="s">
        <v>558</v>
      </c>
      <c r="O728" s="424" t="s">
        <v>998</v>
      </c>
      <c r="P728" s="425" t="s">
        <v>999</v>
      </c>
      <c r="Q728" s="425" t="s">
        <v>1000</v>
      </c>
      <c r="R728" s="425" t="s">
        <v>1001</v>
      </c>
      <c r="S728" s="425" t="s">
        <v>1002</v>
      </c>
      <c r="T728" s="423" t="s">
        <v>2335</v>
      </c>
      <c r="U728" s="423" t="s">
        <v>1041</v>
      </c>
      <c r="V728" s="423" t="s">
        <v>1041</v>
      </c>
      <c r="W728" s="423" t="s">
        <v>1041</v>
      </c>
      <c r="X728" s="423" t="s">
        <v>1041</v>
      </c>
      <c r="Y728" s="423" t="s">
        <v>1041</v>
      </c>
      <c r="Z728" s="423" t="s">
        <v>1041</v>
      </c>
      <c r="AD728" s="423">
        <f>IF(ISNUMBER(MATCH(B728,'FICHA SOLIC'!$AB$26:$AB$376,0)),1,0)</f>
        <v>1</v>
      </c>
      <c r="AE728" s="423" t="str">
        <f t="shared" si="11"/>
        <v>La ReinaR-3</v>
      </c>
    </row>
    <row r="729" spans="1:31" x14ac:dyDescent="0.25">
      <c r="A729" s="423">
        <v>728</v>
      </c>
      <c r="B729" s="423" t="s">
        <v>415</v>
      </c>
      <c r="C729" s="423" t="s">
        <v>1263</v>
      </c>
      <c r="D729" s="424" t="s">
        <v>990</v>
      </c>
      <c r="E729" s="425" t="s">
        <v>991</v>
      </c>
      <c r="F729" s="425" t="s">
        <v>992</v>
      </c>
      <c r="G729" s="425" t="s">
        <v>993</v>
      </c>
      <c r="H729" s="426" t="s">
        <v>489</v>
      </c>
      <c r="I729" s="425" t="s">
        <v>994</v>
      </c>
      <c r="J729" s="424" t="s">
        <v>697</v>
      </c>
      <c r="K729" s="425" t="s">
        <v>995</v>
      </c>
      <c r="L729" s="425" t="s">
        <v>996</v>
      </c>
      <c r="M729" s="425" t="s">
        <v>997</v>
      </c>
      <c r="N729" s="425" t="s">
        <v>558</v>
      </c>
      <c r="O729" s="424" t="s">
        <v>998</v>
      </c>
      <c r="P729" s="425" t="s">
        <v>999</v>
      </c>
      <c r="Q729" s="425" t="s">
        <v>1000</v>
      </c>
      <c r="R729" s="425" t="s">
        <v>1001</v>
      </c>
      <c r="S729" s="425" t="s">
        <v>1002</v>
      </c>
      <c r="T729" s="423" t="s">
        <v>2336</v>
      </c>
      <c r="U729" s="423" t="s">
        <v>1041</v>
      </c>
      <c r="V729" s="423" t="s">
        <v>1041</v>
      </c>
      <c r="W729" s="423" t="s">
        <v>1041</v>
      </c>
      <c r="X729" s="423" t="s">
        <v>1041</v>
      </c>
      <c r="Y729" s="423" t="s">
        <v>1041</v>
      </c>
      <c r="Z729" s="423" t="s">
        <v>1041</v>
      </c>
      <c r="AD729" s="423">
        <f>IF(ISNUMBER(MATCH(B729,'FICHA SOLIC'!$AB$26:$AB$376,0)),1,0)</f>
        <v>1</v>
      </c>
      <c r="AE729" s="423" t="str">
        <f t="shared" si="11"/>
        <v>La ReinaR-4</v>
      </c>
    </row>
    <row r="730" spans="1:31" x14ac:dyDescent="0.25">
      <c r="A730" s="423">
        <v>729</v>
      </c>
      <c r="B730" s="423" t="s">
        <v>415</v>
      </c>
      <c r="C730" s="423" t="s">
        <v>1264</v>
      </c>
      <c r="D730" s="424" t="s">
        <v>990</v>
      </c>
      <c r="E730" s="425" t="s">
        <v>991</v>
      </c>
      <c r="F730" s="425" t="s">
        <v>992</v>
      </c>
      <c r="G730" s="425" t="s">
        <v>993</v>
      </c>
      <c r="H730" s="426" t="s">
        <v>489</v>
      </c>
      <c r="I730" s="425" t="s">
        <v>994</v>
      </c>
      <c r="J730" s="424" t="s">
        <v>697</v>
      </c>
      <c r="K730" s="425" t="s">
        <v>995</v>
      </c>
      <c r="L730" s="425" t="s">
        <v>996</v>
      </c>
      <c r="M730" s="425" t="s">
        <v>997</v>
      </c>
      <c r="N730" s="425" t="s">
        <v>558</v>
      </c>
      <c r="O730" s="424" t="s">
        <v>998</v>
      </c>
      <c r="P730" s="425" t="s">
        <v>999</v>
      </c>
      <c r="Q730" s="425" t="s">
        <v>1000</v>
      </c>
      <c r="R730" s="425" t="s">
        <v>1001</v>
      </c>
      <c r="S730" s="425" t="s">
        <v>1002</v>
      </c>
      <c r="T730" s="423" t="s">
        <v>2337</v>
      </c>
      <c r="U730" s="423" t="s">
        <v>1041</v>
      </c>
      <c r="V730" s="423" t="s">
        <v>1041</v>
      </c>
      <c r="W730" s="423" t="s">
        <v>1041</v>
      </c>
      <c r="X730" s="423" t="s">
        <v>1041</v>
      </c>
      <c r="Y730" s="423" t="s">
        <v>1041</v>
      </c>
      <c r="Z730" s="423" t="s">
        <v>1041</v>
      </c>
      <c r="AD730" s="423">
        <f>IF(ISNUMBER(MATCH(B730,'FICHA SOLIC'!$AB$26:$AB$376,0)),1,0)</f>
        <v>1</v>
      </c>
      <c r="AE730" s="423" t="str">
        <f t="shared" si="11"/>
        <v>La ReinaR-5</v>
      </c>
    </row>
    <row r="731" spans="1:31" x14ac:dyDescent="0.25">
      <c r="A731" s="423">
        <v>730</v>
      </c>
      <c r="B731" s="423" t="s">
        <v>415</v>
      </c>
      <c r="C731" s="423" t="s">
        <v>1265</v>
      </c>
      <c r="D731" s="424" t="s">
        <v>990</v>
      </c>
      <c r="E731" s="425" t="s">
        <v>991</v>
      </c>
      <c r="F731" s="425" t="s">
        <v>992</v>
      </c>
      <c r="G731" s="425" t="s">
        <v>993</v>
      </c>
      <c r="H731" s="426" t="s">
        <v>489</v>
      </c>
      <c r="I731" s="425" t="s">
        <v>994</v>
      </c>
      <c r="J731" s="424" t="s">
        <v>697</v>
      </c>
      <c r="K731" s="425" t="s">
        <v>995</v>
      </c>
      <c r="L731" s="425" t="s">
        <v>996</v>
      </c>
      <c r="M731" s="425" t="s">
        <v>997</v>
      </c>
      <c r="N731" s="425" t="s">
        <v>558</v>
      </c>
      <c r="O731" s="424" t="s">
        <v>998</v>
      </c>
      <c r="P731" s="425" t="s">
        <v>999</v>
      </c>
      <c r="Q731" s="425" t="s">
        <v>1000</v>
      </c>
      <c r="R731" s="425" t="s">
        <v>1001</v>
      </c>
      <c r="S731" s="425" t="s">
        <v>1002</v>
      </c>
      <c r="T731" s="423" t="s">
        <v>1097</v>
      </c>
      <c r="U731" s="423" t="s">
        <v>1041</v>
      </c>
      <c r="V731" s="423">
        <v>50</v>
      </c>
      <c r="X731" s="423">
        <v>14</v>
      </c>
      <c r="Y731" s="423">
        <v>25</v>
      </c>
      <c r="Z731" s="423" t="s">
        <v>1058</v>
      </c>
      <c r="AD731" s="423">
        <f>IF(ISNUMBER(MATCH(B731,'FICHA SOLIC'!$AB$26:$AB$376,0)),1,0)</f>
        <v>1</v>
      </c>
      <c r="AE731" s="423" t="str">
        <f t="shared" si="11"/>
        <v>La ReinaR-6</v>
      </c>
    </row>
    <row r="732" spans="1:31" x14ac:dyDescent="0.25">
      <c r="A732" s="423">
        <v>731</v>
      </c>
      <c r="B732" s="423" t="s">
        <v>415</v>
      </c>
      <c r="C732" s="423" t="s">
        <v>1266</v>
      </c>
      <c r="D732" s="424" t="s">
        <v>990</v>
      </c>
      <c r="E732" s="425" t="s">
        <v>991</v>
      </c>
      <c r="F732" s="425" t="s">
        <v>992</v>
      </c>
      <c r="G732" s="425" t="s">
        <v>993</v>
      </c>
      <c r="H732" s="426" t="s">
        <v>489</v>
      </c>
      <c r="I732" s="425" t="s">
        <v>994</v>
      </c>
      <c r="J732" s="424" t="s">
        <v>697</v>
      </c>
      <c r="K732" s="425" t="s">
        <v>995</v>
      </c>
      <c r="L732" s="425" t="s">
        <v>996</v>
      </c>
      <c r="M732" s="425" t="s">
        <v>997</v>
      </c>
      <c r="N732" s="425" t="s">
        <v>558</v>
      </c>
      <c r="O732" s="424" t="s">
        <v>998</v>
      </c>
      <c r="P732" s="425" t="s">
        <v>999</v>
      </c>
      <c r="Q732" s="425" t="s">
        <v>1000</v>
      </c>
      <c r="R732" s="425" t="s">
        <v>1001</v>
      </c>
      <c r="S732" s="425" t="s">
        <v>1002</v>
      </c>
      <c r="T732" s="423" t="s">
        <v>2338</v>
      </c>
      <c r="U732" s="423" t="s">
        <v>1041</v>
      </c>
      <c r="V732" s="423" t="s">
        <v>1041</v>
      </c>
      <c r="W732" s="423" t="s">
        <v>1041</v>
      </c>
      <c r="X732" s="423" t="s">
        <v>1041</v>
      </c>
      <c r="Y732" s="423" t="s">
        <v>1041</v>
      </c>
      <c r="Z732" s="423" t="s">
        <v>1041</v>
      </c>
      <c r="AD732" s="423">
        <f>IF(ISNUMBER(MATCH(B732,'FICHA SOLIC'!$AB$26:$AB$376,0)),1,0)</f>
        <v>1</v>
      </c>
      <c r="AE732" s="423" t="str">
        <f t="shared" si="11"/>
        <v>La ReinaR-7</v>
      </c>
    </row>
    <row r="733" spans="1:31" x14ac:dyDescent="0.25">
      <c r="A733" s="423">
        <v>732</v>
      </c>
      <c r="B733" s="423" t="s">
        <v>415</v>
      </c>
      <c r="C733" s="423" t="s">
        <v>1267</v>
      </c>
      <c r="D733" s="424" t="s">
        <v>990</v>
      </c>
      <c r="E733" s="425" t="s">
        <v>991</v>
      </c>
      <c r="F733" s="425" t="s">
        <v>992</v>
      </c>
      <c r="G733" s="425" t="s">
        <v>993</v>
      </c>
      <c r="H733" s="426" t="s">
        <v>489</v>
      </c>
      <c r="I733" s="425" t="s">
        <v>994</v>
      </c>
      <c r="J733" s="424" t="s">
        <v>697</v>
      </c>
      <c r="K733" s="425" t="s">
        <v>995</v>
      </c>
      <c r="L733" s="425" t="s">
        <v>996</v>
      </c>
      <c r="M733" s="425" t="s">
        <v>997</v>
      </c>
      <c r="N733" s="425" t="s">
        <v>558</v>
      </c>
      <c r="O733" s="424" t="s">
        <v>998</v>
      </c>
      <c r="P733" s="425" t="s">
        <v>999</v>
      </c>
      <c r="Q733" s="425" t="s">
        <v>1000</v>
      </c>
      <c r="R733" s="425" t="s">
        <v>1001</v>
      </c>
      <c r="S733" s="425" t="s">
        <v>1002</v>
      </c>
      <c r="T733" s="423" t="s">
        <v>2339</v>
      </c>
      <c r="U733" s="423" t="s">
        <v>1041</v>
      </c>
      <c r="V733" s="423" t="s">
        <v>1041</v>
      </c>
      <c r="W733" s="423" t="s">
        <v>1041</v>
      </c>
      <c r="X733" s="423" t="s">
        <v>1041</v>
      </c>
      <c r="Y733" s="423" t="s">
        <v>1041</v>
      </c>
      <c r="Z733" s="423" t="s">
        <v>1041</v>
      </c>
      <c r="AD733" s="423">
        <f>IF(ISNUMBER(MATCH(B733,'FICHA SOLIC'!$AB$26:$AB$376,0)),1,0)</f>
        <v>1</v>
      </c>
      <c r="AE733" s="423" t="str">
        <f t="shared" si="11"/>
        <v>La ReinaR-8</v>
      </c>
    </row>
    <row r="734" spans="1:31" x14ac:dyDescent="0.25">
      <c r="A734" s="423">
        <v>733</v>
      </c>
      <c r="B734" s="423" t="s">
        <v>415</v>
      </c>
      <c r="C734" s="423" t="s">
        <v>1268</v>
      </c>
      <c r="D734" s="424" t="s">
        <v>990</v>
      </c>
      <c r="E734" s="425" t="s">
        <v>991</v>
      </c>
      <c r="F734" s="425" t="s">
        <v>992</v>
      </c>
      <c r="G734" s="425" t="s">
        <v>993</v>
      </c>
      <c r="H734" s="426" t="s">
        <v>489</v>
      </c>
      <c r="I734" s="425" t="s">
        <v>994</v>
      </c>
      <c r="J734" s="424" t="s">
        <v>697</v>
      </c>
      <c r="K734" s="425" t="s">
        <v>995</v>
      </c>
      <c r="L734" s="425" t="s">
        <v>996</v>
      </c>
      <c r="M734" s="425" t="s">
        <v>997</v>
      </c>
      <c r="N734" s="425" t="s">
        <v>558</v>
      </c>
      <c r="O734" s="424" t="s">
        <v>998</v>
      </c>
      <c r="P734" s="425" t="s">
        <v>999</v>
      </c>
      <c r="Q734" s="425" t="s">
        <v>1000</v>
      </c>
      <c r="R734" s="425" t="s">
        <v>1001</v>
      </c>
      <c r="S734" s="425" t="s">
        <v>1002</v>
      </c>
      <c r="T734" s="423" t="s">
        <v>2340</v>
      </c>
      <c r="U734" s="423" t="s">
        <v>1041</v>
      </c>
      <c r="V734" s="423" t="s">
        <v>1041</v>
      </c>
      <c r="W734" s="423" t="s">
        <v>1041</v>
      </c>
      <c r="X734" s="423" t="s">
        <v>1041</v>
      </c>
      <c r="Y734" s="423" t="s">
        <v>1041</v>
      </c>
      <c r="Z734" s="423" t="s">
        <v>1041</v>
      </c>
      <c r="AD734" s="423">
        <f>IF(ISNUMBER(MATCH(B734,'FICHA SOLIC'!$AB$26:$AB$376,0)),1,0)</f>
        <v>1</v>
      </c>
      <c r="AE734" s="423" t="str">
        <f t="shared" si="11"/>
        <v>La ReinaR-9</v>
      </c>
    </row>
    <row r="735" spans="1:31" x14ac:dyDescent="0.25">
      <c r="A735" s="423">
        <v>734</v>
      </c>
      <c r="B735" s="423" t="s">
        <v>415</v>
      </c>
      <c r="C735" s="423" t="s">
        <v>1271</v>
      </c>
      <c r="D735" s="424" t="s">
        <v>990</v>
      </c>
      <c r="E735" s="425" t="s">
        <v>991</v>
      </c>
      <c r="F735" s="425" t="s">
        <v>992</v>
      </c>
      <c r="G735" s="425" t="s">
        <v>993</v>
      </c>
      <c r="H735" s="426" t="s">
        <v>489</v>
      </c>
      <c r="I735" s="425" t="s">
        <v>994</v>
      </c>
      <c r="J735" s="424" t="s">
        <v>697</v>
      </c>
      <c r="K735" s="425" t="s">
        <v>995</v>
      </c>
      <c r="L735" s="425" t="s">
        <v>996</v>
      </c>
      <c r="M735" s="425" t="s">
        <v>997</v>
      </c>
      <c r="N735" s="425" t="s">
        <v>558</v>
      </c>
      <c r="O735" s="424" t="s">
        <v>998</v>
      </c>
      <c r="P735" s="425" t="s">
        <v>999</v>
      </c>
      <c r="Q735" s="425" t="s">
        <v>1000</v>
      </c>
      <c r="R735" s="425" t="s">
        <v>1001</v>
      </c>
      <c r="S735" s="425" t="s">
        <v>1002</v>
      </c>
      <c r="T735" s="423">
        <v>2000</v>
      </c>
      <c r="U735" s="423">
        <v>20</v>
      </c>
      <c r="V735" s="423">
        <v>18</v>
      </c>
      <c r="W735" s="423">
        <v>0.18</v>
      </c>
      <c r="X735" s="423">
        <v>7</v>
      </c>
      <c r="Y735" s="423" t="s">
        <v>1041</v>
      </c>
      <c r="Z735" s="423" t="s">
        <v>1058</v>
      </c>
      <c r="AD735" s="423">
        <f>IF(ISNUMBER(MATCH(B735,'FICHA SOLIC'!$AB$26:$AB$376,0)),1,0)</f>
        <v>1</v>
      </c>
      <c r="AE735" s="423" t="str">
        <f t="shared" si="11"/>
        <v>La ReinaZSB-4</v>
      </c>
    </row>
    <row r="736" spans="1:31" x14ac:dyDescent="0.25">
      <c r="A736" s="423">
        <v>735</v>
      </c>
      <c r="B736" s="423" t="s">
        <v>415</v>
      </c>
      <c r="C736" s="423" t="s">
        <v>1272</v>
      </c>
      <c r="D736" s="424" t="s">
        <v>990</v>
      </c>
      <c r="E736" s="425" t="s">
        <v>991</v>
      </c>
      <c r="F736" s="425" t="s">
        <v>992</v>
      </c>
      <c r="G736" s="425" t="s">
        <v>993</v>
      </c>
      <c r="H736" s="426" t="s">
        <v>489</v>
      </c>
      <c r="I736" s="425" t="s">
        <v>994</v>
      </c>
      <c r="J736" s="424" t="s">
        <v>697</v>
      </c>
      <c r="K736" s="425" t="s">
        <v>995</v>
      </c>
      <c r="L736" s="425" t="s">
        <v>996</v>
      </c>
      <c r="M736" s="425" t="s">
        <v>997</v>
      </c>
      <c r="N736" s="425" t="s">
        <v>558</v>
      </c>
      <c r="O736" s="424" t="s">
        <v>998</v>
      </c>
      <c r="P736" s="425" t="s">
        <v>999</v>
      </c>
      <c r="Q736" s="425" t="s">
        <v>1000</v>
      </c>
      <c r="R736" s="425" t="s">
        <v>1001</v>
      </c>
      <c r="S736" s="425" t="s">
        <v>1002</v>
      </c>
      <c r="T736" s="423">
        <v>1350</v>
      </c>
      <c r="U736" s="423">
        <v>20</v>
      </c>
      <c r="V736" s="423">
        <v>22</v>
      </c>
      <c r="W736" s="423">
        <v>0.22</v>
      </c>
      <c r="X736" s="423">
        <v>7</v>
      </c>
      <c r="Y736" s="423" t="s">
        <v>1041</v>
      </c>
      <c r="Z736" s="423" t="s">
        <v>1058</v>
      </c>
      <c r="AD736" s="423">
        <f>IF(ISNUMBER(MATCH(B736,'FICHA SOLIC'!$AB$26:$AB$376,0)),1,0)</f>
        <v>1</v>
      </c>
      <c r="AE736" s="423" t="str">
        <f t="shared" si="11"/>
        <v>La ReinaZSB-5</v>
      </c>
    </row>
    <row r="737" spans="1:31" x14ac:dyDescent="0.25">
      <c r="A737" s="423">
        <v>736</v>
      </c>
      <c r="B737" s="423" t="s">
        <v>128</v>
      </c>
      <c r="C737" s="423" t="s">
        <v>2341</v>
      </c>
      <c r="D737" s="972" t="s">
        <v>990</v>
      </c>
      <c r="E737" s="973" t="s">
        <v>991</v>
      </c>
      <c r="F737" s="973" t="s">
        <v>992</v>
      </c>
      <c r="G737" s="973" t="s">
        <v>1997</v>
      </c>
      <c r="H737" s="973" t="s">
        <v>1998</v>
      </c>
      <c r="I737" s="973" t="s">
        <v>1999</v>
      </c>
      <c r="J737" s="972" t="s">
        <v>697</v>
      </c>
      <c r="K737" s="973" t="s">
        <v>995</v>
      </c>
      <c r="L737" s="973" t="s">
        <v>996</v>
      </c>
      <c r="M737" s="973" t="s">
        <v>2000</v>
      </c>
      <c r="N737" s="973" t="s">
        <v>2001</v>
      </c>
      <c r="O737" s="972" t="s">
        <v>1971</v>
      </c>
      <c r="P737" s="973" t="s">
        <v>999</v>
      </c>
      <c r="Q737" s="973" t="s">
        <v>1000</v>
      </c>
      <c r="R737" s="973" t="s">
        <v>1001</v>
      </c>
      <c r="S737" s="973" t="s">
        <v>1002</v>
      </c>
      <c r="T737" s="423">
        <v>2500</v>
      </c>
      <c r="V737" s="423">
        <v>0.01</v>
      </c>
      <c r="W737" s="423">
        <v>0.01</v>
      </c>
      <c r="X737" s="423">
        <v>14</v>
      </c>
      <c r="Z737" s="423" t="s">
        <v>1058</v>
      </c>
      <c r="AD737" s="423">
        <f>IF(ISNUMBER(MATCH(B737,'FICHA SOLIC'!$AB$26:$AB$376,0)),1,0)</f>
        <v>1</v>
      </c>
      <c r="AE737" s="423" t="str">
        <f t="shared" si="11"/>
        <v>La SerenaZCH-1</v>
      </c>
    </row>
    <row r="738" spans="1:31" x14ac:dyDescent="0.25">
      <c r="A738" s="423">
        <v>737</v>
      </c>
      <c r="B738" s="423" t="s">
        <v>128</v>
      </c>
      <c r="C738" s="423" t="s">
        <v>2342</v>
      </c>
      <c r="D738" s="972" t="s">
        <v>990</v>
      </c>
      <c r="E738" s="973" t="s">
        <v>991</v>
      </c>
      <c r="F738" s="973" t="s">
        <v>992</v>
      </c>
      <c r="G738" s="973" t="s">
        <v>1997</v>
      </c>
      <c r="H738" s="973" t="s">
        <v>1998</v>
      </c>
      <c r="I738" s="973" t="s">
        <v>1999</v>
      </c>
      <c r="J738" s="972" t="s">
        <v>697</v>
      </c>
      <c r="K738" s="973" t="s">
        <v>995</v>
      </c>
      <c r="L738" s="973" t="s">
        <v>996</v>
      </c>
      <c r="M738" s="973" t="s">
        <v>2000</v>
      </c>
      <c r="N738" s="973" t="s">
        <v>2001</v>
      </c>
      <c r="O738" s="972" t="s">
        <v>1971</v>
      </c>
      <c r="P738" s="973" t="s">
        <v>999</v>
      </c>
      <c r="Q738" s="973" t="s">
        <v>1000</v>
      </c>
      <c r="R738" s="973" t="s">
        <v>1001</v>
      </c>
      <c r="S738" s="973" t="s">
        <v>1002</v>
      </c>
      <c r="T738" s="423">
        <v>500</v>
      </c>
      <c r="V738" s="423">
        <v>0.5</v>
      </c>
      <c r="W738" s="423">
        <v>1.5</v>
      </c>
      <c r="X738" s="423" t="s">
        <v>2343</v>
      </c>
      <c r="Z738" s="423" t="s">
        <v>1059</v>
      </c>
      <c r="AD738" s="423">
        <f>IF(ISNUMBER(MATCH(B738,'FICHA SOLIC'!$AB$26:$AB$376,0)),1,0)</f>
        <v>1</v>
      </c>
      <c r="AE738" s="423" t="str">
        <f t="shared" si="11"/>
        <v>La SerenaZCH-2</v>
      </c>
    </row>
    <row r="739" spans="1:31" x14ac:dyDescent="0.25">
      <c r="A739" s="423">
        <v>738</v>
      </c>
      <c r="B739" s="423" t="s">
        <v>128</v>
      </c>
      <c r="C739" s="423" t="s">
        <v>2344</v>
      </c>
      <c r="D739" s="972" t="s">
        <v>990</v>
      </c>
      <c r="E739" s="973" t="s">
        <v>991</v>
      </c>
      <c r="F739" s="973" t="s">
        <v>992</v>
      </c>
      <c r="G739" s="973" t="s">
        <v>1997</v>
      </c>
      <c r="H739" s="973" t="s">
        <v>1998</v>
      </c>
      <c r="I739" s="973" t="s">
        <v>1999</v>
      </c>
      <c r="J739" s="972" t="s">
        <v>697</v>
      </c>
      <c r="K739" s="973" t="s">
        <v>995</v>
      </c>
      <c r="L739" s="973" t="s">
        <v>996</v>
      </c>
      <c r="M739" s="973" t="s">
        <v>2000</v>
      </c>
      <c r="N739" s="973" t="s">
        <v>2001</v>
      </c>
      <c r="O739" s="972" t="s">
        <v>1971</v>
      </c>
      <c r="P739" s="973" t="s">
        <v>999</v>
      </c>
      <c r="Q739" s="973" t="s">
        <v>1000</v>
      </c>
      <c r="R739" s="973" t="s">
        <v>1001</v>
      </c>
      <c r="S739" s="973" t="s">
        <v>1002</v>
      </c>
      <c r="T739" s="423">
        <v>800</v>
      </c>
      <c r="V739" s="423">
        <v>0.6</v>
      </c>
      <c r="W739" s="423">
        <v>3</v>
      </c>
      <c r="X739" s="423" t="s">
        <v>2345</v>
      </c>
      <c r="Z739" s="423" t="s">
        <v>1039</v>
      </c>
      <c r="AD739" s="423">
        <f>IF(ISNUMBER(MATCH(B739,'FICHA SOLIC'!$AB$26:$AB$376,0)),1,0)</f>
        <v>1</v>
      </c>
      <c r="AE739" s="423" t="str">
        <f t="shared" si="11"/>
        <v>La SerenaZPT-1</v>
      </c>
    </row>
    <row r="740" spans="1:31" x14ac:dyDescent="0.25">
      <c r="A740" s="423">
        <v>739</v>
      </c>
      <c r="B740" s="423" t="s">
        <v>128</v>
      </c>
      <c r="C740" s="423" t="s">
        <v>2346</v>
      </c>
      <c r="D740" s="972" t="s">
        <v>990</v>
      </c>
      <c r="E740" s="973" t="s">
        <v>991</v>
      </c>
      <c r="F740" s="973" t="s">
        <v>992</v>
      </c>
      <c r="G740" s="973" t="s">
        <v>1997</v>
      </c>
      <c r="H740" s="973" t="s">
        <v>1998</v>
      </c>
      <c r="I740" s="973" t="s">
        <v>1999</v>
      </c>
      <c r="J740" s="972" t="s">
        <v>697</v>
      </c>
      <c r="K740" s="973" t="s">
        <v>995</v>
      </c>
      <c r="L740" s="973" t="s">
        <v>996</v>
      </c>
      <c r="M740" s="973" t="s">
        <v>2000</v>
      </c>
      <c r="N740" s="973" t="s">
        <v>2001</v>
      </c>
      <c r="O740" s="972" t="s">
        <v>1971</v>
      </c>
      <c r="P740" s="973" t="s">
        <v>999</v>
      </c>
      <c r="Q740" s="973" t="s">
        <v>1000</v>
      </c>
      <c r="R740" s="973" t="s">
        <v>1001</v>
      </c>
      <c r="S740" s="973" t="s">
        <v>1002</v>
      </c>
      <c r="T740" s="423">
        <v>800</v>
      </c>
      <c r="V740" s="423">
        <v>0.6</v>
      </c>
      <c r="W740" s="423">
        <v>1.8</v>
      </c>
      <c r="X740" s="423" t="s">
        <v>2347</v>
      </c>
      <c r="Z740" s="423" t="s">
        <v>1039</v>
      </c>
      <c r="AD740" s="423">
        <f>IF(ISNUMBER(MATCH(B740,'FICHA SOLIC'!$AB$26:$AB$376,0)),1,0)</f>
        <v>1</v>
      </c>
      <c r="AE740" s="423" t="str">
        <f t="shared" si="11"/>
        <v>La SerenaZPT-2</v>
      </c>
    </row>
    <row r="741" spans="1:31" x14ac:dyDescent="0.25">
      <c r="A741" s="423">
        <v>740</v>
      </c>
      <c r="B741" s="423" t="s">
        <v>128</v>
      </c>
      <c r="C741" s="423" t="s">
        <v>2348</v>
      </c>
      <c r="D741" s="972" t="s">
        <v>990</v>
      </c>
      <c r="E741" s="973" t="s">
        <v>991</v>
      </c>
      <c r="F741" s="973" t="s">
        <v>992</v>
      </c>
      <c r="G741" s="973" t="s">
        <v>1997</v>
      </c>
      <c r="H741" s="973" t="s">
        <v>1998</v>
      </c>
      <c r="I741" s="973" t="s">
        <v>1999</v>
      </c>
      <c r="J741" s="972" t="s">
        <v>697</v>
      </c>
      <c r="K741" s="973" t="s">
        <v>995</v>
      </c>
      <c r="L741" s="973" t="s">
        <v>996</v>
      </c>
      <c r="M741" s="973" t="s">
        <v>2000</v>
      </c>
      <c r="N741" s="973" t="s">
        <v>2001</v>
      </c>
      <c r="O741" s="972" t="s">
        <v>1971</v>
      </c>
      <c r="P741" s="973" t="s">
        <v>999</v>
      </c>
      <c r="Q741" s="973" t="s">
        <v>1000</v>
      </c>
      <c r="R741" s="973" t="s">
        <v>1001</v>
      </c>
      <c r="S741" s="973" t="s">
        <v>1002</v>
      </c>
      <c r="T741" s="423">
        <v>800</v>
      </c>
      <c r="V741" s="423">
        <v>0.6</v>
      </c>
      <c r="W741" s="423">
        <v>3.6</v>
      </c>
      <c r="X741" s="423" t="s">
        <v>2349</v>
      </c>
      <c r="Z741" s="423" t="s">
        <v>1096</v>
      </c>
      <c r="AD741" s="423">
        <f>IF(ISNUMBER(MATCH(B741,'FICHA SOLIC'!$AB$26:$AB$376,0)),1,0)</f>
        <v>1</v>
      </c>
      <c r="AE741" s="423" t="str">
        <f t="shared" si="11"/>
        <v>La SerenaZPT-3</v>
      </c>
    </row>
    <row r="742" spans="1:31" x14ac:dyDescent="0.25">
      <c r="A742" s="423">
        <v>741</v>
      </c>
      <c r="B742" s="423" t="s">
        <v>128</v>
      </c>
      <c r="C742" s="423" t="s">
        <v>2350</v>
      </c>
      <c r="D742" s="972" t="s">
        <v>990</v>
      </c>
      <c r="E742" s="973" t="s">
        <v>991</v>
      </c>
      <c r="F742" s="973" t="s">
        <v>992</v>
      </c>
      <c r="G742" s="973" t="s">
        <v>1997</v>
      </c>
      <c r="H742" s="973" t="s">
        <v>1998</v>
      </c>
      <c r="I742" s="973" t="s">
        <v>1999</v>
      </c>
      <c r="J742" s="972" t="s">
        <v>697</v>
      </c>
      <c r="K742" s="973" t="s">
        <v>995</v>
      </c>
      <c r="L742" s="973" t="s">
        <v>996</v>
      </c>
      <c r="M742" s="973" t="s">
        <v>2000</v>
      </c>
      <c r="N742" s="973" t="s">
        <v>2001</v>
      </c>
      <c r="O742" s="972" t="s">
        <v>1971</v>
      </c>
      <c r="P742" s="973" t="s">
        <v>999</v>
      </c>
      <c r="Q742" s="973" t="s">
        <v>1000</v>
      </c>
      <c r="R742" s="973" t="s">
        <v>1001</v>
      </c>
      <c r="S742" s="973" t="s">
        <v>1002</v>
      </c>
      <c r="T742" s="423">
        <v>800</v>
      </c>
      <c r="V742" s="423">
        <v>0.6</v>
      </c>
      <c r="W742" s="423">
        <v>2.4</v>
      </c>
      <c r="X742" s="423" t="s">
        <v>2345</v>
      </c>
      <c r="Z742" s="423" t="s">
        <v>1059</v>
      </c>
      <c r="AD742" s="423">
        <f>IF(ISNUMBER(MATCH(B742,'FICHA SOLIC'!$AB$26:$AB$376,0)),1,0)</f>
        <v>1</v>
      </c>
      <c r="AE742" s="423" t="str">
        <f t="shared" si="11"/>
        <v>La SerenaZPT-4</v>
      </c>
    </row>
    <row r="743" spans="1:31" x14ac:dyDescent="0.25">
      <c r="A743" s="423">
        <v>742</v>
      </c>
      <c r="B743" s="423" t="s">
        <v>128</v>
      </c>
      <c r="C743" s="423" t="s">
        <v>2351</v>
      </c>
      <c r="D743" s="972" t="s">
        <v>990</v>
      </c>
      <c r="E743" s="973" t="s">
        <v>991</v>
      </c>
      <c r="F743" s="973" t="s">
        <v>992</v>
      </c>
      <c r="G743" s="973" t="s">
        <v>1997</v>
      </c>
      <c r="H743" s="973" t="s">
        <v>1998</v>
      </c>
      <c r="I743" s="973" t="s">
        <v>1999</v>
      </c>
      <c r="J743" s="972" t="s">
        <v>697</v>
      </c>
      <c r="K743" s="973" t="s">
        <v>995</v>
      </c>
      <c r="L743" s="973" t="s">
        <v>996</v>
      </c>
      <c r="M743" s="973" t="s">
        <v>2000</v>
      </c>
      <c r="N743" s="973" t="s">
        <v>2001</v>
      </c>
      <c r="O743" s="972" t="s">
        <v>1971</v>
      </c>
      <c r="P743" s="973" t="s">
        <v>999</v>
      </c>
      <c r="Q743" s="973" t="s">
        <v>1000</v>
      </c>
      <c r="R743" s="973" t="s">
        <v>1001</v>
      </c>
      <c r="S743" s="973" t="s">
        <v>1002</v>
      </c>
      <c r="T743" s="423">
        <v>400</v>
      </c>
      <c r="V743" s="423">
        <v>0.6</v>
      </c>
      <c r="W743" s="423">
        <v>3.2</v>
      </c>
      <c r="X743" s="423">
        <v>9</v>
      </c>
      <c r="Z743" s="423" t="s">
        <v>1096</v>
      </c>
      <c r="AD743" s="423">
        <f>IF(ISNUMBER(MATCH(B743,'FICHA SOLIC'!$AB$26:$AB$376,0)),1,0)</f>
        <v>1</v>
      </c>
      <c r="AE743" s="423" t="str">
        <f t="shared" si="11"/>
        <v>La SerenaZPT-5</v>
      </c>
    </row>
    <row r="744" spans="1:31" x14ac:dyDescent="0.25">
      <c r="A744" s="423">
        <v>743</v>
      </c>
      <c r="B744" s="423" t="s">
        <v>128</v>
      </c>
      <c r="C744" s="423" t="s">
        <v>2352</v>
      </c>
      <c r="D744" s="972" t="s">
        <v>990</v>
      </c>
      <c r="E744" s="973" t="s">
        <v>991</v>
      </c>
      <c r="F744" s="973" t="s">
        <v>992</v>
      </c>
      <c r="G744" s="973" t="s">
        <v>1997</v>
      </c>
      <c r="H744" s="973" t="s">
        <v>1998</v>
      </c>
      <c r="I744" s="973" t="s">
        <v>1999</v>
      </c>
      <c r="J744" s="972" t="s">
        <v>697</v>
      </c>
      <c r="K744" s="973" t="s">
        <v>995</v>
      </c>
      <c r="L744" s="973" t="s">
        <v>996</v>
      </c>
      <c r="M744" s="973" t="s">
        <v>2000</v>
      </c>
      <c r="N744" s="973" t="s">
        <v>2001</v>
      </c>
      <c r="O744" s="972" t="s">
        <v>1971</v>
      </c>
      <c r="P744" s="973" t="s">
        <v>999</v>
      </c>
      <c r="Q744" s="973" t="s">
        <v>1000</v>
      </c>
      <c r="R744" s="973" t="s">
        <v>1001</v>
      </c>
      <c r="S744" s="973" t="s">
        <v>1002</v>
      </c>
      <c r="T744" s="423">
        <v>400</v>
      </c>
      <c r="V744" s="423">
        <v>0.6</v>
      </c>
      <c r="W744" s="423">
        <v>2.4</v>
      </c>
      <c r="X744" s="423" t="s">
        <v>2345</v>
      </c>
      <c r="Z744" s="423" t="s">
        <v>1059</v>
      </c>
      <c r="AD744" s="423">
        <f>IF(ISNUMBER(MATCH(B744,'FICHA SOLIC'!$AB$26:$AB$376,0)),1,0)</f>
        <v>1</v>
      </c>
      <c r="AE744" s="423" t="str">
        <f t="shared" si="11"/>
        <v>La SerenaZPT-6</v>
      </c>
    </row>
    <row r="745" spans="1:31" x14ac:dyDescent="0.25">
      <c r="A745" s="423">
        <v>744</v>
      </c>
      <c r="B745" s="423" t="s">
        <v>128</v>
      </c>
      <c r="C745" s="423" t="s">
        <v>2353</v>
      </c>
      <c r="D745" s="972" t="s">
        <v>990</v>
      </c>
      <c r="E745" s="973" t="s">
        <v>991</v>
      </c>
      <c r="F745" s="973" t="s">
        <v>992</v>
      </c>
      <c r="G745" s="973" t="s">
        <v>1997</v>
      </c>
      <c r="H745" s="973" t="s">
        <v>1998</v>
      </c>
      <c r="I745" s="973" t="s">
        <v>1999</v>
      </c>
      <c r="J745" s="972" t="s">
        <v>697</v>
      </c>
      <c r="K745" s="973" t="s">
        <v>995</v>
      </c>
      <c r="L745" s="973" t="s">
        <v>996</v>
      </c>
      <c r="M745" s="973" t="s">
        <v>2000</v>
      </c>
      <c r="N745" s="973" t="s">
        <v>2001</v>
      </c>
      <c r="O745" s="972" t="s">
        <v>1971</v>
      </c>
      <c r="P745" s="973" t="s">
        <v>999</v>
      </c>
      <c r="Q745" s="973" t="s">
        <v>1000</v>
      </c>
      <c r="R745" s="973" t="s">
        <v>1001</v>
      </c>
      <c r="S745" s="973" t="s">
        <v>1002</v>
      </c>
      <c r="T745" s="423">
        <v>400</v>
      </c>
      <c r="V745" s="423">
        <v>0.7</v>
      </c>
      <c r="W745" s="423">
        <v>16</v>
      </c>
      <c r="X745" s="423">
        <v>8</v>
      </c>
      <c r="Z745" s="423" t="s">
        <v>1059</v>
      </c>
      <c r="AD745" s="423">
        <f>IF(ISNUMBER(MATCH(B745,'FICHA SOLIC'!$AB$26:$AB$376,0)),1,0)</f>
        <v>1</v>
      </c>
      <c r="AE745" s="423" t="str">
        <f t="shared" si="11"/>
        <v>La SerenaZPT-7</v>
      </c>
    </row>
    <row r="746" spans="1:31" x14ac:dyDescent="0.25">
      <c r="A746" s="423">
        <v>745</v>
      </c>
      <c r="B746" s="423" t="s">
        <v>128</v>
      </c>
      <c r="C746" s="423" t="s">
        <v>2354</v>
      </c>
      <c r="D746" s="972" t="s">
        <v>990</v>
      </c>
      <c r="E746" s="973" t="s">
        <v>991</v>
      </c>
      <c r="F746" s="973" t="s">
        <v>992</v>
      </c>
      <c r="G746" s="973" t="s">
        <v>1997</v>
      </c>
      <c r="H746" s="973" t="s">
        <v>1998</v>
      </c>
      <c r="I746" s="973" t="s">
        <v>1999</v>
      </c>
      <c r="J746" s="972" t="s">
        <v>697</v>
      </c>
      <c r="K746" s="973" t="s">
        <v>995</v>
      </c>
      <c r="L746" s="973" t="s">
        <v>996</v>
      </c>
      <c r="M746" s="973" t="s">
        <v>2000</v>
      </c>
      <c r="N746" s="973" t="s">
        <v>2001</v>
      </c>
      <c r="O746" s="972" t="s">
        <v>1971</v>
      </c>
      <c r="P746" s="973" t="s">
        <v>999</v>
      </c>
      <c r="Q746" s="973" t="s">
        <v>1000</v>
      </c>
      <c r="R746" s="973" t="s">
        <v>1001</v>
      </c>
      <c r="S746" s="973" t="s">
        <v>1002</v>
      </c>
      <c r="T746" s="423">
        <v>2500</v>
      </c>
      <c r="V746" s="423">
        <v>0.7</v>
      </c>
      <c r="W746" s="423">
        <v>4.9000000000000004</v>
      </c>
      <c r="X746" s="423">
        <v>21</v>
      </c>
      <c r="Z746" s="423" t="s">
        <v>1059</v>
      </c>
      <c r="AD746" s="423">
        <f>IF(ISNUMBER(MATCH(B746,'FICHA SOLIC'!$AB$26:$AB$376,0)),1,0)</f>
        <v>1</v>
      </c>
      <c r="AE746" s="423" t="str">
        <f t="shared" si="11"/>
        <v>La SerenaZPT-8</v>
      </c>
    </row>
    <row r="747" spans="1:31" x14ac:dyDescent="0.25">
      <c r="A747" s="423">
        <v>746</v>
      </c>
      <c r="B747" s="423" t="s">
        <v>128</v>
      </c>
      <c r="C747" s="423" t="s">
        <v>2355</v>
      </c>
      <c r="D747" s="972" t="s">
        <v>990</v>
      </c>
      <c r="E747" s="973" t="s">
        <v>991</v>
      </c>
      <c r="F747" s="973" t="s">
        <v>992</v>
      </c>
      <c r="G747" s="973" t="s">
        <v>1997</v>
      </c>
      <c r="H747" s="973" t="s">
        <v>1998</v>
      </c>
      <c r="I747" s="973" t="s">
        <v>1999</v>
      </c>
      <c r="J747" s="972" t="s">
        <v>697</v>
      </c>
      <c r="K747" s="973" t="s">
        <v>995</v>
      </c>
      <c r="L747" s="973" t="s">
        <v>996</v>
      </c>
      <c r="M747" s="973" t="s">
        <v>2000</v>
      </c>
      <c r="N747" s="973" t="s">
        <v>2001</v>
      </c>
      <c r="O747" s="972" t="s">
        <v>1971</v>
      </c>
      <c r="P747" s="973" t="s">
        <v>999</v>
      </c>
      <c r="Q747" s="973" t="s">
        <v>1000</v>
      </c>
      <c r="R747" s="973" t="s">
        <v>1001</v>
      </c>
      <c r="S747" s="973" t="s">
        <v>1002</v>
      </c>
      <c r="T747" s="423">
        <v>2500</v>
      </c>
      <c r="V747" s="423">
        <v>0.5</v>
      </c>
      <c r="W747" s="423">
        <v>2.5</v>
      </c>
      <c r="X747" s="423">
        <v>14</v>
      </c>
      <c r="Z747" s="423" t="s">
        <v>1059</v>
      </c>
      <c r="AD747" s="423">
        <f>IF(ISNUMBER(MATCH(B747,'FICHA SOLIC'!$AB$26:$AB$376,0)),1,0)</f>
        <v>1</v>
      </c>
      <c r="AE747" s="423" t="str">
        <f t="shared" si="11"/>
        <v>La SerenaZPT-9</v>
      </c>
    </row>
    <row r="748" spans="1:31" x14ac:dyDescent="0.25">
      <c r="A748" s="423">
        <v>747</v>
      </c>
      <c r="B748" s="423" t="s">
        <v>128</v>
      </c>
      <c r="C748" s="423" t="s">
        <v>2356</v>
      </c>
      <c r="D748" s="972" t="s">
        <v>990</v>
      </c>
      <c r="E748" s="973" t="s">
        <v>991</v>
      </c>
      <c r="F748" s="973" t="s">
        <v>992</v>
      </c>
      <c r="G748" s="973" t="s">
        <v>1997</v>
      </c>
      <c r="H748" s="973" t="s">
        <v>1998</v>
      </c>
      <c r="I748" s="973" t="s">
        <v>1999</v>
      </c>
      <c r="J748" s="972" t="s">
        <v>697</v>
      </c>
      <c r="K748" s="973" t="s">
        <v>995</v>
      </c>
      <c r="L748" s="973" t="s">
        <v>996</v>
      </c>
      <c r="M748" s="973" t="s">
        <v>2000</v>
      </c>
      <c r="N748" s="973" t="s">
        <v>2001</v>
      </c>
      <c r="O748" s="972" t="s">
        <v>1971</v>
      </c>
      <c r="P748" s="973" t="s">
        <v>999</v>
      </c>
      <c r="Q748" s="973" t="s">
        <v>1000</v>
      </c>
      <c r="R748" s="973" t="s">
        <v>1001</v>
      </c>
      <c r="S748" s="973" t="s">
        <v>1002</v>
      </c>
      <c r="T748" s="423">
        <v>1000</v>
      </c>
      <c r="V748" s="423">
        <v>0.8</v>
      </c>
      <c r="W748" s="423">
        <v>2.4</v>
      </c>
      <c r="X748" s="423">
        <v>22</v>
      </c>
      <c r="Z748" s="423" t="s">
        <v>1059</v>
      </c>
      <c r="AD748" s="423">
        <f>IF(ISNUMBER(MATCH(B748,'FICHA SOLIC'!$AB$26:$AB$376,0)),1,0)</f>
        <v>1</v>
      </c>
      <c r="AE748" s="423" t="str">
        <f t="shared" si="11"/>
        <v>La SerenaZU-10-A</v>
      </c>
    </row>
    <row r="749" spans="1:31" x14ac:dyDescent="0.25">
      <c r="A749" s="423">
        <v>748</v>
      </c>
      <c r="B749" s="423" t="s">
        <v>128</v>
      </c>
      <c r="C749" s="423" t="s">
        <v>2357</v>
      </c>
      <c r="D749" s="972" t="s">
        <v>990</v>
      </c>
      <c r="E749" s="973" t="s">
        <v>991</v>
      </c>
      <c r="F749" s="973" t="s">
        <v>992</v>
      </c>
      <c r="G749" s="973" t="s">
        <v>1997</v>
      </c>
      <c r="H749" s="973" t="s">
        <v>1998</v>
      </c>
      <c r="I749" s="973" t="s">
        <v>1999</v>
      </c>
      <c r="J749" s="972" t="s">
        <v>697</v>
      </c>
      <c r="K749" s="973" t="s">
        <v>995</v>
      </c>
      <c r="L749" s="973" t="s">
        <v>996</v>
      </c>
      <c r="M749" s="973" t="s">
        <v>2000</v>
      </c>
      <c r="N749" s="973" t="s">
        <v>2001</v>
      </c>
      <c r="O749" s="972" t="s">
        <v>1971</v>
      </c>
      <c r="P749" s="973" t="s">
        <v>999</v>
      </c>
      <c r="Q749" s="973" t="s">
        <v>1000</v>
      </c>
      <c r="R749" s="973" t="s">
        <v>1001</v>
      </c>
      <c r="S749" s="973" t="s">
        <v>1002</v>
      </c>
      <c r="T749" s="423">
        <v>1000</v>
      </c>
      <c r="V749" s="423">
        <v>0.8</v>
      </c>
      <c r="W749" s="423">
        <v>2.4</v>
      </c>
      <c r="X749" s="423">
        <v>22</v>
      </c>
      <c r="Z749" s="423" t="s">
        <v>1059</v>
      </c>
      <c r="AD749" s="423">
        <f>IF(ISNUMBER(MATCH(B749,'FICHA SOLIC'!$AB$26:$AB$376,0)),1,0)</f>
        <v>1</v>
      </c>
      <c r="AE749" s="423" t="str">
        <f t="shared" si="11"/>
        <v>La SerenaZU-10-B</v>
      </c>
    </row>
    <row r="750" spans="1:31" x14ac:dyDescent="0.25">
      <c r="A750" s="423">
        <v>749</v>
      </c>
      <c r="B750" s="423" t="s">
        <v>128</v>
      </c>
      <c r="C750" s="423" t="s">
        <v>2358</v>
      </c>
      <c r="D750" s="972" t="s">
        <v>990</v>
      </c>
      <c r="E750" s="973" t="s">
        <v>991</v>
      </c>
      <c r="F750" s="973" t="s">
        <v>992</v>
      </c>
      <c r="G750" s="973" t="s">
        <v>1997</v>
      </c>
      <c r="H750" s="973" t="s">
        <v>1998</v>
      </c>
      <c r="I750" s="973" t="s">
        <v>1999</v>
      </c>
      <c r="J750" s="972" t="s">
        <v>697</v>
      </c>
      <c r="K750" s="973" t="s">
        <v>995</v>
      </c>
      <c r="L750" s="973" t="s">
        <v>996</v>
      </c>
      <c r="M750" s="973" t="s">
        <v>2000</v>
      </c>
      <c r="N750" s="973" t="s">
        <v>2001</v>
      </c>
      <c r="O750" s="972" t="s">
        <v>1971</v>
      </c>
      <c r="P750" s="973" t="s">
        <v>999</v>
      </c>
      <c r="Q750" s="973" t="s">
        <v>1000</v>
      </c>
      <c r="R750" s="973" t="s">
        <v>1001</v>
      </c>
      <c r="S750" s="973" t="s">
        <v>1002</v>
      </c>
      <c r="T750" s="423">
        <v>2500</v>
      </c>
      <c r="V750" s="423">
        <v>0.2</v>
      </c>
      <c r="W750" s="423">
        <v>0.8</v>
      </c>
      <c r="X750" s="423">
        <v>14</v>
      </c>
      <c r="Z750" s="423" t="s">
        <v>2359</v>
      </c>
      <c r="AD750" s="423">
        <f>IF(ISNUMBER(MATCH(B750,'FICHA SOLIC'!$AB$26:$AB$376,0)),1,0)</f>
        <v>1</v>
      </c>
      <c r="AE750" s="423" t="str">
        <f t="shared" si="11"/>
        <v>La SerenaZU-11-A</v>
      </c>
    </row>
    <row r="751" spans="1:31" x14ac:dyDescent="0.25">
      <c r="A751" s="423">
        <v>750</v>
      </c>
      <c r="B751" s="423" t="s">
        <v>128</v>
      </c>
      <c r="C751" s="423" t="s">
        <v>2360</v>
      </c>
      <c r="D751" s="972" t="s">
        <v>990</v>
      </c>
      <c r="E751" s="973" t="s">
        <v>991</v>
      </c>
      <c r="F751" s="973" t="s">
        <v>992</v>
      </c>
      <c r="G751" s="973" t="s">
        <v>1997</v>
      </c>
      <c r="H751" s="973" t="s">
        <v>1998</v>
      </c>
      <c r="I751" s="973" t="s">
        <v>1999</v>
      </c>
      <c r="J751" s="972" t="s">
        <v>697</v>
      </c>
      <c r="K751" s="973" t="s">
        <v>995</v>
      </c>
      <c r="L751" s="973" t="s">
        <v>996</v>
      </c>
      <c r="M751" s="973" t="s">
        <v>2000</v>
      </c>
      <c r="N751" s="973" t="s">
        <v>2001</v>
      </c>
      <c r="O751" s="972" t="s">
        <v>1971</v>
      </c>
      <c r="P751" s="973" t="s">
        <v>999</v>
      </c>
      <c r="Q751" s="973" t="s">
        <v>1000</v>
      </c>
      <c r="R751" s="973" t="s">
        <v>1001</v>
      </c>
      <c r="S751" s="973" t="s">
        <v>1002</v>
      </c>
      <c r="T751" s="423">
        <v>2500</v>
      </c>
      <c r="V751" s="423">
        <v>0.2</v>
      </c>
      <c r="W751" s="423">
        <v>0.8</v>
      </c>
      <c r="X751" s="423">
        <v>14</v>
      </c>
      <c r="Z751" s="423" t="s">
        <v>1058</v>
      </c>
      <c r="AD751" s="423">
        <f>IF(ISNUMBER(MATCH(B751,'FICHA SOLIC'!$AB$26:$AB$376,0)),1,0)</f>
        <v>1</v>
      </c>
      <c r="AE751" s="423" t="str">
        <f t="shared" si="11"/>
        <v>La SerenaZU-11-B</v>
      </c>
    </row>
    <row r="752" spans="1:31" x14ac:dyDescent="0.25">
      <c r="A752" s="423">
        <v>751</v>
      </c>
      <c r="B752" s="423" t="s">
        <v>128</v>
      </c>
      <c r="C752" s="423" t="s">
        <v>2361</v>
      </c>
      <c r="D752" s="972" t="s">
        <v>990</v>
      </c>
      <c r="E752" s="973" t="s">
        <v>991</v>
      </c>
      <c r="F752" s="973" t="s">
        <v>992</v>
      </c>
      <c r="G752" s="973" t="s">
        <v>1997</v>
      </c>
      <c r="H752" s="973" t="s">
        <v>1998</v>
      </c>
      <c r="I752" s="973" t="s">
        <v>1999</v>
      </c>
      <c r="J752" s="972" t="s">
        <v>697</v>
      </c>
      <c r="K752" s="973" t="s">
        <v>995</v>
      </c>
      <c r="L752" s="973" t="s">
        <v>996</v>
      </c>
      <c r="M752" s="973" t="s">
        <v>2000</v>
      </c>
      <c r="N752" s="973" t="s">
        <v>2001</v>
      </c>
      <c r="O752" s="972" t="s">
        <v>1971</v>
      </c>
      <c r="P752" s="973" t="s">
        <v>999</v>
      </c>
      <c r="Q752" s="973" t="s">
        <v>1000</v>
      </c>
      <c r="R752" s="973" t="s">
        <v>1001</v>
      </c>
      <c r="S752" s="973" t="s">
        <v>1002</v>
      </c>
      <c r="T752" s="423">
        <v>2500</v>
      </c>
      <c r="V752" s="423">
        <v>0.2</v>
      </c>
      <c r="W752" s="423">
        <v>0.8</v>
      </c>
      <c r="X752" s="423">
        <v>14</v>
      </c>
      <c r="Z752" s="423" t="s">
        <v>1058</v>
      </c>
      <c r="AD752" s="423">
        <f>IF(ISNUMBER(MATCH(B752,'FICHA SOLIC'!$AB$26:$AB$376,0)),1,0)</f>
        <v>1</v>
      </c>
      <c r="AE752" s="423" t="str">
        <f t="shared" si="11"/>
        <v>La SerenaZU-11-C</v>
      </c>
    </row>
    <row r="753" spans="1:31" x14ac:dyDescent="0.25">
      <c r="A753" s="423">
        <v>752</v>
      </c>
      <c r="B753" s="423" t="s">
        <v>128</v>
      </c>
      <c r="C753" s="423" t="s">
        <v>2047</v>
      </c>
      <c r="D753" s="975" t="s">
        <v>990</v>
      </c>
      <c r="E753" s="976" t="s">
        <v>991</v>
      </c>
      <c r="F753" s="976" t="s">
        <v>992</v>
      </c>
      <c r="G753" s="976" t="s">
        <v>1997</v>
      </c>
      <c r="H753" s="976" t="s">
        <v>1998</v>
      </c>
      <c r="I753" s="976" t="s">
        <v>1999</v>
      </c>
      <c r="J753" s="975" t="s">
        <v>697</v>
      </c>
      <c r="K753" s="976" t="s">
        <v>995</v>
      </c>
      <c r="L753" s="976" t="s">
        <v>996</v>
      </c>
      <c r="M753" s="976" t="s">
        <v>2000</v>
      </c>
      <c r="N753" s="976" t="s">
        <v>2001</v>
      </c>
      <c r="O753" s="975" t="s">
        <v>1971</v>
      </c>
      <c r="P753" s="976" t="s">
        <v>999</v>
      </c>
      <c r="Q753" s="976" t="s">
        <v>1000</v>
      </c>
      <c r="R753" s="976" t="s">
        <v>1001</v>
      </c>
      <c r="S753" s="976" t="s">
        <v>1002</v>
      </c>
      <c r="T753" s="423">
        <v>2500</v>
      </c>
      <c r="V753" s="423">
        <v>0.2</v>
      </c>
      <c r="W753" s="423">
        <v>0.6</v>
      </c>
      <c r="X753" s="423">
        <v>9</v>
      </c>
      <c r="Z753" s="423" t="s">
        <v>1058</v>
      </c>
      <c r="AD753" s="423">
        <f>IF(ISNUMBER(MATCH(B753,'FICHA SOLIC'!$AB$26:$AB$376,0)),1,0)</f>
        <v>1</v>
      </c>
      <c r="AE753" s="423" t="str">
        <f t="shared" si="11"/>
        <v>La SerenaZU-12</v>
      </c>
    </row>
    <row r="754" spans="1:31" x14ac:dyDescent="0.25">
      <c r="A754" s="423">
        <v>753</v>
      </c>
      <c r="B754" s="423" t="s">
        <v>128</v>
      </c>
      <c r="C754" s="423" t="s">
        <v>2362</v>
      </c>
      <c r="D754" s="975" t="s">
        <v>990</v>
      </c>
      <c r="E754" s="976" t="s">
        <v>991</v>
      </c>
      <c r="F754" s="976" t="s">
        <v>992</v>
      </c>
      <c r="G754" s="976" t="s">
        <v>1997</v>
      </c>
      <c r="H754" s="976" t="s">
        <v>1998</v>
      </c>
      <c r="I754" s="976" t="s">
        <v>1999</v>
      </c>
      <c r="J754" s="975" t="s">
        <v>697</v>
      </c>
      <c r="K754" s="976" t="s">
        <v>995</v>
      </c>
      <c r="L754" s="976" t="s">
        <v>996</v>
      </c>
      <c r="M754" s="976" t="s">
        <v>2000</v>
      </c>
      <c r="N754" s="976" t="s">
        <v>2001</v>
      </c>
      <c r="O754" s="975" t="s">
        <v>1971</v>
      </c>
      <c r="P754" s="976" t="s">
        <v>999</v>
      </c>
      <c r="Q754" s="976" t="s">
        <v>1000</v>
      </c>
      <c r="R754" s="976" t="s">
        <v>1001</v>
      </c>
      <c r="S754" s="976" t="s">
        <v>1002</v>
      </c>
      <c r="T754" s="423">
        <v>1000</v>
      </c>
      <c r="V754" s="423">
        <v>0.3</v>
      </c>
      <c r="W754" s="423">
        <v>0.8</v>
      </c>
      <c r="X754" s="423">
        <v>18</v>
      </c>
      <c r="Z754" s="423" t="s">
        <v>1058</v>
      </c>
      <c r="AD754" s="423">
        <f>IF(ISNUMBER(MATCH(B754,'FICHA SOLIC'!$AB$26:$AB$376,0)),1,0)</f>
        <v>1</v>
      </c>
      <c r="AE754" s="423" t="str">
        <f t="shared" si="11"/>
        <v>La SerenaZU-13</v>
      </c>
    </row>
    <row r="755" spans="1:31" x14ac:dyDescent="0.25">
      <c r="A755" s="423">
        <v>754</v>
      </c>
      <c r="B755" s="423" t="s">
        <v>128</v>
      </c>
      <c r="C755" s="423" t="s">
        <v>2363</v>
      </c>
      <c r="D755" s="975" t="s">
        <v>990</v>
      </c>
      <c r="E755" s="976" t="s">
        <v>991</v>
      </c>
      <c r="F755" s="976" t="s">
        <v>992</v>
      </c>
      <c r="G755" s="976" t="s">
        <v>1997</v>
      </c>
      <c r="H755" s="976" t="s">
        <v>1998</v>
      </c>
      <c r="I755" s="976" t="s">
        <v>1999</v>
      </c>
      <c r="J755" s="975" t="s">
        <v>697</v>
      </c>
      <c r="K755" s="976" t="s">
        <v>995</v>
      </c>
      <c r="L755" s="976" t="s">
        <v>996</v>
      </c>
      <c r="M755" s="976" t="s">
        <v>2000</v>
      </c>
      <c r="N755" s="976" t="s">
        <v>2001</v>
      </c>
      <c r="O755" s="975" t="s">
        <v>1971</v>
      </c>
      <c r="P755" s="976" t="s">
        <v>999</v>
      </c>
      <c r="Q755" s="976" t="s">
        <v>1000</v>
      </c>
      <c r="R755" s="976" t="s">
        <v>1001</v>
      </c>
      <c r="S755" s="976" t="s">
        <v>1002</v>
      </c>
      <c r="T755" s="423">
        <v>10000</v>
      </c>
      <c r="V755" s="423">
        <v>0.01</v>
      </c>
      <c r="W755" s="423">
        <v>0.01</v>
      </c>
      <c r="X755" s="423">
        <v>9</v>
      </c>
      <c r="Z755" s="423" t="s">
        <v>1058</v>
      </c>
      <c r="AD755" s="423">
        <f>IF(ISNUMBER(MATCH(B755,'FICHA SOLIC'!$AB$26:$AB$376,0)),1,0)</f>
        <v>1</v>
      </c>
      <c r="AE755" s="423" t="str">
        <f t="shared" si="11"/>
        <v>La SerenaZU14-A</v>
      </c>
    </row>
    <row r="756" spans="1:31" x14ac:dyDescent="0.25">
      <c r="A756" s="423">
        <v>755</v>
      </c>
      <c r="B756" s="423" t="s">
        <v>128</v>
      </c>
      <c r="C756" s="423" t="s">
        <v>2364</v>
      </c>
      <c r="D756" s="975" t="s">
        <v>990</v>
      </c>
      <c r="E756" s="976" t="s">
        <v>991</v>
      </c>
      <c r="F756" s="976" t="s">
        <v>992</v>
      </c>
      <c r="G756" s="976" t="s">
        <v>1997</v>
      </c>
      <c r="H756" s="976" t="s">
        <v>1998</v>
      </c>
      <c r="I756" s="976" t="s">
        <v>1999</v>
      </c>
      <c r="J756" s="975" t="s">
        <v>697</v>
      </c>
      <c r="K756" s="976" t="s">
        <v>995</v>
      </c>
      <c r="L756" s="976" t="s">
        <v>996</v>
      </c>
      <c r="M756" s="976" t="s">
        <v>2000</v>
      </c>
      <c r="N756" s="976" t="s">
        <v>2001</v>
      </c>
      <c r="O756" s="975" t="s">
        <v>1971</v>
      </c>
      <c r="P756" s="976" t="s">
        <v>999</v>
      </c>
      <c r="Q756" s="976" t="s">
        <v>1000</v>
      </c>
      <c r="R756" s="976" t="s">
        <v>1001</v>
      </c>
      <c r="S756" s="976" t="s">
        <v>1002</v>
      </c>
      <c r="T756" s="423">
        <v>10000</v>
      </c>
      <c r="V756" s="423">
        <v>0.01</v>
      </c>
      <c r="W756" s="423">
        <v>0.01</v>
      </c>
      <c r="X756" s="423">
        <v>9</v>
      </c>
      <c r="Z756" s="423" t="s">
        <v>1058</v>
      </c>
      <c r="AD756" s="423">
        <f>IF(ISNUMBER(MATCH(B756,'FICHA SOLIC'!$AB$26:$AB$376,0)),1,0)</f>
        <v>1</v>
      </c>
      <c r="AE756" s="423" t="str">
        <f t="shared" si="11"/>
        <v>La SerenaZU-14-B</v>
      </c>
    </row>
    <row r="757" spans="1:31" x14ac:dyDescent="0.25">
      <c r="A757" s="423">
        <v>756</v>
      </c>
      <c r="B757" s="423" t="s">
        <v>128</v>
      </c>
      <c r="C757" s="423" t="s">
        <v>2365</v>
      </c>
      <c r="D757" s="975" t="s">
        <v>990</v>
      </c>
      <c r="E757" s="976" t="s">
        <v>991</v>
      </c>
      <c r="F757" s="976" t="s">
        <v>992</v>
      </c>
      <c r="G757" s="976" t="s">
        <v>1997</v>
      </c>
      <c r="H757" s="976" t="s">
        <v>1998</v>
      </c>
      <c r="I757" s="976" t="s">
        <v>1999</v>
      </c>
      <c r="J757" s="975" t="s">
        <v>697</v>
      </c>
      <c r="K757" s="976" t="s">
        <v>995</v>
      </c>
      <c r="L757" s="976" t="s">
        <v>996</v>
      </c>
      <c r="M757" s="976" t="s">
        <v>2000</v>
      </c>
      <c r="N757" s="976" t="s">
        <v>2001</v>
      </c>
      <c r="O757" s="975" t="s">
        <v>1971</v>
      </c>
      <c r="P757" s="976" t="s">
        <v>999</v>
      </c>
      <c r="Q757" s="976" t="s">
        <v>1000</v>
      </c>
      <c r="R757" s="976" t="s">
        <v>1001</v>
      </c>
      <c r="S757" s="976" t="s">
        <v>1002</v>
      </c>
      <c r="T757" s="423">
        <v>2500</v>
      </c>
      <c r="V757" s="423">
        <v>0.2</v>
      </c>
      <c r="W757" s="423">
        <v>0.4</v>
      </c>
      <c r="X757" s="423">
        <v>9</v>
      </c>
      <c r="Z757" s="423" t="s">
        <v>1058</v>
      </c>
      <c r="AD757" s="423">
        <f>IF(ISNUMBER(MATCH(B757,'FICHA SOLIC'!$AB$26:$AB$376,0)),1,0)</f>
        <v>1</v>
      </c>
      <c r="AE757" s="423" t="str">
        <f t="shared" si="11"/>
        <v>La SerenaZU-14-C</v>
      </c>
    </row>
    <row r="758" spans="1:31" x14ac:dyDescent="0.25">
      <c r="A758" s="423">
        <v>757</v>
      </c>
      <c r="B758" s="423" t="s">
        <v>128</v>
      </c>
      <c r="C758" s="423" t="s">
        <v>2366</v>
      </c>
      <c r="D758" s="975" t="s">
        <v>990</v>
      </c>
      <c r="E758" s="976" t="s">
        <v>991</v>
      </c>
      <c r="F758" s="976" t="s">
        <v>992</v>
      </c>
      <c r="G758" s="976" t="s">
        <v>1997</v>
      </c>
      <c r="H758" s="976" t="s">
        <v>1998</v>
      </c>
      <c r="I758" s="976" t="s">
        <v>1999</v>
      </c>
      <c r="J758" s="975" t="s">
        <v>697</v>
      </c>
      <c r="K758" s="976" t="s">
        <v>995</v>
      </c>
      <c r="L758" s="976" t="s">
        <v>996</v>
      </c>
      <c r="M758" s="976" t="s">
        <v>2000</v>
      </c>
      <c r="N758" s="976" t="s">
        <v>2001</v>
      </c>
      <c r="O758" s="975" t="s">
        <v>1971</v>
      </c>
      <c r="P758" s="976" t="s">
        <v>999</v>
      </c>
      <c r="Q758" s="976" t="s">
        <v>1000</v>
      </c>
      <c r="R758" s="976" t="s">
        <v>1001</v>
      </c>
      <c r="S758" s="976" t="s">
        <v>1002</v>
      </c>
      <c r="T758" s="423">
        <v>2500</v>
      </c>
      <c r="V758" s="423">
        <v>0.2</v>
      </c>
      <c r="W758" s="423">
        <v>0.4</v>
      </c>
      <c r="X758" s="423">
        <v>9</v>
      </c>
      <c r="Z758" s="423" t="s">
        <v>1058</v>
      </c>
      <c r="AD758" s="423">
        <f>IF(ISNUMBER(MATCH(B758,'FICHA SOLIC'!$AB$26:$AB$376,0)),1,0)</f>
        <v>1</v>
      </c>
      <c r="AE758" s="423" t="str">
        <f t="shared" si="11"/>
        <v>La SerenaZU-14-D</v>
      </c>
    </row>
    <row r="759" spans="1:31" x14ac:dyDescent="0.25">
      <c r="A759" s="423">
        <v>758</v>
      </c>
      <c r="B759" s="423" t="s">
        <v>128</v>
      </c>
      <c r="C759" s="423" t="s">
        <v>2052</v>
      </c>
      <c r="D759" s="975" t="s">
        <v>990</v>
      </c>
      <c r="E759" s="976" t="s">
        <v>991</v>
      </c>
      <c r="F759" s="976" t="s">
        <v>992</v>
      </c>
      <c r="G759" s="976" t="s">
        <v>1997</v>
      </c>
      <c r="H759" s="976" t="s">
        <v>1998</v>
      </c>
      <c r="I759" s="976" t="s">
        <v>1999</v>
      </c>
      <c r="J759" s="975" t="s">
        <v>697</v>
      </c>
      <c r="K759" s="976" t="s">
        <v>995</v>
      </c>
      <c r="L759" s="976" t="s">
        <v>996</v>
      </c>
      <c r="M759" s="976" t="s">
        <v>2000</v>
      </c>
      <c r="N759" s="976" t="s">
        <v>2001</v>
      </c>
      <c r="O759" s="975" t="s">
        <v>1971</v>
      </c>
      <c r="P759" s="976" t="s">
        <v>999</v>
      </c>
      <c r="Q759" s="976" t="s">
        <v>1000</v>
      </c>
      <c r="R759" s="976" t="s">
        <v>1001</v>
      </c>
      <c r="S759" s="976" t="s">
        <v>1002</v>
      </c>
      <c r="T759" s="423">
        <v>1000</v>
      </c>
      <c r="V759" s="423">
        <v>0.6</v>
      </c>
      <c r="W759" s="423">
        <v>2.2999999999999998</v>
      </c>
      <c r="X759" s="423">
        <v>14</v>
      </c>
      <c r="Z759" s="423" t="s">
        <v>1058</v>
      </c>
      <c r="AD759" s="423">
        <f>IF(ISNUMBER(MATCH(B759,'FICHA SOLIC'!$AB$26:$AB$376,0)),1,0)</f>
        <v>1</v>
      </c>
      <c r="AE759" s="423" t="str">
        <f t="shared" si="11"/>
        <v>La SerenaZU-15</v>
      </c>
    </row>
    <row r="760" spans="1:31" x14ac:dyDescent="0.25">
      <c r="A760" s="423">
        <v>759</v>
      </c>
      <c r="B760" s="423" t="s">
        <v>128</v>
      </c>
      <c r="C760" s="423" t="s">
        <v>2053</v>
      </c>
      <c r="D760" s="975" t="s">
        <v>990</v>
      </c>
      <c r="E760" s="976" t="s">
        <v>991</v>
      </c>
      <c r="F760" s="976" t="s">
        <v>992</v>
      </c>
      <c r="G760" s="976" t="s">
        <v>1997</v>
      </c>
      <c r="H760" s="976" t="s">
        <v>1998</v>
      </c>
      <c r="I760" s="976" t="s">
        <v>1999</v>
      </c>
      <c r="J760" s="975" t="s">
        <v>697</v>
      </c>
      <c r="K760" s="976" t="s">
        <v>995</v>
      </c>
      <c r="L760" s="976" t="s">
        <v>996</v>
      </c>
      <c r="M760" s="976" t="s">
        <v>2000</v>
      </c>
      <c r="N760" s="976" t="s">
        <v>2001</v>
      </c>
      <c r="O760" s="975" t="s">
        <v>1971</v>
      </c>
      <c r="P760" s="976" t="s">
        <v>999</v>
      </c>
      <c r="Q760" s="976" t="s">
        <v>1000</v>
      </c>
      <c r="R760" s="976" t="s">
        <v>1001</v>
      </c>
      <c r="S760" s="976" t="s">
        <v>1002</v>
      </c>
      <c r="T760" s="423">
        <v>2500</v>
      </c>
      <c r="V760" s="423">
        <v>0.6</v>
      </c>
      <c r="W760" s="423">
        <v>2.4</v>
      </c>
      <c r="X760" s="423">
        <v>14</v>
      </c>
      <c r="Z760" s="423" t="s">
        <v>1058</v>
      </c>
      <c r="AD760" s="423">
        <f>IF(ISNUMBER(MATCH(B760,'FICHA SOLIC'!$AB$26:$AB$376,0)),1,0)</f>
        <v>1</v>
      </c>
      <c r="AE760" s="423" t="str">
        <f t="shared" si="11"/>
        <v>La SerenaZU-16</v>
      </c>
    </row>
    <row r="761" spans="1:31" x14ac:dyDescent="0.25">
      <c r="A761" s="423">
        <v>760</v>
      </c>
      <c r="B761" s="423" t="s">
        <v>128</v>
      </c>
      <c r="C761" s="423" t="s">
        <v>2055</v>
      </c>
      <c r="D761" s="975" t="s">
        <v>990</v>
      </c>
      <c r="E761" s="976" t="s">
        <v>991</v>
      </c>
      <c r="F761" s="976" t="s">
        <v>992</v>
      </c>
      <c r="G761" s="976" t="s">
        <v>1997</v>
      </c>
      <c r="H761" s="976" t="s">
        <v>1998</v>
      </c>
      <c r="I761" s="976" t="s">
        <v>1999</v>
      </c>
      <c r="J761" s="975" t="s">
        <v>697</v>
      </c>
      <c r="K761" s="976" t="s">
        <v>995</v>
      </c>
      <c r="L761" s="976" t="s">
        <v>996</v>
      </c>
      <c r="M761" s="976" t="s">
        <v>2000</v>
      </c>
      <c r="N761" s="976" t="s">
        <v>2001</v>
      </c>
      <c r="O761" s="975" t="s">
        <v>1971</v>
      </c>
      <c r="P761" s="976" t="s">
        <v>999</v>
      </c>
      <c r="Q761" s="976" t="s">
        <v>1000</v>
      </c>
      <c r="R761" s="976" t="s">
        <v>1001</v>
      </c>
      <c r="S761" s="976" t="s">
        <v>1002</v>
      </c>
      <c r="T761" s="423">
        <v>2500</v>
      </c>
      <c r="V761" s="423">
        <v>0.6</v>
      </c>
      <c r="W761" s="423">
        <v>2.4</v>
      </c>
      <c r="X761" s="423">
        <v>14</v>
      </c>
      <c r="Z761" s="423" t="s">
        <v>1058</v>
      </c>
      <c r="AD761" s="423">
        <f>IF(ISNUMBER(MATCH(B761,'FICHA SOLIC'!$AB$26:$AB$376,0)),1,0)</f>
        <v>1</v>
      </c>
      <c r="AE761" s="423" t="str">
        <f t="shared" si="11"/>
        <v>La SerenaZU-17</v>
      </c>
    </row>
    <row r="762" spans="1:31" x14ac:dyDescent="0.25">
      <c r="A762" s="423">
        <v>761</v>
      </c>
      <c r="B762" s="423" t="s">
        <v>128</v>
      </c>
      <c r="C762" s="423" t="s">
        <v>2367</v>
      </c>
      <c r="D762" s="975" t="s">
        <v>990</v>
      </c>
      <c r="E762" s="976" t="s">
        <v>991</v>
      </c>
      <c r="F762" s="976" t="s">
        <v>992</v>
      </c>
      <c r="G762" s="976" t="s">
        <v>1997</v>
      </c>
      <c r="H762" s="976" t="s">
        <v>1998</v>
      </c>
      <c r="I762" s="976" t="s">
        <v>1999</v>
      </c>
      <c r="J762" s="975" t="s">
        <v>697</v>
      </c>
      <c r="K762" s="976" t="s">
        <v>995</v>
      </c>
      <c r="L762" s="976" t="s">
        <v>996</v>
      </c>
      <c r="M762" s="976" t="s">
        <v>2000</v>
      </c>
      <c r="N762" s="976" t="s">
        <v>2001</v>
      </c>
      <c r="O762" s="975" t="s">
        <v>1971</v>
      </c>
      <c r="P762" s="976" t="s">
        <v>999</v>
      </c>
      <c r="Q762" s="976" t="s">
        <v>1000</v>
      </c>
      <c r="R762" s="976" t="s">
        <v>1001</v>
      </c>
      <c r="S762" s="976" t="s">
        <v>1002</v>
      </c>
      <c r="T762" s="423">
        <v>1000</v>
      </c>
      <c r="V762" s="423">
        <v>0.5</v>
      </c>
      <c r="W762" s="423">
        <v>1.5</v>
      </c>
      <c r="X762" s="423">
        <v>14</v>
      </c>
      <c r="Z762" s="423" t="s">
        <v>2306</v>
      </c>
      <c r="AD762" s="423">
        <f>IF(ISNUMBER(MATCH(B762,'FICHA SOLIC'!$AB$26:$AB$376,0)),1,0)</f>
        <v>1</v>
      </c>
      <c r="AE762" s="423" t="str">
        <f t="shared" si="11"/>
        <v>La SerenaZU-18</v>
      </c>
    </row>
    <row r="763" spans="1:31" x14ac:dyDescent="0.25">
      <c r="A763" s="423">
        <v>762</v>
      </c>
      <c r="B763" s="423" t="s">
        <v>128</v>
      </c>
      <c r="C763" s="423" t="s">
        <v>2368</v>
      </c>
      <c r="D763" s="975" t="s">
        <v>990</v>
      </c>
      <c r="E763" s="976" t="s">
        <v>991</v>
      </c>
      <c r="F763" s="976" t="s">
        <v>992</v>
      </c>
      <c r="G763" s="976" t="s">
        <v>1997</v>
      </c>
      <c r="H763" s="976" t="s">
        <v>1998</v>
      </c>
      <c r="I763" s="976" t="s">
        <v>1999</v>
      </c>
      <c r="J763" s="975" t="s">
        <v>697</v>
      </c>
      <c r="K763" s="976" t="s">
        <v>995</v>
      </c>
      <c r="L763" s="976" t="s">
        <v>996</v>
      </c>
      <c r="M763" s="976" t="s">
        <v>2000</v>
      </c>
      <c r="N763" s="976" t="s">
        <v>2001</v>
      </c>
      <c r="O763" s="975" t="s">
        <v>1971</v>
      </c>
      <c r="P763" s="976" t="s">
        <v>999</v>
      </c>
      <c r="Q763" s="976" t="s">
        <v>1000</v>
      </c>
      <c r="R763" s="976" t="s">
        <v>1001</v>
      </c>
      <c r="S763" s="976" t="s">
        <v>1002</v>
      </c>
      <c r="T763" s="423">
        <v>1000</v>
      </c>
      <c r="V763" s="423">
        <v>0.4</v>
      </c>
      <c r="W763" s="423">
        <v>4</v>
      </c>
      <c r="X763" s="423">
        <v>30</v>
      </c>
      <c r="Z763" s="423" t="s">
        <v>1057</v>
      </c>
      <c r="AD763" s="423">
        <f>IF(ISNUMBER(MATCH(B763,'FICHA SOLIC'!$AB$26:$AB$376,0)),1,0)</f>
        <v>1</v>
      </c>
      <c r="AE763" s="423" t="str">
        <f t="shared" si="11"/>
        <v>La SerenaZU-19</v>
      </c>
    </row>
    <row r="764" spans="1:31" x14ac:dyDescent="0.25">
      <c r="A764" s="423">
        <v>763</v>
      </c>
      <c r="B764" s="423" t="s">
        <v>128</v>
      </c>
      <c r="C764" s="423" t="s">
        <v>2369</v>
      </c>
      <c r="D764" s="975" t="s">
        <v>990</v>
      </c>
      <c r="E764" s="976" t="s">
        <v>991</v>
      </c>
      <c r="F764" s="976" t="s">
        <v>992</v>
      </c>
      <c r="G764" s="976" t="s">
        <v>1997</v>
      </c>
      <c r="H764" s="976" t="s">
        <v>1998</v>
      </c>
      <c r="I764" s="976" t="s">
        <v>1999</v>
      </c>
      <c r="J764" s="975" t="s">
        <v>697</v>
      </c>
      <c r="K764" s="976" t="s">
        <v>995</v>
      </c>
      <c r="L764" s="976" t="s">
        <v>996</v>
      </c>
      <c r="M764" s="976" t="s">
        <v>2000</v>
      </c>
      <c r="N764" s="976" t="s">
        <v>2001</v>
      </c>
      <c r="O764" s="975" t="s">
        <v>1971</v>
      </c>
      <c r="P764" s="976" t="s">
        <v>999</v>
      </c>
      <c r="Q764" s="976" t="s">
        <v>1000</v>
      </c>
      <c r="R764" s="976" t="s">
        <v>1001</v>
      </c>
      <c r="S764" s="976" t="s">
        <v>1002</v>
      </c>
      <c r="T764" s="423">
        <v>200</v>
      </c>
      <c r="V764" s="423">
        <v>0.8</v>
      </c>
      <c r="W764" s="423">
        <v>2</v>
      </c>
      <c r="X764" s="423">
        <v>13</v>
      </c>
      <c r="Z764" s="423" t="s">
        <v>1059</v>
      </c>
      <c r="AD764" s="423">
        <f>IF(ISNUMBER(MATCH(B764,'FICHA SOLIC'!$AB$26:$AB$376,0)),1,0)</f>
        <v>1</v>
      </c>
      <c r="AE764" s="423" t="str">
        <f t="shared" si="11"/>
        <v>La SerenaZU-1-A</v>
      </c>
    </row>
    <row r="765" spans="1:31" x14ac:dyDescent="0.25">
      <c r="A765" s="423">
        <v>764</v>
      </c>
      <c r="B765" s="423" t="s">
        <v>128</v>
      </c>
      <c r="C765" s="423" t="s">
        <v>2370</v>
      </c>
      <c r="D765" s="975" t="s">
        <v>990</v>
      </c>
      <c r="E765" s="976" t="s">
        <v>991</v>
      </c>
      <c r="F765" s="976" t="s">
        <v>992</v>
      </c>
      <c r="G765" s="976" t="s">
        <v>1997</v>
      </c>
      <c r="H765" s="976" t="s">
        <v>1998</v>
      </c>
      <c r="I765" s="976" t="s">
        <v>1999</v>
      </c>
      <c r="J765" s="975" t="s">
        <v>697</v>
      </c>
      <c r="K765" s="976" t="s">
        <v>995</v>
      </c>
      <c r="L765" s="976" t="s">
        <v>996</v>
      </c>
      <c r="M765" s="976" t="s">
        <v>2000</v>
      </c>
      <c r="N765" s="976" t="s">
        <v>2001</v>
      </c>
      <c r="O765" s="975" t="s">
        <v>1971</v>
      </c>
      <c r="P765" s="976" t="s">
        <v>999</v>
      </c>
      <c r="Q765" s="976" t="s">
        <v>1000</v>
      </c>
      <c r="R765" s="976" t="s">
        <v>1001</v>
      </c>
      <c r="S765" s="976" t="s">
        <v>1002</v>
      </c>
      <c r="T765" s="423">
        <v>200</v>
      </c>
      <c r="V765" s="423">
        <v>0.8</v>
      </c>
      <c r="W765" s="423">
        <v>2</v>
      </c>
      <c r="X765" s="423">
        <v>11</v>
      </c>
      <c r="Z765" s="423" t="s">
        <v>1059</v>
      </c>
      <c r="AD765" s="423">
        <f>IF(ISNUMBER(MATCH(B765,'FICHA SOLIC'!$AB$26:$AB$376,0)),1,0)</f>
        <v>1</v>
      </c>
      <c r="AE765" s="423" t="str">
        <f t="shared" si="11"/>
        <v>La SerenaZU-1-B</v>
      </c>
    </row>
    <row r="766" spans="1:31" x14ac:dyDescent="0.25">
      <c r="A766" s="423">
        <v>765</v>
      </c>
      <c r="B766" s="423" t="s">
        <v>128</v>
      </c>
      <c r="C766" s="423" t="s">
        <v>2371</v>
      </c>
      <c r="D766" s="975" t="s">
        <v>990</v>
      </c>
      <c r="E766" s="976" t="s">
        <v>991</v>
      </c>
      <c r="F766" s="976" t="s">
        <v>992</v>
      </c>
      <c r="G766" s="976" t="s">
        <v>1997</v>
      </c>
      <c r="H766" s="976" t="s">
        <v>1998</v>
      </c>
      <c r="I766" s="976" t="s">
        <v>1999</v>
      </c>
      <c r="J766" s="975" t="s">
        <v>697</v>
      </c>
      <c r="K766" s="976" t="s">
        <v>995</v>
      </c>
      <c r="L766" s="976" t="s">
        <v>996</v>
      </c>
      <c r="M766" s="976" t="s">
        <v>2000</v>
      </c>
      <c r="N766" s="976" t="s">
        <v>2001</v>
      </c>
      <c r="O766" s="975" t="s">
        <v>1971</v>
      </c>
      <c r="P766" s="976" t="s">
        <v>999</v>
      </c>
      <c r="Q766" s="976" t="s">
        <v>1000</v>
      </c>
      <c r="R766" s="976" t="s">
        <v>1001</v>
      </c>
      <c r="S766" s="976" t="s">
        <v>1002</v>
      </c>
      <c r="T766" s="423">
        <v>2500</v>
      </c>
      <c r="V766" s="423">
        <v>0.2</v>
      </c>
      <c r="W766" s="423">
        <v>0.8</v>
      </c>
      <c r="X766" s="423">
        <v>14</v>
      </c>
      <c r="Y766" s="423">
        <v>5</v>
      </c>
      <c r="Z766" s="423" t="s">
        <v>1058</v>
      </c>
      <c r="AD766" s="423">
        <f>IF(ISNUMBER(MATCH(B766,'FICHA SOLIC'!$AB$26:$AB$376,0)),1,0)</f>
        <v>1</v>
      </c>
      <c r="AE766" s="423" t="str">
        <f t="shared" si="11"/>
        <v>La SerenaZU-20</v>
      </c>
    </row>
    <row r="767" spans="1:31" x14ac:dyDescent="0.25">
      <c r="A767" s="423">
        <v>766</v>
      </c>
      <c r="B767" s="423" t="s">
        <v>128</v>
      </c>
      <c r="C767" s="423" t="s">
        <v>2372</v>
      </c>
      <c r="D767" s="975" t="s">
        <v>990</v>
      </c>
      <c r="E767" s="976" t="s">
        <v>991</v>
      </c>
      <c r="F767" s="976" t="s">
        <v>992</v>
      </c>
      <c r="G767" s="976" t="s">
        <v>1997</v>
      </c>
      <c r="H767" s="976" t="s">
        <v>1998</v>
      </c>
      <c r="I767" s="976" t="s">
        <v>1999</v>
      </c>
      <c r="J767" s="975" t="s">
        <v>697</v>
      </c>
      <c r="K767" s="976" t="s">
        <v>995</v>
      </c>
      <c r="L767" s="976" t="s">
        <v>996</v>
      </c>
      <c r="M767" s="976" t="s">
        <v>2000</v>
      </c>
      <c r="N767" s="976" t="s">
        <v>2001</v>
      </c>
      <c r="O767" s="975" t="s">
        <v>1971</v>
      </c>
      <c r="P767" s="976" t="s">
        <v>999</v>
      </c>
      <c r="Q767" s="976" t="s">
        <v>1000</v>
      </c>
      <c r="R767" s="976" t="s">
        <v>1001</v>
      </c>
      <c r="S767" s="976" t="s">
        <v>1002</v>
      </c>
      <c r="T767" s="423">
        <v>800</v>
      </c>
      <c r="V767" s="423">
        <v>0.6</v>
      </c>
      <c r="W767" s="423">
        <v>3.5</v>
      </c>
      <c r="X767" s="423">
        <v>14</v>
      </c>
      <c r="Z767" s="423" t="s">
        <v>1059</v>
      </c>
      <c r="AD767" s="423">
        <f>IF(ISNUMBER(MATCH(B767,'FICHA SOLIC'!$AB$26:$AB$376,0)),1,0)</f>
        <v>1</v>
      </c>
      <c r="AE767" s="423" t="str">
        <f t="shared" si="11"/>
        <v>La SerenaZU-2-A</v>
      </c>
    </row>
    <row r="768" spans="1:31" x14ac:dyDescent="0.25">
      <c r="A768" s="423">
        <v>767</v>
      </c>
      <c r="B768" s="423" t="s">
        <v>128</v>
      </c>
      <c r="C768" s="423" t="s">
        <v>2373</v>
      </c>
      <c r="D768" s="975" t="s">
        <v>990</v>
      </c>
      <c r="E768" s="976" t="s">
        <v>991</v>
      </c>
      <c r="F768" s="976" t="s">
        <v>992</v>
      </c>
      <c r="G768" s="976" t="s">
        <v>1997</v>
      </c>
      <c r="H768" s="976" t="s">
        <v>1998</v>
      </c>
      <c r="I768" s="976" t="s">
        <v>1999</v>
      </c>
      <c r="J768" s="975" t="s">
        <v>697</v>
      </c>
      <c r="K768" s="976" t="s">
        <v>995</v>
      </c>
      <c r="L768" s="976" t="s">
        <v>996</v>
      </c>
      <c r="M768" s="976" t="s">
        <v>2000</v>
      </c>
      <c r="N768" s="976" t="s">
        <v>2001</v>
      </c>
      <c r="O768" s="975" t="s">
        <v>1971</v>
      </c>
      <c r="P768" s="976" t="s">
        <v>999</v>
      </c>
      <c r="Q768" s="976" t="s">
        <v>1000</v>
      </c>
      <c r="R768" s="976" t="s">
        <v>1001</v>
      </c>
      <c r="S768" s="976" t="s">
        <v>1002</v>
      </c>
      <c r="T768" s="423">
        <v>400</v>
      </c>
      <c r="V768" s="423">
        <v>0.65</v>
      </c>
      <c r="W768" s="423">
        <v>3.5</v>
      </c>
      <c r="X768" s="423">
        <v>22</v>
      </c>
      <c r="Z768" s="423" t="s">
        <v>1059</v>
      </c>
      <c r="AD768" s="423">
        <f>IF(ISNUMBER(MATCH(B768,'FICHA SOLIC'!$AB$26:$AB$376,0)),1,0)</f>
        <v>1</v>
      </c>
      <c r="AE768" s="423" t="str">
        <f t="shared" si="11"/>
        <v>La SerenaZU-2-B</v>
      </c>
    </row>
    <row r="769" spans="1:31" x14ac:dyDescent="0.25">
      <c r="A769" s="423">
        <v>768</v>
      </c>
      <c r="B769" s="423" t="s">
        <v>128</v>
      </c>
      <c r="C769" s="423" t="s">
        <v>1243</v>
      </c>
      <c r="D769" s="975" t="s">
        <v>990</v>
      </c>
      <c r="E769" s="976" t="s">
        <v>991</v>
      </c>
      <c r="F769" s="976" t="s">
        <v>992</v>
      </c>
      <c r="G769" s="976" t="s">
        <v>1997</v>
      </c>
      <c r="H769" s="976" t="s">
        <v>1998</v>
      </c>
      <c r="I769" s="976" t="s">
        <v>1999</v>
      </c>
      <c r="J769" s="975" t="s">
        <v>697</v>
      </c>
      <c r="K769" s="976" t="s">
        <v>995</v>
      </c>
      <c r="L769" s="976" t="s">
        <v>996</v>
      </c>
      <c r="M769" s="976" t="s">
        <v>2000</v>
      </c>
      <c r="N769" s="976" t="s">
        <v>2001</v>
      </c>
      <c r="O769" s="975" t="s">
        <v>1971</v>
      </c>
      <c r="P769" s="976" t="s">
        <v>999</v>
      </c>
      <c r="Q769" s="976" t="s">
        <v>1000</v>
      </c>
      <c r="R769" s="976" t="s">
        <v>1001</v>
      </c>
      <c r="S769" s="976" t="s">
        <v>1002</v>
      </c>
      <c r="T769" s="423">
        <v>200</v>
      </c>
      <c r="V769" s="423">
        <v>0.7</v>
      </c>
      <c r="W769" s="423">
        <v>2.8</v>
      </c>
      <c r="X769" s="423">
        <v>13</v>
      </c>
      <c r="Z769" s="423" t="s">
        <v>1059</v>
      </c>
      <c r="AD769" s="423">
        <f>IF(ISNUMBER(MATCH(B769,'FICHA SOLIC'!$AB$26:$AB$376,0)),1,0)</f>
        <v>1</v>
      </c>
      <c r="AE769" s="423" t="str">
        <f t="shared" si="11"/>
        <v>La SerenaZU-3</v>
      </c>
    </row>
    <row r="770" spans="1:31" x14ac:dyDescent="0.25">
      <c r="A770" s="423">
        <v>769</v>
      </c>
      <c r="B770" s="423" t="s">
        <v>128</v>
      </c>
      <c r="C770" s="423" t="s">
        <v>2374</v>
      </c>
      <c r="D770" s="975" t="s">
        <v>990</v>
      </c>
      <c r="E770" s="976" t="s">
        <v>991</v>
      </c>
      <c r="F770" s="976" t="s">
        <v>992</v>
      </c>
      <c r="G770" s="976" t="s">
        <v>1997</v>
      </c>
      <c r="H770" s="976" t="s">
        <v>1998</v>
      </c>
      <c r="I770" s="976" t="s">
        <v>1999</v>
      </c>
      <c r="J770" s="975" t="s">
        <v>697</v>
      </c>
      <c r="K770" s="976" t="s">
        <v>995</v>
      </c>
      <c r="L770" s="976" t="s">
        <v>996</v>
      </c>
      <c r="M770" s="976" t="s">
        <v>2000</v>
      </c>
      <c r="N770" s="976" t="s">
        <v>2001</v>
      </c>
      <c r="O770" s="975" t="s">
        <v>1971</v>
      </c>
      <c r="P770" s="976" t="s">
        <v>999</v>
      </c>
      <c r="Q770" s="976" t="s">
        <v>1000</v>
      </c>
      <c r="R770" s="976" t="s">
        <v>1001</v>
      </c>
      <c r="S770" s="976" t="s">
        <v>1002</v>
      </c>
      <c r="T770" s="423">
        <v>400</v>
      </c>
      <c r="V770" s="423">
        <v>0.6</v>
      </c>
      <c r="W770" s="423">
        <v>2.4</v>
      </c>
      <c r="X770" s="423">
        <v>14</v>
      </c>
      <c r="Z770" s="423" t="s">
        <v>1059</v>
      </c>
      <c r="AD770" s="423">
        <f>IF(ISNUMBER(MATCH(B770,'FICHA SOLIC'!$AB$26:$AB$376,0)),1,0)</f>
        <v>1</v>
      </c>
      <c r="AE770" s="423" t="str">
        <f t="shared" si="11"/>
        <v>La SerenaZU-4-A</v>
      </c>
    </row>
    <row r="771" spans="1:31" x14ac:dyDescent="0.25">
      <c r="A771" s="423">
        <v>770</v>
      </c>
      <c r="B771" s="423" t="s">
        <v>128</v>
      </c>
      <c r="C771" s="423" t="s">
        <v>2375</v>
      </c>
      <c r="D771" s="975" t="s">
        <v>990</v>
      </c>
      <c r="E771" s="976" t="s">
        <v>991</v>
      </c>
      <c r="F771" s="976" t="s">
        <v>992</v>
      </c>
      <c r="G771" s="976" t="s">
        <v>1997</v>
      </c>
      <c r="H771" s="976" t="s">
        <v>1998</v>
      </c>
      <c r="I771" s="976" t="s">
        <v>1999</v>
      </c>
      <c r="J771" s="975" t="s">
        <v>697</v>
      </c>
      <c r="K771" s="976" t="s">
        <v>995</v>
      </c>
      <c r="L771" s="976" t="s">
        <v>996</v>
      </c>
      <c r="M771" s="976" t="s">
        <v>2000</v>
      </c>
      <c r="N771" s="976" t="s">
        <v>2001</v>
      </c>
      <c r="O771" s="975" t="s">
        <v>1971</v>
      </c>
      <c r="P771" s="976" t="s">
        <v>999</v>
      </c>
      <c r="Q771" s="976" t="s">
        <v>1000</v>
      </c>
      <c r="R771" s="976" t="s">
        <v>1001</v>
      </c>
      <c r="S771" s="976" t="s">
        <v>1002</v>
      </c>
      <c r="T771" s="423">
        <v>400</v>
      </c>
      <c r="V771" s="423">
        <v>0.6</v>
      </c>
      <c r="W771" s="423">
        <v>3.5</v>
      </c>
      <c r="X771" s="423">
        <v>22</v>
      </c>
      <c r="Z771" s="423" t="s">
        <v>1059</v>
      </c>
      <c r="AD771" s="423">
        <f>IF(ISNUMBER(MATCH(B771,'FICHA SOLIC'!$AB$26:$AB$376,0)),1,0)</f>
        <v>1</v>
      </c>
      <c r="AE771" s="423" t="str">
        <f t="shared" ref="AE771:AE834" si="12">B771&amp;C771</f>
        <v>La SerenaZU-4-B</v>
      </c>
    </row>
    <row r="772" spans="1:31" x14ac:dyDescent="0.25">
      <c r="A772" s="423">
        <v>771</v>
      </c>
      <c r="B772" s="423" t="s">
        <v>128</v>
      </c>
      <c r="C772" s="423" t="s">
        <v>2376</v>
      </c>
      <c r="D772" s="975" t="s">
        <v>990</v>
      </c>
      <c r="E772" s="976" t="s">
        <v>991</v>
      </c>
      <c r="F772" s="976" t="s">
        <v>992</v>
      </c>
      <c r="G772" s="976" t="s">
        <v>1997</v>
      </c>
      <c r="H772" s="976" t="s">
        <v>1998</v>
      </c>
      <c r="I772" s="976" t="s">
        <v>1999</v>
      </c>
      <c r="J772" s="975" t="s">
        <v>697</v>
      </c>
      <c r="K772" s="976" t="s">
        <v>995</v>
      </c>
      <c r="L772" s="976" t="s">
        <v>996</v>
      </c>
      <c r="M772" s="976" t="s">
        <v>2000</v>
      </c>
      <c r="N772" s="976" t="s">
        <v>2001</v>
      </c>
      <c r="O772" s="975" t="s">
        <v>1971</v>
      </c>
      <c r="P772" s="976" t="s">
        <v>999</v>
      </c>
      <c r="Q772" s="976" t="s">
        <v>1000</v>
      </c>
      <c r="R772" s="976" t="s">
        <v>1001</v>
      </c>
      <c r="S772" s="976" t="s">
        <v>1002</v>
      </c>
      <c r="T772" s="423">
        <v>800</v>
      </c>
      <c r="V772" s="423">
        <v>0.3</v>
      </c>
      <c r="W772" s="423">
        <v>0.4</v>
      </c>
      <c r="X772" s="423">
        <v>9</v>
      </c>
      <c r="Z772" s="423" t="s">
        <v>1057</v>
      </c>
      <c r="AD772" s="423">
        <f>IF(ISNUMBER(MATCH(B772,'FICHA SOLIC'!$AB$26:$AB$376,0)),1,0)</f>
        <v>1</v>
      </c>
      <c r="AE772" s="423" t="str">
        <f t="shared" si="12"/>
        <v>La SerenaZU-5-A</v>
      </c>
    </row>
    <row r="773" spans="1:31" x14ac:dyDescent="0.25">
      <c r="A773" s="423">
        <v>772</v>
      </c>
      <c r="B773" s="423" t="s">
        <v>128</v>
      </c>
      <c r="C773" s="423" t="s">
        <v>2377</v>
      </c>
      <c r="D773" s="975" t="s">
        <v>990</v>
      </c>
      <c r="E773" s="976" t="s">
        <v>991</v>
      </c>
      <c r="F773" s="976" t="s">
        <v>992</v>
      </c>
      <c r="G773" s="976" t="s">
        <v>1997</v>
      </c>
      <c r="H773" s="976" t="s">
        <v>1998</v>
      </c>
      <c r="I773" s="976" t="s">
        <v>1999</v>
      </c>
      <c r="J773" s="975" t="s">
        <v>697</v>
      </c>
      <c r="K773" s="976" t="s">
        <v>995</v>
      </c>
      <c r="L773" s="976" t="s">
        <v>996</v>
      </c>
      <c r="M773" s="976" t="s">
        <v>2000</v>
      </c>
      <c r="N773" s="976" t="s">
        <v>2001</v>
      </c>
      <c r="O773" s="975" t="s">
        <v>1971</v>
      </c>
      <c r="P773" s="976" t="s">
        <v>999</v>
      </c>
      <c r="Q773" s="976" t="s">
        <v>1000</v>
      </c>
      <c r="R773" s="976" t="s">
        <v>1001</v>
      </c>
      <c r="S773" s="976" t="s">
        <v>1002</v>
      </c>
      <c r="T773" s="423">
        <v>1000</v>
      </c>
      <c r="V773" s="423">
        <v>0.3</v>
      </c>
      <c r="W773" s="423">
        <v>0.4</v>
      </c>
      <c r="X773" s="423">
        <v>9</v>
      </c>
      <c r="Z773" s="423" t="s">
        <v>1057</v>
      </c>
      <c r="AD773" s="423">
        <f>IF(ISNUMBER(MATCH(B773,'FICHA SOLIC'!$AB$26:$AB$376,0)),1,0)</f>
        <v>1</v>
      </c>
      <c r="AE773" s="423" t="str">
        <f t="shared" si="12"/>
        <v>La SerenaZU-5-B</v>
      </c>
    </row>
    <row r="774" spans="1:31" x14ac:dyDescent="0.25">
      <c r="A774" s="423">
        <v>773</v>
      </c>
      <c r="B774" s="423" t="s">
        <v>128</v>
      </c>
      <c r="C774" s="423" t="s">
        <v>2378</v>
      </c>
      <c r="D774" s="975" t="s">
        <v>990</v>
      </c>
      <c r="E774" s="976" t="s">
        <v>991</v>
      </c>
      <c r="F774" s="976" t="s">
        <v>992</v>
      </c>
      <c r="G774" s="976" t="s">
        <v>1997</v>
      </c>
      <c r="H774" s="976" t="s">
        <v>1998</v>
      </c>
      <c r="I774" s="976" t="s">
        <v>1999</v>
      </c>
      <c r="J774" s="975" t="s">
        <v>697</v>
      </c>
      <c r="K774" s="976" t="s">
        <v>995</v>
      </c>
      <c r="L774" s="976" t="s">
        <v>996</v>
      </c>
      <c r="M774" s="976" t="s">
        <v>2000</v>
      </c>
      <c r="N774" s="976" t="s">
        <v>2001</v>
      </c>
      <c r="O774" s="975" t="s">
        <v>1971</v>
      </c>
      <c r="P774" s="976" t="s">
        <v>999</v>
      </c>
      <c r="Q774" s="976" t="s">
        <v>1000</v>
      </c>
      <c r="R774" s="976" t="s">
        <v>1001</v>
      </c>
      <c r="S774" s="976" t="s">
        <v>1002</v>
      </c>
      <c r="T774" s="423">
        <v>2000</v>
      </c>
      <c r="V774" s="423">
        <v>0.18</v>
      </c>
      <c r="W774" s="423">
        <v>0.54</v>
      </c>
      <c r="X774" s="423">
        <v>9</v>
      </c>
      <c r="Z774" s="423" t="s">
        <v>1058</v>
      </c>
      <c r="AD774" s="423">
        <f>IF(ISNUMBER(MATCH(B774,'FICHA SOLIC'!$AB$26:$AB$376,0)),1,0)</f>
        <v>1</v>
      </c>
      <c r="AE774" s="423" t="str">
        <f t="shared" si="12"/>
        <v>La SerenaZU-6-A</v>
      </c>
    </row>
    <row r="775" spans="1:31" x14ac:dyDescent="0.25">
      <c r="A775" s="423">
        <v>774</v>
      </c>
      <c r="B775" s="423" t="s">
        <v>128</v>
      </c>
      <c r="C775" s="423" t="s">
        <v>2379</v>
      </c>
      <c r="D775" s="975" t="s">
        <v>990</v>
      </c>
      <c r="E775" s="976" t="s">
        <v>991</v>
      </c>
      <c r="F775" s="976" t="s">
        <v>992</v>
      </c>
      <c r="G775" s="976" t="s">
        <v>1997</v>
      </c>
      <c r="H775" s="976" t="s">
        <v>1998</v>
      </c>
      <c r="I775" s="976" t="s">
        <v>1999</v>
      </c>
      <c r="J775" s="975" t="s">
        <v>697</v>
      </c>
      <c r="K775" s="976" t="s">
        <v>995</v>
      </c>
      <c r="L775" s="976" t="s">
        <v>996</v>
      </c>
      <c r="M775" s="976" t="s">
        <v>2000</v>
      </c>
      <c r="N775" s="976" t="s">
        <v>2001</v>
      </c>
      <c r="O775" s="975" t="s">
        <v>1971</v>
      </c>
      <c r="P775" s="976" t="s">
        <v>999</v>
      </c>
      <c r="Q775" s="976" t="s">
        <v>1000</v>
      </c>
      <c r="R775" s="976" t="s">
        <v>1001</v>
      </c>
      <c r="S775" s="976" t="s">
        <v>1002</v>
      </c>
      <c r="T775" s="423">
        <v>2000</v>
      </c>
      <c r="V775" s="423">
        <v>0.18</v>
      </c>
      <c r="W775" s="423">
        <v>0.54</v>
      </c>
      <c r="X775" s="423">
        <v>9</v>
      </c>
      <c r="Z775" s="423" t="s">
        <v>1058</v>
      </c>
      <c r="AD775" s="423">
        <f>IF(ISNUMBER(MATCH(B775,'FICHA SOLIC'!$AB$26:$AB$376,0)),1,0)</f>
        <v>1</v>
      </c>
      <c r="AE775" s="423" t="str">
        <f t="shared" si="12"/>
        <v>La SerenaZU-6-B</v>
      </c>
    </row>
    <row r="776" spans="1:31" x14ac:dyDescent="0.25">
      <c r="A776" s="423">
        <v>775</v>
      </c>
      <c r="B776" s="423" t="s">
        <v>128</v>
      </c>
      <c r="C776" s="423" t="s">
        <v>1247</v>
      </c>
      <c r="D776" s="975" t="s">
        <v>990</v>
      </c>
      <c r="E776" s="976" t="s">
        <v>991</v>
      </c>
      <c r="F776" s="976" t="s">
        <v>992</v>
      </c>
      <c r="G776" s="976" t="s">
        <v>1997</v>
      </c>
      <c r="H776" s="976" t="s">
        <v>1998</v>
      </c>
      <c r="I776" s="976" t="s">
        <v>1999</v>
      </c>
      <c r="J776" s="975" t="s">
        <v>697</v>
      </c>
      <c r="K776" s="976" t="s">
        <v>995</v>
      </c>
      <c r="L776" s="976" t="s">
        <v>996</v>
      </c>
      <c r="M776" s="976" t="s">
        <v>2000</v>
      </c>
      <c r="N776" s="976" t="s">
        <v>2001</v>
      </c>
      <c r="O776" s="975" t="s">
        <v>1971</v>
      </c>
      <c r="P776" s="976" t="s">
        <v>999</v>
      </c>
      <c r="Q776" s="976" t="s">
        <v>1000</v>
      </c>
      <c r="R776" s="976" t="s">
        <v>1001</v>
      </c>
      <c r="S776" s="976" t="s">
        <v>1002</v>
      </c>
      <c r="T776" s="423">
        <v>800</v>
      </c>
      <c r="V776" s="423">
        <v>0.5</v>
      </c>
      <c r="W776" s="423">
        <v>3</v>
      </c>
      <c r="X776" s="423">
        <v>26.4</v>
      </c>
      <c r="Z776" s="423" t="s">
        <v>1058</v>
      </c>
      <c r="AD776" s="423">
        <f>IF(ISNUMBER(MATCH(B776,'FICHA SOLIC'!$AB$26:$AB$376,0)),1,0)</f>
        <v>1</v>
      </c>
      <c r="AE776" s="423" t="str">
        <f t="shared" si="12"/>
        <v>La SerenaZU-7</v>
      </c>
    </row>
    <row r="777" spans="1:31" x14ac:dyDescent="0.25">
      <c r="A777" s="423">
        <v>776</v>
      </c>
      <c r="B777" s="423" t="s">
        <v>128</v>
      </c>
      <c r="C777" s="423" t="s">
        <v>2380</v>
      </c>
      <c r="D777" s="975" t="s">
        <v>990</v>
      </c>
      <c r="E777" s="976" t="s">
        <v>991</v>
      </c>
      <c r="F777" s="976" t="s">
        <v>992</v>
      </c>
      <c r="G777" s="976" t="s">
        <v>1997</v>
      </c>
      <c r="H777" s="976" t="s">
        <v>1998</v>
      </c>
      <c r="I777" s="976" t="s">
        <v>1999</v>
      </c>
      <c r="J777" s="975" t="s">
        <v>697</v>
      </c>
      <c r="K777" s="976" t="s">
        <v>995</v>
      </c>
      <c r="L777" s="976" t="s">
        <v>996</v>
      </c>
      <c r="M777" s="976" t="s">
        <v>2000</v>
      </c>
      <c r="N777" s="976" t="s">
        <v>2001</v>
      </c>
      <c r="O777" s="975" t="s">
        <v>1971</v>
      </c>
      <c r="P777" s="976" t="s">
        <v>999</v>
      </c>
      <c r="Q777" s="976" t="s">
        <v>1000</v>
      </c>
      <c r="R777" s="976" t="s">
        <v>1001</v>
      </c>
      <c r="S777" s="976" t="s">
        <v>1002</v>
      </c>
      <c r="T777" s="423" t="s">
        <v>1041</v>
      </c>
      <c r="U777" s="423" t="s">
        <v>1041</v>
      </c>
      <c r="V777" s="423" t="s">
        <v>1041</v>
      </c>
      <c r="W777" s="423" t="s">
        <v>1041</v>
      </c>
      <c r="X777" s="423" t="s">
        <v>1041</v>
      </c>
      <c r="Y777" s="423" t="s">
        <v>1041</v>
      </c>
      <c r="Z777" s="423" t="s">
        <v>1041</v>
      </c>
      <c r="AD777" s="423">
        <f>IF(ISNUMBER(MATCH(B777,'FICHA SOLIC'!$AB$26:$AB$376,0)),1,0)</f>
        <v>1</v>
      </c>
      <c r="AE777" s="423" t="str">
        <f t="shared" si="12"/>
        <v>La SerenaZU-7a</v>
      </c>
    </row>
    <row r="778" spans="1:31" x14ac:dyDescent="0.25">
      <c r="A778" s="423">
        <v>777</v>
      </c>
      <c r="B778" s="423" t="s">
        <v>128</v>
      </c>
      <c r="C778" s="423" t="s">
        <v>1248</v>
      </c>
      <c r="D778" s="975" t="s">
        <v>990</v>
      </c>
      <c r="E778" s="976" t="s">
        <v>991</v>
      </c>
      <c r="F778" s="976" t="s">
        <v>992</v>
      </c>
      <c r="G778" s="976" t="s">
        <v>1997</v>
      </c>
      <c r="H778" s="976" t="s">
        <v>1998</v>
      </c>
      <c r="I778" s="976" t="s">
        <v>1999</v>
      </c>
      <c r="J778" s="975" t="s">
        <v>697</v>
      </c>
      <c r="K778" s="976" t="s">
        <v>995</v>
      </c>
      <c r="L778" s="976" t="s">
        <v>996</v>
      </c>
      <c r="M778" s="976" t="s">
        <v>2000</v>
      </c>
      <c r="N778" s="976" t="s">
        <v>2001</v>
      </c>
      <c r="O778" s="975" t="s">
        <v>1971</v>
      </c>
      <c r="P778" s="976" t="s">
        <v>999</v>
      </c>
      <c r="Q778" s="976" t="s">
        <v>1000</v>
      </c>
      <c r="R778" s="976" t="s">
        <v>1001</v>
      </c>
      <c r="S778" s="976" t="s">
        <v>1002</v>
      </c>
      <c r="T778" s="423">
        <v>400</v>
      </c>
      <c r="V778" s="423">
        <v>0.6</v>
      </c>
      <c r="W778" s="423">
        <v>1.2</v>
      </c>
      <c r="X778" s="423">
        <v>8</v>
      </c>
      <c r="Z778" s="423" t="s">
        <v>1059</v>
      </c>
      <c r="AD778" s="423">
        <f>IF(ISNUMBER(MATCH(B778,'FICHA SOLIC'!$AB$26:$AB$376,0)),1,0)</f>
        <v>1</v>
      </c>
      <c r="AE778" s="423" t="str">
        <f t="shared" si="12"/>
        <v>La SerenaZU-8</v>
      </c>
    </row>
    <row r="779" spans="1:31" x14ac:dyDescent="0.25">
      <c r="A779" s="423">
        <v>778</v>
      </c>
      <c r="B779" s="423" t="s">
        <v>128</v>
      </c>
      <c r="C779" s="423" t="s">
        <v>1249</v>
      </c>
      <c r="D779" s="975" t="s">
        <v>990</v>
      </c>
      <c r="E779" s="976" t="s">
        <v>991</v>
      </c>
      <c r="F779" s="976" t="s">
        <v>992</v>
      </c>
      <c r="G779" s="976" t="s">
        <v>1997</v>
      </c>
      <c r="H779" s="976" t="s">
        <v>1998</v>
      </c>
      <c r="I779" s="976" t="s">
        <v>1999</v>
      </c>
      <c r="J779" s="975" t="s">
        <v>697</v>
      </c>
      <c r="K779" s="976" t="s">
        <v>995</v>
      </c>
      <c r="L779" s="976" t="s">
        <v>996</v>
      </c>
      <c r="M779" s="976" t="s">
        <v>2000</v>
      </c>
      <c r="N779" s="976" t="s">
        <v>2001</v>
      </c>
      <c r="O779" s="975" t="s">
        <v>1971</v>
      </c>
      <c r="P779" s="976" t="s">
        <v>999</v>
      </c>
      <c r="Q779" s="976" t="s">
        <v>1000</v>
      </c>
      <c r="R779" s="976" t="s">
        <v>1001</v>
      </c>
      <c r="S779" s="976" t="s">
        <v>1002</v>
      </c>
      <c r="T779" s="423">
        <v>500</v>
      </c>
      <c r="V779" s="423">
        <v>0.8</v>
      </c>
      <c r="W779" s="423">
        <v>4</v>
      </c>
      <c r="X779" s="423">
        <v>18</v>
      </c>
      <c r="Z779" s="423" t="s">
        <v>1059</v>
      </c>
      <c r="AD779" s="423">
        <f>IF(ISNUMBER(MATCH(B779,'FICHA SOLIC'!$AB$26:$AB$376,0)),1,0)</f>
        <v>1</v>
      </c>
      <c r="AE779" s="423" t="str">
        <f t="shared" si="12"/>
        <v>La SerenaZU-9</v>
      </c>
    </row>
    <row r="780" spans="1:31" x14ac:dyDescent="0.25">
      <c r="A780" s="423">
        <v>779</v>
      </c>
      <c r="B780" s="423" t="s">
        <v>340</v>
      </c>
      <c r="C780" s="423" t="s">
        <v>2288</v>
      </c>
      <c r="D780" s="975" t="s">
        <v>990</v>
      </c>
      <c r="E780" s="976" t="s">
        <v>991</v>
      </c>
      <c r="F780" s="976" t="s">
        <v>992</v>
      </c>
      <c r="G780" s="976" t="s">
        <v>1997</v>
      </c>
      <c r="H780" s="976" t="s">
        <v>1998</v>
      </c>
      <c r="I780" s="976" t="s">
        <v>1999</v>
      </c>
      <c r="J780" s="975" t="s">
        <v>697</v>
      </c>
      <c r="K780" s="976" t="s">
        <v>995</v>
      </c>
      <c r="L780" s="976" t="s">
        <v>996</v>
      </c>
      <c r="M780" s="976" t="s">
        <v>2000</v>
      </c>
      <c r="N780" s="976" t="s">
        <v>2001</v>
      </c>
      <c r="O780" s="975" t="s">
        <v>1971</v>
      </c>
      <c r="P780" s="976" t="s">
        <v>999</v>
      </c>
      <c r="Q780" s="976" t="s">
        <v>1000</v>
      </c>
      <c r="R780" s="976" t="s">
        <v>1001</v>
      </c>
      <c r="S780" s="976" t="s">
        <v>1002</v>
      </c>
      <c r="T780" s="423">
        <v>1000</v>
      </c>
      <c r="U780" s="423">
        <v>25</v>
      </c>
      <c r="V780" s="423">
        <v>50</v>
      </c>
      <c r="W780" s="423">
        <v>0.6</v>
      </c>
      <c r="X780" s="423">
        <v>10.5</v>
      </c>
      <c r="Y780" s="423" t="s">
        <v>1041</v>
      </c>
      <c r="Z780" s="423" t="s">
        <v>1058</v>
      </c>
      <c r="AD780" s="423">
        <f>IF(ISNUMBER(MATCH(B780,'FICHA SOLIC'!$AB$26:$AB$376,0)),1,0)</f>
        <v>1</v>
      </c>
      <c r="AE780" s="423" t="str">
        <f t="shared" si="12"/>
        <v>La UniónZEx-1</v>
      </c>
    </row>
    <row r="781" spans="1:31" x14ac:dyDescent="0.25">
      <c r="A781" s="423">
        <v>780</v>
      </c>
      <c r="B781" s="423" t="s">
        <v>340</v>
      </c>
      <c r="C781" s="423" t="s">
        <v>2289</v>
      </c>
      <c r="D781" s="975" t="s">
        <v>990</v>
      </c>
      <c r="E781" s="976" t="s">
        <v>991</v>
      </c>
      <c r="F781" s="976" t="s">
        <v>992</v>
      </c>
      <c r="G781" s="976" t="s">
        <v>1997</v>
      </c>
      <c r="H781" s="976" t="s">
        <v>1998</v>
      </c>
      <c r="I781" s="976" t="s">
        <v>1999</v>
      </c>
      <c r="J781" s="975" t="s">
        <v>697</v>
      </c>
      <c r="K781" s="976" t="s">
        <v>995</v>
      </c>
      <c r="L781" s="976" t="s">
        <v>996</v>
      </c>
      <c r="M781" s="976" t="s">
        <v>2000</v>
      </c>
      <c r="N781" s="976" t="s">
        <v>2001</v>
      </c>
      <c r="O781" s="975" t="s">
        <v>1971</v>
      </c>
      <c r="P781" s="976" t="s">
        <v>999</v>
      </c>
      <c r="Q781" s="976" t="s">
        <v>1000</v>
      </c>
      <c r="R781" s="976" t="s">
        <v>1001</v>
      </c>
      <c r="S781" s="976" t="s">
        <v>1002</v>
      </c>
      <c r="T781" s="423">
        <v>300</v>
      </c>
      <c r="U781" s="423">
        <v>15</v>
      </c>
      <c r="V781" s="423">
        <v>60</v>
      </c>
      <c r="W781" s="423">
        <v>0.6</v>
      </c>
      <c r="X781" s="423" t="s">
        <v>1173</v>
      </c>
      <c r="Y781" s="423" t="s">
        <v>1041</v>
      </c>
      <c r="Z781" s="423" t="s">
        <v>1057</v>
      </c>
      <c r="AD781" s="423">
        <f>IF(ISNUMBER(MATCH(B781,'FICHA SOLIC'!$AB$26:$AB$376,0)),1,0)</f>
        <v>1</v>
      </c>
      <c r="AE781" s="423" t="str">
        <f t="shared" si="12"/>
        <v>La UniónZEx-2</v>
      </c>
    </row>
    <row r="782" spans="1:31" x14ac:dyDescent="0.25">
      <c r="A782" s="423">
        <v>781</v>
      </c>
      <c r="B782" s="423" t="s">
        <v>340</v>
      </c>
      <c r="C782" s="423" t="s">
        <v>1241</v>
      </c>
      <c r="D782" s="975" t="s">
        <v>990</v>
      </c>
      <c r="E782" s="976" t="s">
        <v>991</v>
      </c>
      <c r="F782" s="976" t="s">
        <v>992</v>
      </c>
      <c r="G782" s="976" t="s">
        <v>1997</v>
      </c>
      <c r="H782" s="976" t="s">
        <v>1998</v>
      </c>
      <c r="I782" s="976" t="s">
        <v>1999</v>
      </c>
      <c r="J782" s="975" t="s">
        <v>697</v>
      </c>
      <c r="K782" s="976" t="s">
        <v>995</v>
      </c>
      <c r="L782" s="976" t="s">
        <v>996</v>
      </c>
      <c r="M782" s="976" t="s">
        <v>2000</v>
      </c>
      <c r="N782" s="976" t="s">
        <v>2001</v>
      </c>
      <c r="O782" s="975" t="s">
        <v>1971</v>
      </c>
      <c r="P782" s="976" t="s">
        <v>999</v>
      </c>
      <c r="Q782" s="976" t="s">
        <v>1000</v>
      </c>
      <c r="R782" s="976" t="s">
        <v>1001</v>
      </c>
      <c r="S782" s="976" t="s">
        <v>1002</v>
      </c>
      <c r="T782" s="423">
        <v>250</v>
      </c>
      <c r="U782" s="423">
        <v>12</v>
      </c>
      <c r="V782" s="423">
        <v>80</v>
      </c>
      <c r="W782" s="423">
        <v>8</v>
      </c>
      <c r="X782" s="423">
        <v>7</v>
      </c>
      <c r="Y782" s="423" t="s">
        <v>1041</v>
      </c>
      <c r="Z782" s="423" t="s">
        <v>1059</v>
      </c>
      <c r="AD782" s="423">
        <f>IF(ISNUMBER(MATCH(B782,'FICHA SOLIC'!$AB$26:$AB$376,0)),1,0)</f>
        <v>1</v>
      </c>
      <c r="AE782" s="423" t="str">
        <f t="shared" si="12"/>
        <v>La UniónZU-1</v>
      </c>
    </row>
    <row r="783" spans="1:31" x14ac:dyDescent="0.25">
      <c r="A783" s="423">
        <v>782</v>
      </c>
      <c r="B783" s="423" t="s">
        <v>340</v>
      </c>
      <c r="C783" s="423" t="s">
        <v>1242</v>
      </c>
      <c r="D783" s="975" t="s">
        <v>990</v>
      </c>
      <c r="E783" s="976" t="s">
        <v>991</v>
      </c>
      <c r="F783" s="976" t="s">
        <v>992</v>
      </c>
      <c r="G783" s="976" t="s">
        <v>1997</v>
      </c>
      <c r="H783" s="976" t="s">
        <v>1998</v>
      </c>
      <c r="I783" s="976" t="s">
        <v>1999</v>
      </c>
      <c r="J783" s="975" t="s">
        <v>697</v>
      </c>
      <c r="K783" s="976" t="s">
        <v>995</v>
      </c>
      <c r="L783" s="976" t="s">
        <v>996</v>
      </c>
      <c r="M783" s="976" t="s">
        <v>2000</v>
      </c>
      <c r="N783" s="976" t="s">
        <v>2001</v>
      </c>
      <c r="O783" s="975" t="s">
        <v>1971</v>
      </c>
      <c r="P783" s="976" t="s">
        <v>999</v>
      </c>
      <c r="Q783" s="976" t="s">
        <v>1000</v>
      </c>
      <c r="R783" s="976" t="s">
        <v>1001</v>
      </c>
      <c r="S783" s="976" t="s">
        <v>1002</v>
      </c>
      <c r="T783" s="423">
        <v>200</v>
      </c>
      <c r="U783" s="423">
        <v>10</v>
      </c>
      <c r="V783" s="423">
        <v>70</v>
      </c>
      <c r="W783" s="423">
        <v>1.6</v>
      </c>
      <c r="X783" s="423" t="s">
        <v>1173</v>
      </c>
      <c r="Y783" s="423" t="s">
        <v>1041</v>
      </c>
      <c r="Z783" s="423" t="s">
        <v>1057</v>
      </c>
      <c r="AD783" s="423">
        <f>IF(ISNUMBER(MATCH(B783,'FICHA SOLIC'!$AB$26:$AB$376,0)),1,0)</f>
        <v>1</v>
      </c>
      <c r="AE783" s="423" t="str">
        <f t="shared" si="12"/>
        <v>La UniónZU-2</v>
      </c>
    </row>
    <row r="784" spans="1:31" x14ac:dyDescent="0.25">
      <c r="A784" s="423">
        <v>783</v>
      </c>
      <c r="B784" s="423" t="s">
        <v>340</v>
      </c>
      <c r="C784" s="423" t="s">
        <v>1243</v>
      </c>
      <c r="D784" s="975" t="s">
        <v>990</v>
      </c>
      <c r="E784" s="976" t="s">
        <v>991</v>
      </c>
      <c r="F784" s="976" t="s">
        <v>992</v>
      </c>
      <c r="G784" s="976" t="s">
        <v>1997</v>
      </c>
      <c r="H784" s="976" t="s">
        <v>1998</v>
      </c>
      <c r="I784" s="976" t="s">
        <v>1999</v>
      </c>
      <c r="J784" s="975" t="s">
        <v>697</v>
      </c>
      <c r="K784" s="976" t="s">
        <v>995</v>
      </c>
      <c r="L784" s="976" t="s">
        <v>996</v>
      </c>
      <c r="M784" s="976" t="s">
        <v>2000</v>
      </c>
      <c r="N784" s="976" t="s">
        <v>2001</v>
      </c>
      <c r="O784" s="975" t="s">
        <v>1971</v>
      </c>
      <c r="P784" s="976" t="s">
        <v>999</v>
      </c>
      <c r="Q784" s="976" t="s">
        <v>1000</v>
      </c>
      <c r="R784" s="976" t="s">
        <v>1001</v>
      </c>
      <c r="S784" s="976" t="s">
        <v>1002</v>
      </c>
      <c r="T784" s="423">
        <v>300</v>
      </c>
      <c r="U784" s="423">
        <v>16</v>
      </c>
      <c r="V784" s="423">
        <v>50</v>
      </c>
      <c r="W784" s="423">
        <v>1.5</v>
      </c>
      <c r="X784" s="423">
        <v>7</v>
      </c>
      <c r="Y784" s="423" t="s">
        <v>1041</v>
      </c>
      <c r="Z784" s="423" t="s">
        <v>1058</v>
      </c>
      <c r="AD784" s="423">
        <f>IF(ISNUMBER(MATCH(B784,'FICHA SOLIC'!$AB$26:$AB$376,0)),1,0)</f>
        <v>1</v>
      </c>
      <c r="AE784" s="423" t="str">
        <f t="shared" si="12"/>
        <v>La UniónZU-3</v>
      </c>
    </row>
    <row r="785" spans="1:31" x14ac:dyDescent="0.25">
      <c r="A785" s="423">
        <v>784</v>
      </c>
      <c r="B785" s="423" t="s">
        <v>340</v>
      </c>
      <c r="C785" s="423" t="s">
        <v>1244</v>
      </c>
      <c r="D785" s="975" t="s">
        <v>990</v>
      </c>
      <c r="E785" s="976" t="s">
        <v>991</v>
      </c>
      <c r="F785" s="976" t="s">
        <v>992</v>
      </c>
      <c r="G785" s="976" t="s">
        <v>1997</v>
      </c>
      <c r="H785" s="976" t="s">
        <v>1998</v>
      </c>
      <c r="I785" s="976" t="s">
        <v>1999</v>
      </c>
      <c r="J785" s="975" t="s">
        <v>697</v>
      </c>
      <c r="K785" s="976" t="s">
        <v>995</v>
      </c>
      <c r="L785" s="976" t="s">
        <v>996</v>
      </c>
      <c r="M785" s="976" t="s">
        <v>2000</v>
      </c>
      <c r="N785" s="976" t="s">
        <v>2001</v>
      </c>
      <c r="O785" s="975" t="s">
        <v>1971</v>
      </c>
      <c r="P785" s="976" t="s">
        <v>999</v>
      </c>
      <c r="Q785" s="976" t="s">
        <v>1000</v>
      </c>
      <c r="R785" s="976" t="s">
        <v>1001</v>
      </c>
      <c r="S785" s="976" t="s">
        <v>1002</v>
      </c>
      <c r="T785" s="423">
        <v>400</v>
      </c>
      <c r="U785" s="423">
        <v>15</v>
      </c>
      <c r="V785" s="423">
        <v>70</v>
      </c>
      <c r="W785" s="423">
        <v>2.8</v>
      </c>
      <c r="X785" s="423" t="s">
        <v>1173</v>
      </c>
      <c r="Y785" s="423" t="s">
        <v>1041</v>
      </c>
      <c r="Z785" s="423" t="s">
        <v>1057</v>
      </c>
      <c r="AD785" s="423">
        <f>IF(ISNUMBER(MATCH(B785,'FICHA SOLIC'!$AB$26:$AB$376,0)),1,0)</f>
        <v>1</v>
      </c>
      <c r="AE785" s="423" t="str">
        <f t="shared" si="12"/>
        <v>La UniónZU-4</v>
      </c>
    </row>
    <row r="786" spans="1:31" x14ac:dyDescent="0.25">
      <c r="A786" s="423">
        <v>785</v>
      </c>
      <c r="B786" s="423" t="s">
        <v>340</v>
      </c>
      <c r="C786" s="423" t="s">
        <v>1245</v>
      </c>
      <c r="D786" s="973" t="s">
        <v>990</v>
      </c>
      <c r="E786" s="973" t="s">
        <v>991</v>
      </c>
      <c r="F786" s="973" t="s">
        <v>992</v>
      </c>
      <c r="G786" s="973" t="s">
        <v>1997</v>
      </c>
      <c r="H786" s="973" t="s">
        <v>1998</v>
      </c>
      <c r="I786" s="973" t="s">
        <v>1999</v>
      </c>
      <c r="J786" s="973" t="s">
        <v>697</v>
      </c>
      <c r="K786" s="973" t="s">
        <v>995</v>
      </c>
      <c r="L786" s="973" t="s">
        <v>996</v>
      </c>
      <c r="M786" s="973" t="s">
        <v>2000</v>
      </c>
      <c r="N786" s="973" t="s">
        <v>2001</v>
      </c>
      <c r="O786" s="973" t="s">
        <v>1971</v>
      </c>
      <c r="P786" s="973" t="s">
        <v>999</v>
      </c>
      <c r="Q786" s="973" t="s">
        <v>1000</v>
      </c>
      <c r="R786" s="973" t="s">
        <v>1001</v>
      </c>
      <c r="S786" s="973" t="s">
        <v>1002</v>
      </c>
      <c r="T786" s="423">
        <v>140</v>
      </c>
      <c r="U786" s="423">
        <v>8</v>
      </c>
      <c r="V786" s="423">
        <v>60</v>
      </c>
      <c r="W786" s="423">
        <v>1.4</v>
      </c>
      <c r="X786" s="423" t="s">
        <v>1173</v>
      </c>
      <c r="Y786" s="423" t="s">
        <v>1041</v>
      </c>
      <c r="Z786" s="423" t="s">
        <v>1057</v>
      </c>
      <c r="AD786" s="423">
        <f>IF(ISNUMBER(MATCH(B786,'FICHA SOLIC'!$AB$26:$AB$376,0)),1,0)</f>
        <v>1</v>
      </c>
      <c r="AE786" s="423" t="str">
        <f t="shared" si="12"/>
        <v>La UniónZU-5</v>
      </c>
    </row>
    <row r="787" spans="1:31" x14ac:dyDescent="0.25">
      <c r="A787" s="423">
        <v>786</v>
      </c>
      <c r="B787" s="423" t="s">
        <v>340</v>
      </c>
      <c r="C787" s="423" t="s">
        <v>1246</v>
      </c>
      <c r="D787" s="973" t="s">
        <v>990</v>
      </c>
      <c r="E787" s="973" t="s">
        <v>991</v>
      </c>
      <c r="F787" s="973" t="s">
        <v>992</v>
      </c>
      <c r="G787" s="973" t="s">
        <v>1997</v>
      </c>
      <c r="H787" s="973" t="s">
        <v>1998</v>
      </c>
      <c r="I787" s="973" t="s">
        <v>1999</v>
      </c>
      <c r="J787" s="973" t="s">
        <v>697</v>
      </c>
      <c r="K787" s="973" t="s">
        <v>995</v>
      </c>
      <c r="L787" s="973" t="s">
        <v>996</v>
      </c>
      <c r="M787" s="973" t="s">
        <v>2000</v>
      </c>
      <c r="N787" s="973" t="s">
        <v>2001</v>
      </c>
      <c r="O787" s="973" t="s">
        <v>1971</v>
      </c>
      <c r="P787" s="973" t="s">
        <v>999</v>
      </c>
      <c r="Q787" s="973" t="s">
        <v>1000</v>
      </c>
      <c r="R787" s="973" t="s">
        <v>1001</v>
      </c>
      <c r="S787" s="973" t="s">
        <v>1002</v>
      </c>
      <c r="T787" s="423">
        <v>1000</v>
      </c>
      <c r="U787" s="423">
        <v>20</v>
      </c>
      <c r="V787" s="423">
        <v>40</v>
      </c>
      <c r="W787" s="423">
        <v>0.8</v>
      </c>
      <c r="X787" s="423">
        <v>7</v>
      </c>
      <c r="Y787" s="423" t="s">
        <v>1041</v>
      </c>
      <c r="Z787" s="423" t="s">
        <v>1058</v>
      </c>
      <c r="AD787" s="423">
        <f>IF(ISNUMBER(MATCH(B787,'FICHA SOLIC'!$AB$26:$AB$376,0)),1,0)</f>
        <v>1</v>
      </c>
      <c r="AE787" s="423" t="str">
        <f t="shared" si="12"/>
        <v>La UniónZU-6</v>
      </c>
    </row>
    <row r="788" spans="1:31" x14ac:dyDescent="0.25">
      <c r="A788" s="423">
        <v>787</v>
      </c>
      <c r="B788" s="423" t="s">
        <v>340</v>
      </c>
      <c r="C788" s="423" t="s">
        <v>2381</v>
      </c>
      <c r="D788" s="973" t="s">
        <v>990</v>
      </c>
      <c r="E788" s="973" t="s">
        <v>991</v>
      </c>
      <c r="F788" s="973" t="s">
        <v>992</v>
      </c>
      <c r="G788" s="973" t="s">
        <v>1997</v>
      </c>
      <c r="H788" s="973" t="s">
        <v>1998</v>
      </c>
      <c r="I788" s="973" t="s">
        <v>1999</v>
      </c>
      <c r="J788" s="973" t="s">
        <v>697</v>
      </c>
      <c r="K788" s="973" t="s">
        <v>995</v>
      </c>
      <c r="L788" s="973" t="s">
        <v>996</v>
      </c>
      <c r="M788" s="973" t="s">
        <v>2000</v>
      </c>
      <c r="N788" s="973" t="s">
        <v>2001</v>
      </c>
      <c r="O788" s="973" t="s">
        <v>1971</v>
      </c>
      <c r="P788" s="973" t="s">
        <v>999</v>
      </c>
      <c r="Q788" s="973" t="s">
        <v>1000</v>
      </c>
      <c r="R788" s="973" t="s">
        <v>1001</v>
      </c>
      <c r="S788" s="973" t="s">
        <v>1002</v>
      </c>
      <c r="T788" s="423">
        <v>1000</v>
      </c>
      <c r="U788" s="423">
        <v>20</v>
      </c>
      <c r="V788" s="423">
        <v>50</v>
      </c>
      <c r="W788" s="423">
        <v>1</v>
      </c>
      <c r="X788" s="423" t="s">
        <v>1173</v>
      </c>
      <c r="Y788" s="423" t="s">
        <v>1041</v>
      </c>
      <c r="Z788" s="423" t="s">
        <v>1057</v>
      </c>
      <c r="AD788" s="423">
        <f>IF(ISNUMBER(MATCH(B788,'FICHA SOLIC'!$AB$26:$AB$376,0)),1,0)</f>
        <v>1</v>
      </c>
      <c r="AE788" s="423" t="str">
        <f t="shared" si="12"/>
        <v>La UniónZU-I</v>
      </c>
    </row>
    <row r="789" spans="1:31" x14ac:dyDescent="0.25">
      <c r="A789" s="423">
        <v>788</v>
      </c>
      <c r="B789" s="423" t="s">
        <v>2382</v>
      </c>
      <c r="C789" s="423" t="s">
        <v>1041</v>
      </c>
      <c r="D789" s="973" t="s">
        <v>990</v>
      </c>
      <c r="E789" s="973" t="s">
        <v>991</v>
      </c>
      <c r="F789" s="973" t="s">
        <v>992</v>
      </c>
      <c r="G789" s="973" t="s">
        <v>1997</v>
      </c>
      <c r="H789" s="973" t="s">
        <v>1998</v>
      </c>
      <c r="I789" s="973" t="s">
        <v>1999</v>
      </c>
      <c r="J789" s="973" t="s">
        <v>697</v>
      </c>
      <c r="K789" s="973" t="s">
        <v>995</v>
      </c>
      <c r="L789" s="973" t="s">
        <v>996</v>
      </c>
      <c r="M789" s="973" t="s">
        <v>2000</v>
      </c>
      <c r="N789" s="973" t="s">
        <v>2001</v>
      </c>
      <c r="O789" s="973" t="s">
        <v>1971</v>
      </c>
      <c r="P789" s="973" t="s">
        <v>999</v>
      </c>
      <c r="Q789" s="973" t="s">
        <v>1000</v>
      </c>
      <c r="R789" s="973" t="s">
        <v>1001</v>
      </c>
      <c r="S789" s="973" t="s">
        <v>1002</v>
      </c>
      <c r="T789" s="423" t="s">
        <v>1041</v>
      </c>
      <c r="U789" s="423" t="s">
        <v>1041</v>
      </c>
      <c r="V789" s="423" t="s">
        <v>1041</v>
      </c>
      <c r="W789" s="423" t="s">
        <v>1041</v>
      </c>
      <c r="X789" s="423" t="s">
        <v>1041</v>
      </c>
      <c r="Y789" s="423" t="s">
        <v>1041</v>
      </c>
      <c r="Z789" s="423" t="s">
        <v>1041</v>
      </c>
      <c r="AD789" s="423">
        <f>IF(ISNUMBER(MATCH(B789,'FICHA SOLIC'!$AB$26:$AB$376,0)),1,0)</f>
        <v>0</v>
      </c>
      <c r="AE789" s="423" t="str">
        <f t="shared" si="12"/>
        <v>LagunillasOGUC</v>
      </c>
    </row>
    <row r="790" spans="1:31" x14ac:dyDescent="0.25">
      <c r="A790" s="423">
        <v>789</v>
      </c>
      <c r="B790" s="423" t="s">
        <v>271</v>
      </c>
      <c r="C790" s="423" t="s">
        <v>1041</v>
      </c>
      <c r="D790" s="973" t="s">
        <v>990</v>
      </c>
      <c r="E790" s="973" t="s">
        <v>991</v>
      </c>
      <c r="F790" s="973" t="s">
        <v>992</v>
      </c>
      <c r="G790" s="973" t="s">
        <v>1997</v>
      </c>
      <c r="H790" s="973" t="s">
        <v>1998</v>
      </c>
      <c r="I790" s="973" t="s">
        <v>1999</v>
      </c>
      <c r="J790" s="973" t="s">
        <v>697</v>
      </c>
      <c r="K790" s="973" t="s">
        <v>995</v>
      </c>
      <c r="L790" s="973" t="s">
        <v>996</v>
      </c>
      <c r="M790" s="973" t="s">
        <v>2000</v>
      </c>
      <c r="N790" s="973" t="s">
        <v>2001</v>
      </c>
      <c r="O790" s="973" t="s">
        <v>1971</v>
      </c>
      <c r="P790" s="973" t="s">
        <v>999</v>
      </c>
      <c r="Q790" s="973" t="s">
        <v>1000</v>
      </c>
      <c r="R790" s="973" t="s">
        <v>1001</v>
      </c>
      <c r="S790" s="973" t="s">
        <v>1002</v>
      </c>
      <c r="T790" s="423" t="s">
        <v>1041</v>
      </c>
      <c r="U790" s="423" t="s">
        <v>1041</v>
      </c>
      <c r="V790" s="423" t="s">
        <v>1041</v>
      </c>
      <c r="W790" s="423" t="s">
        <v>1041</v>
      </c>
      <c r="X790" s="423" t="s">
        <v>1041</v>
      </c>
      <c r="Y790" s="423" t="s">
        <v>1041</v>
      </c>
      <c r="Z790" s="423" t="s">
        <v>1041</v>
      </c>
      <c r="AD790" s="423">
        <f>IF(ISNUMBER(MATCH(B790,'FICHA SOLIC'!$AB$26:$AB$376,0)),1,0)</f>
        <v>1</v>
      </c>
      <c r="AE790" s="423" t="str">
        <f t="shared" si="12"/>
        <v>LajaOGUC</v>
      </c>
    </row>
    <row r="791" spans="1:31" x14ac:dyDescent="0.25">
      <c r="A791" s="423">
        <v>790</v>
      </c>
      <c r="B791" s="423" t="s">
        <v>439</v>
      </c>
      <c r="C791" s="423" t="s">
        <v>2032</v>
      </c>
      <c r="D791" s="425" t="s">
        <v>990</v>
      </c>
      <c r="E791" s="425" t="s">
        <v>991</v>
      </c>
      <c r="F791" s="425" t="s">
        <v>992</v>
      </c>
      <c r="G791" s="425" t="s">
        <v>993</v>
      </c>
      <c r="H791" s="426" t="s">
        <v>489</v>
      </c>
      <c r="I791" s="425" t="s">
        <v>994</v>
      </c>
      <c r="J791" s="425" t="s">
        <v>697</v>
      </c>
      <c r="K791" s="425" t="s">
        <v>995</v>
      </c>
      <c r="L791" s="425" t="s">
        <v>996</v>
      </c>
      <c r="M791" s="425" t="s">
        <v>997</v>
      </c>
      <c r="N791" s="425" t="s">
        <v>558</v>
      </c>
      <c r="O791" s="425" t="s">
        <v>998</v>
      </c>
      <c r="P791" s="425" t="s">
        <v>999</v>
      </c>
      <c r="Q791" s="425" t="s">
        <v>1000</v>
      </c>
      <c r="R791" s="425" t="s">
        <v>1001</v>
      </c>
      <c r="S791" s="425" t="s">
        <v>1002</v>
      </c>
      <c r="T791" s="423" t="s">
        <v>2032</v>
      </c>
      <c r="U791" s="423" t="s">
        <v>2032</v>
      </c>
      <c r="V791" s="423" t="s">
        <v>2032</v>
      </c>
      <c r="W791" s="423" t="s">
        <v>2032</v>
      </c>
      <c r="X791" s="423" t="s">
        <v>2032</v>
      </c>
      <c r="Y791" s="423" t="s">
        <v>2032</v>
      </c>
      <c r="Z791" s="423" t="s">
        <v>2032</v>
      </c>
      <c r="AD791" s="423">
        <f>IF(ISNUMBER(MATCH(B791,'FICHA SOLIC'!$AB$26:$AB$376,0)),1,0)</f>
        <v>1</v>
      </c>
      <c r="AE791" s="423" t="str">
        <f t="shared" si="12"/>
        <v>LampaPRMS</v>
      </c>
    </row>
    <row r="792" spans="1:31" x14ac:dyDescent="0.25">
      <c r="A792" s="423">
        <v>791</v>
      </c>
      <c r="B792" s="423" t="s">
        <v>190</v>
      </c>
      <c r="C792" s="423" t="s">
        <v>1041</v>
      </c>
      <c r="D792" s="973" t="s">
        <v>990</v>
      </c>
      <c r="E792" s="973" t="s">
        <v>991</v>
      </c>
      <c r="F792" s="973" t="s">
        <v>992</v>
      </c>
      <c r="G792" s="973" t="s">
        <v>1997</v>
      </c>
      <c r="H792" s="973" t="s">
        <v>1998</v>
      </c>
      <c r="I792" s="973" t="s">
        <v>1999</v>
      </c>
      <c r="J792" s="973" t="s">
        <v>697</v>
      </c>
      <c r="K792" s="973" t="s">
        <v>995</v>
      </c>
      <c r="L792" s="973" t="s">
        <v>996</v>
      </c>
      <c r="M792" s="973" t="s">
        <v>2000</v>
      </c>
      <c r="N792" s="973" t="s">
        <v>2001</v>
      </c>
      <c r="O792" s="973" t="s">
        <v>1971</v>
      </c>
      <c r="P792" s="973" t="s">
        <v>999</v>
      </c>
      <c r="Q792" s="973" t="s">
        <v>1000</v>
      </c>
      <c r="R792" s="973" t="s">
        <v>1001</v>
      </c>
      <c r="S792" s="973" t="s">
        <v>1002</v>
      </c>
      <c r="T792" s="423" t="s">
        <v>1041</v>
      </c>
      <c r="U792" s="423" t="s">
        <v>1041</v>
      </c>
      <c r="V792" s="423" t="s">
        <v>1041</v>
      </c>
      <c r="W792" s="423" t="s">
        <v>1041</v>
      </c>
      <c r="X792" s="423" t="s">
        <v>1041</v>
      </c>
      <c r="Y792" s="423" t="s">
        <v>1041</v>
      </c>
      <c r="Z792" s="423" t="s">
        <v>1041</v>
      </c>
      <c r="AD792" s="423">
        <f>IF(ISNUMBER(MATCH(B792,'FICHA SOLIC'!$AB$26:$AB$376,0)),1,0)</f>
        <v>1</v>
      </c>
      <c r="AE792" s="423" t="str">
        <f t="shared" si="12"/>
        <v>Las CabrasOGUC</v>
      </c>
    </row>
    <row r="793" spans="1:31" x14ac:dyDescent="0.25">
      <c r="A793" s="423">
        <v>792</v>
      </c>
      <c r="B793" s="423" t="s">
        <v>416</v>
      </c>
      <c r="C793" s="423" t="s">
        <v>2383</v>
      </c>
      <c r="D793" s="425" t="s">
        <v>990</v>
      </c>
      <c r="E793" s="425" t="s">
        <v>991</v>
      </c>
      <c r="F793" s="425" t="s">
        <v>992</v>
      </c>
      <c r="G793" s="425" t="s">
        <v>993</v>
      </c>
      <c r="H793" s="426" t="s">
        <v>489</v>
      </c>
      <c r="I793" s="425" t="s">
        <v>994</v>
      </c>
      <c r="J793" s="425" t="s">
        <v>697</v>
      </c>
      <c r="K793" s="425" t="s">
        <v>995</v>
      </c>
      <c r="L793" s="425" t="s">
        <v>996</v>
      </c>
      <c r="M793" s="425" t="s">
        <v>997</v>
      </c>
      <c r="N793" s="425" t="s">
        <v>558</v>
      </c>
      <c r="O793" s="425" t="s">
        <v>998</v>
      </c>
      <c r="P793" s="425" t="s">
        <v>999</v>
      </c>
      <c r="Q793" s="425" t="s">
        <v>1000</v>
      </c>
      <c r="R793" s="425" t="s">
        <v>1001</v>
      </c>
      <c r="S793" s="425" t="s">
        <v>1002</v>
      </c>
      <c r="T793" s="423" t="s">
        <v>1025</v>
      </c>
      <c r="U793" s="423" t="s">
        <v>1025</v>
      </c>
      <c r="V793" s="423">
        <v>70</v>
      </c>
      <c r="W793" s="423">
        <v>2.5</v>
      </c>
      <c r="X793" s="423">
        <v>21</v>
      </c>
      <c r="Y793" s="423">
        <v>6</v>
      </c>
      <c r="Z793" s="423" t="s">
        <v>1004</v>
      </c>
      <c r="AD793" s="423">
        <f>IF(ISNUMBER(MATCH(B793,'FICHA SOLIC'!$AB$26:$AB$376,0)),1,0)</f>
        <v>1</v>
      </c>
      <c r="AE793" s="423" t="str">
        <f t="shared" si="12"/>
        <v>Las CondesE-Aa+ca</v>
      </c>
    </row>
    <row r="794" spans="1:31" x14ac:dyDescent="0.25">
      <c r="A794" s="423">
        <v>793</v>
      </c>
      <c r="B794" s="423" t="s">
        <v>416</v>
      </c>
      <c r="C794" s="423" t="s">
        <v>1015</v>
      </c>
      <c r="D794" s="425" t="s">
        <v>990</v>
      </c>
      <c r="E794" s="425" t="s">
        <v>991</v>
      </c>
      <c r="F794" s="425" t="s">
        <v>992</v>
      </c>
      <c r="G794" s="425" t="s">
        <v>993</v>
      </c>
      <c r="H794" s="426" t="s">
        <v>489</v>
      </c>
      <c r="I794" s="425" t="s">
        <v>994</v>
      </c>
      <c r="J794" s="425" t="s">
        <v>697</v>
      </c>
      <c r="K794" s="425" t="s">
        <v>995</v>
      </c>
      <c r="L794" s="425" t="s">
        <v>996</v>
      </c>
      <c r="M794" s="425" t="s">
        <v>997</v>
      </c>
      <c r="N794" s="425" t="s">
        <v>558</v>
      </c>
      <c r="O794" s="425" t="s">
        <v>998</v>
      </c>
      <c r="P794" s="425" t="s">
        <v>999</v>
      </c>
      <c r="Q794" s="425" t="s">
        <v>1000</v>
      </c>
      <c r="R794" s="425" t="s">
        <v>1001</v>
      </c>
      <c r="S794" s="425" t="s">
        <v>1002</v>
      </c>
      <c r="T794" s="423">
        <v>1500</v>
      </c>
      <c r="U794" s="423" t="s">
        <v>1041</v>
      </c>
      <c r="V794" s="423">
        <v>30</v>
      </c>
      <c r="W794" s="423">
        <v>3</v>
      </c>
      <c r="X794" s="423">
        <v>52.5</v>
      </c>
      <c r="Y794" s="423">
        <v>7</v>
      </c>
      <c r="Z794" s="423" t="s">
        <v>1022</v>
      </c>
      <c r="AD794" s="423">
        <f>IF(ISNUMBER(MATCH(B794,'FICHA SOLIC'!$AB$26:$AB$376,0)),1,0)</f>
        <v>1</v>
      </c>
      <c r="AE794" s="423" t="str">
        <f t="shared" si="12"/>
        <v>Las CondesE-Aa+cm</v>
      </c>
    </row>
    <row r="795" spans="1:31" x14ac:dyDescent="0.25">
      <c r="A795" s="423">
        <v>794</v>
      </c>
      <c r="B795" s="423" t="s">
        <v>416</v>
      </c>
      <c r="C795" s="423" t="s">
        <v>1015</v>
      </c>
      <c r="D795" s="425" t="s">
        <v>990</v>
      </c>
      <c r="E795" s="425" t="s">
        <v>991</v>
      </c>
      <c r="F795" s="425" t="s">
        <v>992</v>
      </c>
      <c r="G795" s="425" t="s">
        <v>993</v>
      </c>
      <c r="H795" s="426" t="s">
        <v>489</v>
      </c>
      <c r="I795" s="425" t="s">
        <v>994</v>
      </c>
      <c r="J795" s="425" t="s">
        <v>697</v>
      </c>
      <c r="K795" s="425" t="s">
        <v>995</v>
      </c>
      <c r="L795" s="425" t="s">
        <v>996</v>
      </c>
      <c r="M795" s="425" t="s">
        <v>997</v>
      </c>
      <c r="N795" s="425" t="s">
        <v>558</v>
      </c>
      <c r="O795" s="425" t="s">
        <v>998</v>
      </c>
      <c r="P795" s="425" t="s">
        <v>999</v>
      </c>
      <c r="Q795" s="425" t="s">
        <v>1000</v>
      </c>
      <c r="R795" s="425" t="s">
        <v>1001</v>
      </c>
      <c r="S795" s="425" t="s">
        <v>1002</v>
      </c>
      <c r="T795" s="423" t="s">
        <v>1025</v>
      </c>
      <c r="U795" s="423" t="s">
        <v>1025</v>
      </c>
      <c r="V795" s="423">
        <v>70</v>
      </c>
      <c r="W795" s="423">
        <v>2.5</v>
      </c>
      <c r="X795" s="423">
        <v>21</v>
      </c>
      <c r="Y795" s="423">
        <v>6</v>
      </c>
      <c r="Z795" s="423" t="s">
        <v>1022</v>
      </c>
      <c r="AD795" s="423">
        <f>IF(ISNUMBER(MATCH(B795,'FICHA SOLIC'!$AB$26:$AB$376,0)),1,0)</f>
        <v>1</v>
      </c>
      <c r="AE795" s="423" t="str">
        <f t="shared" si="12"/>
        <v>Las CondesE-Aa+cm</v>
      </c>
    </row>
    <row r="796" spans="1:31" x14ac:dyDescent="0.25">
      <c r="A796" s="423">
        <v>795</v>
      </c>
      <c r="B796" s="423" t="s">
        <v>416</v>
      </c>
      <c r="C796" s="423" t="s">
        <v>1012</v>
      </c>
      <c r="D796" s="425" t="s">
        <v>990</v>
      </c>
      <c r="E796" s="425" t="s">
        <v>991</v>
      </c>
      <c r="F796" s="425" t="s">
        <v>992</v>
      </c>
      <c r="G796" s="425" t="s">
        <v>993</v>
      </c>
      <c r="H796" s="426" t="s">
        <v>489</v>
      </c>
      <c r="I796" s="425" t="s">
        <v>994</v>
      </c>
      <c r="J796" s="425" t="s">
        <v>697</v>
      </c>
      <c r="K796" s="425" t="s">
        <v>995</v>
      </c>
      <c r="L796" s="425" t="s">
        <v>996</v>
      </c>
      <c r="M796" s="425" t="s">
        <v>997</v>
      </c>
      <c r="N796" s="425" t="s">
        <v>558</v>
      </c>
      <c r="O796" s="425" t="s">
        <v>998</v>
      </c>
      <c r="P796" s="425" t="s">
        <v>999</v>
      </c>
      <c r="Q796" s="425" t="s">
        <v>1000</v>
      </c>
      <c r="R796" s="425" t="s">
        <v>1001</v>
      </c>
      <c r="S796" s="425" t="s">
        <v>1002</v>
      </c>
      <c r="T796" s="423" t="s">
        <v>1025</v>
      </c>
      <c r="U796" s="423" t="s">
        <v>1025</v>
      </c>
      <c r="V796" s="423">
        <v>40</v>
      </c>
      <c r="W796" s="423">
        <v>2.4</v>
      </c>
      <c r="X796" s="423" t="s">
        <v>1026</v>
      </c>
      <c r="Y796" s="423">
        <v>6</v>
      </c>
      <c r="Z796" s="423" t="s">
        <v>1022</v>
      </c>
      <c r="AD796" s="423">
        <f>IF(ISNUMBER(MATCH(B796,'FICHA SOLIC'!$AB$26:$AB$376,0)),1,0)</f>
        <v>1</v>
      </c>
      <c r="AE796" s="423" t="str">
        <f t="shared" si="12"/>
        <v>Las CondesE-Aa-1</v>
      </c>
    </row>
    <row r="797" spans="1:31" x14ac:dyDescent="0.25">
      <c r="A797" s="423">
        <v>796</v>
      </c>
      <c r="B797" s="423" t="s">
        <v>416</v>
      </c>
      <c r="C797" s="423" t="s">
        <v>1013</v>
      </c>
      <c r="D797" s="425" t="s">
        <v>990</v>
      </c>
      <c r="E797" s="425" t="s">
        <v>991</v>
      </c>
      <c r="F797" s="425" t="s">
        <v>992</v>
      </c>
      <c r="G797" s="425" t="s">
        <v>993</v>
      </c>
      <c r="H797" s="426" t="s">
        <v>489</v>
      </c>
      <c r="I797" s="425" t="s">
        <v>994</v>
      </c>
      <c r="J797" s="425" t="s">
        <v>697</v>
      </c>
      <c r="K797" s="425" t="s">
        <v>995</v>
      </c>
      <c r="L797" s="425" t="s">
        <v>996</v>
      </c>
      <c r="M797" s="425" t="s">
        <v>997</v>
      </c>
      <c r="N797" s="425" t="s">
        <v>558</v>
      </c>
      <c r="O797" s="425" t="s">
        <v>998</v>
      </c>
      <c r="P797" s="425" t="s">
        <v>999</v>
      </c>
      <c r="Q797" s="425" t="s">
        <v>1000</v>
      </c>
      <c r="R797" s="425" t="s">
        <v>1001</v>
      </c>
      <c r="S797" s="425" t="s">
        <v>1002</v>
      </c>
      <c r="T797" s="423" t="s">
        <v>1025</v>
      </c>
      <c r="U797" s="423" t="s">
        <v>1025</v>
      </c>
      <c r="V797" s="423">
        <v>40</v>
      </c>
      <c r="W797" s="423">
        <v>1.6</v>
      </c>
      <c r="X797" s="423" t="s">
        <v>1026</v>
      </c>
      <c r="Y797" s="423">
        <v>6</v>
      </c>
      <c r="Z797" s="423" t="s">
        <v>1022</v>
      </c>
      <c r="AD797" s="423">
        <f>IF(ISNUMBER(MATCH(B797,'FICHA SOLIC'!$AB$26:$AB$376,0)),1,0)</f>
        <v>1</v>
      </c>
      <c r="AE797" s="423" t="str">
        <f t="shared" si="12"/>
        <v>Las CondesE-Aa2</v>
      </c>
    </row>
    <row r="798" spans="1:31" x14ac:dyDescent="0.25">
      <c r="A798" s="423">
        <v>797</v>
      </c>
      <c r="B798" s="423" t="s">
        <v>416</v>
      </c>
      <c r="C798" s="423" t="s">
        <v>1014</v>
      </c>
      <c r="D798" s="425" t="s">
        <v>990</v>
      </c>
      <c r="E798" s="425" t="s">
        <v>991</v>
      </c>
      <c r="F798" s="425" t="s">
        <v>992</v>
      </c>
      <c r="G798" s="425" t="s">
        <v>993</v>
      </c>
      <c r="H798" s="426" t="s">
        <v>489</v>
      </c>
      <c r="I798" s="425" t="s">
        <v>994</v>
      </c>
      <c r="J798" s="425" t="s">
        <v>697</v>
      </c>
      <c r="K798" s="425" t="s">
        <v>995</v>
      </c>
      <c r="L798" s="425" t="s">
        <v>996</v>
      </c>
      <c r="M798" s="425" t="s">
        <v>997</v>
      </c>
      <c r="N798" s="425" t="s">
        <v>558</v>
      </c>
      <c r="O798" s="425" t="s">
        <v>998</v>
      </c>
      <c r="P798" s="425" t="s">
        <v>999</v>
      </c>
      <c r="Q798" s="425" t="s">
        <v>1000</v>
      </c>
      <c r="R798" s="425" t="s">
        <v>1001</v>
      </c>
      <c r="S798" s="425" t="s">
        <v>1002</v>
      </c>
      <c r="T798" s="423" t="s">
        <v>1025</v>
      </c>
      <c r="U798" s="423" t="s">
        <v>1025</v>
      </c>
      <c r="V798" s="423">
        <v>40</v>
      </c>
      <c r="W798" s="423">
        <v>2</v>
      </c>
      <c r="X798" s="423" t="s">
        <v>1026</v>
      </c>
      <c r="Y798" s="423">
        <v>6</v>
      </c>
      <c r="Z798" s="423" t="s">
        <v>1022</v>
      </c>
      <c r="AD798" s="423">
        <f>IF(ISNUMBER(MATCH(B798,'FICHA SOLIC'!$AB$26:$AB$376,0)),1,0)</f>
        <v>1</v>
      </c>
      <c r="AE798" s="423" t="str">
        <f t="shared" si="12"/>
        <v>Las CondesE-Aa3</v>
      </c>
    </row>
    <row r="799" spans="1:31" x14ac:dyDescent="0.25">
      <c r="A799" s="423">
        <v>798</v>
      </c>
      <c r="B799" s="423" t="s">
        <v>416</v>
      </c>
      <c r="C799" s="423" t="s">
        <v>989</v>
      </c>
      <c r="D799" s="425" t="s">
        <v>990</v>
      </c>
      <c r="E799" s="425" t="s">
        <v>991</v>
      </c>
      <c r="F799" s="425" t="s">
        <v>992</v>
      </c>
      <c r="G799" s="425" t="s">
        <v>993</v>
      </c>
      <c r="H799" s="426" t="s">
        <v>489</v>
      </c>
      <c r="I799" s="425" t="s">
        <v>994</v>
      </c>
      <c r="J799" s="425" t="s">
        <v>697</v>
      </c>
      <c r="K799" s="425" t="s">
        <v>995</v>
      </c>
      <c r="L799" s="425" t="s">
        <v>996</v>
      </c>
      <c r="M799" s="425" t="s">
        <v>997</v>
      </c>
      <c r="N799" s="425" t="s">
        <v>558</v>
      </c>
      <c r="O799" s="425" t="s">
        <v>998</v>
      </c>
      <c r="P799" s="425" t="s">
        <v>999</v>
      </c>
      <c r="Q799" s="425" t="s">
        <v>1000</v>
      </c>
      <c r="R799" s="425" t="s">
        <v>1001</v>
      </c>
      <c r="S799" s="425" t="s">
        <v>1002</v>
      </c>
      <c r="T799" s="423">
        <v>1000</v>
      </c>
      <c r="U799" s="423">
        <v>20</v>
      </c>
      <c r="V799" s="423">
        <v>30</v>
      </c>
      <c r="W799" s="423">
        <v>0.6</v>
      </c>
      <c r="X799" s="423">
        <v>10.5</v>
      </c>
      <c r="Y799" s="423" t="s">
        <v>1041</v>
      </c>
      <c r="Z799" s="423" t="s">
        <v>1005</v>
      </c>
      <c r="AD799" s="423">
        <f>IF(ISNUMBER(MATCH(B799,'FICHA SOLIC'!$AB$26:$AB$376,0)),1,0)</f>
        <v>1</v>
      </c>
      <c r="AE799" s="423" t="str">
        <f t="shared" si="12"/>
        <v>Las CondesE-Ab1</v>
      </c>
    </row>
    <row r="800" spans="1:31" x14ac:dyDescent="0.25">
      <c r="A800" s="423">
        <v>799</v>
      </c>
      <c r="B800" s="423" t="s">
        <v>416</v>
      </c>
      <c r="C800" s="423" t="s">
        <v>1006</v>
      </c>
      <c r="D800" s="425" t="s">
        <v>990</v>
      </c>
      <c r="E800" s="425" t="s">
        <v>991</v>
      </c>
      <c r="F800" s="425" t="s">
        <v>992</v>
      </c>
      <c r="G800" s="425" t="s">
        <v>993</v>
      </c>
      <c r="H800" s="426" t="s">
        <v>489</v>
      </c>
      <c r="I800" s="425" t="s">
        <v>994</v>
      </c>
      <c r="J800" s="425" t="s">
        <v>697</v>
      </c>
      <c r="K800" s="425" t="s">
        <v>995</v>
      </c>
      <c r="L800" s="425" t="s">
        <v>996</v>
      </c>
      <c r="M800" s="425" t="s">
        <v>997</v>
      </c>
      <c r="N800" s="425" t="s">
        <v>558</v>
      </c>
      <c r="O800" s="425" t="s">
        <v>998</v>
      </c>
      <c r="P800" s="425" t="s">
        <v>999</v>
      </c>
      <c r="Q800" s="425" t="s">
        <v>1000</v>
      </c>
      <c r="R800" s="425" t="s">
        <v>1001</v>
      </c>
      <c r="S800" s="425" t="s">
        <v>1002</v>
      </c>
      <c r="T800" s="423">
        <v>500</v>
      </c>
      <c r="U800" s="423">
        <v>15</v>
      </c>
      <c r="V800" s="423">
        <v>40</v>
      </c>
      <c r="W800" s="423">
        <v>0.6</v>
      </c>
      <c r="X800" s="423">
        <v>10.5</v>
      </c>
      <c r="Y800" s="423" t="s">
        <v>1041</v>
      </c>
      <c r="Z800" s="423" t="s">
        <v>1005</v>
      </c>
      <c r="AD800" s="423">
        <f>IF(ISNUMBER(MATCH(B800,'FICHA SOLIC'!$AB$26:$AB$376,0)),1,0)</f>
        <v>1</v>
      </c>
      <c r="AE800" s="423" t="str">
        <f t="shared" si="12"/>
        <v>Las CondesE-Ab2</v>
      </c>
    </row>
    <row r="801" spans="1:31" x14ac:dyDescent="0.25">
      <c r="A801" s="423">
        <v>800</v>
      </c>
      <c r="B801" s="423" t="s">
        <v>416</v>
      </c>
      <c r="C801" s="423" t="s">
        <v>1007</v>
      </c>
      <c r="D801" s="425" t="s">
        <v>990</v>
      </c>
      <c r="E801" s="425" t="s">
        <v>991</v>
      </c>
      <c r="F801" s="425" t="s">
        <v>992</v>
      </c>
      <c r="G801" s="425" t="s">
        <v>993</v>
      </c>
      <c r="H801" s="426" t="s">
        <v>489</v>
      </c>
      <c r="I801" s="425" t="s">
        <v>994</v>
      </c>
      <c r="J801" s="425" t="s">
        <v>697</v>
      </c>
      <c r="K801" s="425" t="s">
        <v>995</v>
      </c>
      <c r="L801" s="425" t="s">
        <v>996</v>
      </c>
      <c r="M801" s="425" t="s">
        <v>997</v>
      </c>
      <c r="N801" s="425" t="s">
        <v>558</v>
      </c>
      <c r="O801" s="425" t="s">
        <v>998</v>
      </c>
      <c r="P801" s="425" t="s">
        <v>999</v>
      </c>
      <c r="Q801" s="425" t="s">
        <v>1000</v>
      </c>
      <c r="R801" s="425" t="s">
        <v>1001</v>
      </c>
      <c r="S801" s="425" t="s">
        <v>1002</v>
      </c>
      <c r="T801" s="423">
        <v>300</v>
      </c>
      <c r="U801" s="423">
        <v>12</v>
      </c>
      <c r="V801" s="423">
        <v>40</v>
      </c>
      <c r="W801" s="423">
        <v>0.8</v>
      </c>
      <c r="X801" s="423">
        <v>10.5</v>
      </c>
      <c r="Y801" s="423" t="s">
        <v>1041</v>
      </c>
      <c r="Z801" s="423" t="s">
        <v>1005</v>
      </c>
      <c r="AD801" s="423">
        <f>IF(ISNUMBER(MATCH(B801,'FICHA SOLIC'!$AB$26:$AB$376,0)),1,0)</f>
        <v>1</v>
      </c>
      <c r="AE801" s="423" t="str">
        <f t="shared" si="12"/>
        <v>Las CondesE-Ab3</v>
      </c>
    </row>
    <row r="802" spans="1:31" x14ac:dyDescent="0.25">
      <c r="A802" s="423">
        <v>801</v>
      </c>
      <c r="B802" s="423" t="s">
        <v>416</v>
      </c>
      <c r="C802" s="423" t="s">
        <v>1024</v>
      </c>
      <c r="D802" s="425" t="s">
        <v>990</v>
      </c>
      <c r="E802" s="425" t="s">
        <v>991</v>
      </c>
      <c r="F802" s="425" t="s">
        <v>992</v>
      </c>
      <c r="G802" s="425" t="s">
        <v>993</v>
      </c>
      <c r="H802" s="426" t="s">
        <v>489</v>
      </c>
      <c r="I802" s="425" t="s">
        <v>994</v>
      </c>
      <c r="J802" s="425" t="s">
        <v>697</v>
      </c>
      <c r="K802" s="425" t="s">
        <v>995</v>
      </c>
      <c r="L802" s="425" t="s">
        <v>996</v>
      </c>
      <c r="M802" s="425" t="s">
        <v>997</v>
      </c>
      <c r="N802" s="425" t="s">
        <v>558</v>
      </c>
      <c r="O802" s="425" t="s">
        <v>998</v>
      </c>
      <c r="P802" s="425" t="s">
        <v>999</v>
      </c>
      <c r="Q802" s="425" t="s">
        <v>1000</v>
      </c>
      <c r="R802" s="425" t="s">
        <v>1001</v>
      </c>
      <c r="S802" s="425" t="s">
        <v>1002</v>
      </c>
      <c r="T802" s="423">
        <v>4000</v>
      </c>
      <c r="U802" s="423">
        <v>50</v>
      </c>
      <c r="V802" s="423">
        <v>12</v>
      </c>
      <c r="W802" s="423">
        <v>0.12</v>
      </c>
      <c r="X802" s="423">
        <v>10.5</v>
      </c>
      <c r="Y802" s="423">
        <v>11</v>
      </c>
      <c r="Z802" s="423" t="s">
        <v>1005</v>
      </c>
      <c r="AD802" s="423">
        <f>IF(ISNUMBER(MATCH(B802,'FICHA SOLIC'!$AB$26:$AB$376,0)),1,0)</f>
        <v>1</v>
      </c>
      <c r="AE802" s="423" t="str">
        <f t="shared" si="12"/>
        <v>Las CondesE-Ab4</v>
      </c>
    </row>
    <row r="803" spans="1:31" x14ac:dyDescent="0.25">
      <c r="A803" s="423">
        <v>802</v>
      </c>
      <c r="B803" s="423" t="s">
        <v>416</v>
      </c>
      <c r="C803" s="423" t="s">
        <v>1008</v>
      </c>
      <c r="D803" s="425" t="s">
        <v>990</v>
      </c>
      <c r="E803" s="425" t="s">
        <v>991</v>
      </c>
      <c r="F803" s="425" t="s">
        <v>992</v>
      </c>
      <c r="G803" s="425" t="s">
        <v>993</v>
      </c>
      <c r="H803" s="426" t="s">
        <v>489</v>
      </c>
      <c r="I803" s="425" t="s">
        <v>994</v>
      </c>
      <c r="J803" s="425" t="s">
        <v>697</v>
      </c>
      <c r="K803" s="425" t="s">
        <v>995</v>
      </c>
      <c r="L803" s="425" t="s">
        <v>996</v>
      </c>
      <c r="M803" s="425" t="s">
        <v>997</v>
      </c>
      <c r="N803" s="425" t="s">
        <v>558</v>
      </c>
      <c r="O803" s="425" t="s">
        <v>998</v>
      </c>
      <c r="P803" s="425" t="s">
        <v>999</v>
      </c>
      <c r="Q803" s="425" t="s">
        <v>1000</v>
      </c>
      <c r="R803" s="425" t="s">
        <v>1001</v>
      </c>
      <c r="S803" s="425" t="s">
        <v>1002</v>
      </c>
      <c r="T803" s="423">
        <v>4000</v>
      </c>
      <c r="U803" s="423">
        <v>50</v>
      </c>
      <c r="V803" s="423">
        <v>12</v>
      </c>
      <c r="W803" s="423">
        <v>0.12</v>
      </c>
      <c r="X803" s="423">
        <v>10.5</v>
      </c>
      <c r="Y803" s="423">
        <v>11</v>
      </c>
      <c r="Z803" s="423" t="s">
        <v>1005</v>
      </c>
      <c r="AD803" s="423">
        <f>IF(ISNUMBER(MATCH(B803,'FICHA SOLIC'!$AB$26:$AB$376,0)),1,0)</f>
        <v>1</v>
      </c>
      <c r="AE803" s="423" t="str">
        <f t="shared" si="12"/>
        <v>Las CondesE-Ab4'</v>
      </c>
    </row>
    <row r="804" spans="1:31" x14ac:dyDescent="0.25">
      <c r="A804" s="423">
        <v>803</v>
      </c>
      <c r="B804" s="423" t="s">
        <v>416</v>
      </c>
      <c r="C804" s="423" t="s">
        <v>1009</v>
      </c>
      <c r="D804" s="425" t="s">
        <v>990</v>
      </c>
      <c r="E804" s="425" t="s">
        <v>991</v>
      </c>
      <c r="F804" s="425" t="s">
        <v>992</v>
      </c>
      <c r="G804" s="425" t="s">
        <v>993</v>
      </c>
      <c r="H804" s="426" t="s">
        <v>489</v>
      </c>
      <c r="I804" s="425" t="s">
        <v>994</v>
      </c>
      <c r="J804" s="425" t="s">
        <v>697</v>
      </c>
      <c r="K804" s="425" t="s">
        <v>995</v>
      </c>
      <c r="L804" s="425" t="s">
        <v>996</v>
      </c>
      <c r="M804" s="425" t="s">
        <v>997</v>
      </c>
      <c r="N804" s="425" t="s">
        <v>558</v>
      </c>
      <c r="O804" s="425" t="s">
        <v>998</v>
      </c>
      <c r="P804" s="425" t="s">
        <v>999</v>
      </c>
      <c r="Q804" s="425" t="s">
        <v>1000</v>
      </c>
      <c r="R804" s="425" t="s">
        <v>1001</v>
      </c>
      <c r="S804" s="425" t="s">
        <v>1002</v>
      </c>
      <c r="T804" s="423">
        <v>800</v>
      </c>
      <c r="U804" s="423" t="s">
        <v>1025</v>
      </c>
      <c r="V804" s="423">
        <v>30</v>
      </c>
      <c r="W804" s="423">
        <v>1</v>
      </c>
      <c r="X804" s="423">
        <v>14</v>
      </c>
      <c r="Y804" s="423" t="s">
        <v>1041</v>
      </c>
      <c r="Z804" s="423" t="s">
        <v>1021</v>
      </c>
      <c r="AD804" s="423">
        <f>IF(ISNUMBER(MATCH(B804,'FICHA SOLIC'!$AB$26:$AB$376,0)),1,0)</f>
        <v>1</v>
      </c>
      <c r="AE804" s="423" t="str">
        <f t="shared" si="12"/>
        <v>Las CondesE-Am1</v>
      </c>
    </row>
    <row r="805" spans="1:31" x14ac:dyDescent="0.25">
      <c r="A805" s="423">
        <v>804</v>
      </c>
      <c r="B805" s="423" t="s">
        <v>416</v>
      </c>
      <c r="C805" s="423" t="s">
        <v>2384</v>
      </c>
      <c r="D805" s="425" t="s">
        <v>990</v>
      </c>
      <c r="E805" s="425" t="s">
        <v>991</v>
      </c>
      <c r="F805" s="425" t="s">
        <v>992</v>
      </c>
      <c r="G805" s="425" t="s">
        <v>993</v>
      </c>
      <c r="H805" s="426" t="s">
        <v>489</v>
      </c>
      <c r="I805" s="425" t="s">
        <v>994</v>
      </c>
      <c r="J805" s="425" t="s">
        <v>697</v>
      </c>
      <c r="K805" s="425" t="s">
        <v>995</v>
      </c>
      <c r="L805" s="425" t="s">
        <v>996</v>
      </c>
      <c r="M805" s="425" t="s">
        <v>997</v>
      </c>
      <c r="N805" s="425" t="s">
        <v>558</v>
      </c>
      <c r="O805" s="425" t="s">
        <v>998</v>
      </c>
      <c r="P805" s="425" t="s">
        <v>999</v>
      </c>
      <c r="Q805" s="425" t="s">
        <v>1000</v>
      </c>
      <c r="R805" s="425" t="s">
        <v>1001</v>
      </c>
      <c r="S805" s="425" t="s">
        <v>1002</v>
      </c>
      <c r="T805" s="423" t="s">
        <v>1025</v>
      </c>
      <c r="U805" s="423" t="s">
        <v>1025</v>
      </c>
      <c r="V805" s="423">
        <v>40</v>
      </c>
      <c r="W805" s="423">
        <v>0.6</v>
      </c>
      <c r="X805" s="423">
        <v>10.5</v>
      </c>
      <c r="Y805" s="423" t="s">
        <v>1041</v>
      </c>
      <c r="Z805" s="423" t="s">
        <v>1021</v>
      </c>
      <c r="AD805" s="423">
        <f>IF(ISNUMBER(MATCH(B805,'FICHA SOLIC'!$AB$26:$AB$376,0)),1,0)</f>
        <v>1</v>
      </c>
      <c r="AE805" s="423" t="str">
        <f t="shared" si="12"/>
        <v>Las CondesE-Am1´</v>
      </c>
    </row>
    <row r="806" spans="1:31" x14ac:dyDescent="0.25">
      <c r="A806" s="423">
        <v>805</v>
      </c>
      <c r="B806" s="423" t="s">
        <v>416</v>
      </c>
      <c r="C806" s="423" t="s">
        <v>1010</v>
      </c>
      <c r="D806" s="425" t="s">
        <v>990</v>
      </c>
      <c r="E806" s="425" t="s">
        <v>991</v>
      </c>
      <c r="F806" s="425" t="s">
        <v>992</v>
      </c>
      <c r="G806" s="425" t="s">
        <v>993</v>
      </c>
      <c r="H806" s="426" t="s">
        <v>489</v>
      </c>
      <c r="I806" s="425" t="s">
        <v>994</v>
      </c>
      <c r="J806" s="425" t="s">
        <v>697</v>
      </c>
      <c r="K806" s="425" t="s">
        <v>995</v>
      </c>
      <c r="L806" s="425" t="s">
        <v>996</v>
      </c>
      <c r="M806" s="425" t="s">
        <v>997</v>
      </c>
      <c r="N806" s="425" t="s">
        <v>558</v>
      </c>
      <c r="O806" s="425" t="s">
        <v>998</v>
      </c>
      <c r="P806" s="425" t="s">
        <v>999</v>
      </c>
      <c r="Q806" s="425" t="s">
        <v>1000</v>
      </c>
      <c r="R806" s="425" t="s">
        <v>1001</v>
      </c>
      <c r="S806" s="425" t="s">
        <v>1002</v>
      </c>
      <c r="T806" s="423" t="s">
        <v>1025</v>
      </c>
      <c r="U806" s="423" t="s">
        <v>1025</v>
      </c>
      <c r="V806" s="423">
        <v>40</v>
      </c>
      <c r="W806" s="423">
        <v>0.6</v>
      </c>
      <c r="X806" s="423">
        <v>10.5</v>
      </c>
      <c r="Y806" s="423" t="s">
        <v>1041</v>
      </c>
      <c r="Z806" s="423" t="s">
        <v>1021</v>
      </c>
      <c r="AD806" s="423">
        <f>IF(ISNUMBER(MATCH(B806,'FICHA SOLIC'!$AB$26:$AB$376,0)),1,0)</f>
        <v>1</v>
      </c>
      <c r="AE806" s="423" t="str">
        <f t="shared" si="12"/>
        <v>Las CondesE-Am2</v>
      </c>
    </row>
    <row r="807" spans="1:31" x14ac:dyDescent="0.25">
      <c r="A807" s="423">
        <v>806</v>
      </c>
      <c r="B807" s="423" t="s">
        <v>416</v>
      </c>
      <c r="C807" s="423" t="s">
        <v>1011</v>
      </c>
      <c r="D807" s="425" t="s">
        <v>990</v>
      </c>
      <c r="E807" s="425" t="s">
        <v>991</v>
      </c>
      <c r="F807" s="425" t="s">
        <v>992</v>
      </c>
      <c r="G807" s="425" t="s">
        <v>993</v>
      </c>
      <c r="H807" s="426" t="s">
        <v>489</v>
      </c>
      <c r="I807" s="425" t="s">
        <v>994</v>
      </c>
      <c r="J807" s="425" t="s">
        <v>697</v>
      </c>
      <c r="K807" s="425" t="s">
        <v>995</v>
      </c>
      <c r="L807" s="425" t="s">
        <v>996</v>
      </c>
      <c r="M807" s="425" t="s">
        <v>997</v>
      </c>
      <c r="N807" s="425" t="s">
        <v>558</v>
      </c>
      <c r="O807" s="425" t="s">
        <v>998</v>
      </c>
      <c r="P807" s="425" t="s">
        <v>999</v>
      </c>
      <c r="Q807" s="425" t="s">
        <v>1000</v>
      </c>
      <c r="R807" s="425" t="s">
        <v>1001</v>
      </c>
      <c r="S807" s="425" t="s">
        <v>1002</v>
      </c>
      <c r="T807" s="423" t="s">
        <v>1025</v>
      </c>
      <c r="U807" s="423" t="s">
        <v>1025</v>
      </c>
      <c r="V807" s="423">
        <v>40</v>
      </c>
      <c r="W807" s="423">
        <v>0.6</v>
      </c>
      <c r="X807" s="423">
        <v>9.5</v>
      </c>
      <c r="Y807" s="423" t="s">
        <v>1041</v>
      </c>
      <c r="Z807" s="423" t="s">
        <v>1021</v>
      </c>
      <c r="AD807" s="423">
        <f>IF(ISNUMBER(MATCH(B807,'FICHA SOLIC'!$AB$26:$AB$376,0)),1,0)</f>
        <v>1</v>
      </c>
      <c r="AE807" s="423" t="str">
        <f t="shared" si="12"/>
        <v>Las CondesE-Am4</v>
      </c>
    </row>
    <row r="808" spans="1:31" x14ac:dyDescent="0.25">
      <c r="A808" s="423">
        <v>807</v>
      </c>
      <c r="B808" s="423" t="s">
        <v>416</v>
      </c>
      <c r="C808" s="423" t="s">
        <v>1016</v>
      </c>
      <c r="D808" s="425" t="s">
        <v>990</v>
      </c>
      <c r="E808" s="425" t="s">
        <v>991</v>
      </c>
      <c r="F808" s="425" t="s">
        <v>992</v>
      </c>
      <c r="G808" s="425" t="s">
        <v>993</v>
      </c>
      <c r="H808" s="426" t="s">
        <v>489</v>
      </c>
      <c r="I808" s="425" t="s">
        <v>994</v>
      </c>
      <c r="J808" s="425" t="s">
        <v>697</v>
      </c>
      <c r="K808" s="425" t="s">
        <v>995</v>
      </c>
      <c r="L808" s="425" t="s">
        <v>996</v>
      </c>
      <c r="M808" s="425" t="s">
        <v>997</v>
      </c>
      <c r="N808" s="425" t="s">
        <v>558</v>
      </c>
      <c r="O808" s="425" t="s">
        <v>998</v>
      </c>
      <c r="P808" s="425" t="s">
        <v>999</v>
      </c>
      <c r="Q808" s="425" t="s">
        <v>1000</v>
      </c>
      <c r="R808" s="425" t="s">
        <v>1001</v>
      </c>
      <c r="S808" s="425" t="s">
        <v>1002</v>
      </c>
      <c r="T808" s="423" t="s">
        <v>1025</v>
      </c>
      <c r="U808" s="423" t="s">
        <v>1041</v>
      </c>
      <c r="V808" s="423">
        <v>60</v>
      </c>
      <c r="W808" s="423">
        <v>0.8</v>
      </c>
      <c r="X808" s="423">
        <v>17.5</v>
      </c>
      <c r="Y808" s="423" t="s">
        <v>1041</v>
      </c>
      <c r="Z808" s="423" t="s">
        <v>1023</v>
      </c>
      <c r="AD808" s="423">
        <f>IF(ISNUMBER(MATCH(B808,'FICHA SOLIC'!$AB$26:$AB$376,0)),1,0)</f>
        <v>1</v>
      </c>
      <c r="AE808" s="423" t="str">
        <f t="shared" si="12"/>
        <v>Las CondesE-e1</v>
      </c>
    </row>
    <row r="809" spans="1:31" x14ac:dyDescent="0.25">
      <c r="A809" s="423">
        <v>808</v>
      </c>
      <c r="B809" s="423" t="s">
        <v>416</v>
      </c>
      <c r="C809" s="423" t="s">
        <v>1017</v>
      </c>
      <c r="D809" s="425" t="s">
        <v>990</v>
      </c>
      <c r="E809" s="425" t="s">
        <v>991</v>
      </c>
      <c r="F809" s="425" t="s">
        <v>992</v>
      </c>
      <c r="G809" s="425" t="s">
        <v>993</v>
      </c>
      <c r="H809" s="426" t="s">
        <v>489</v>
      </c>
      <c r="I809" s="425" t="s">
        <v>994</v>
      </c>
      <c r="J809" s="425" t="s">
        <v>697</v>
      </c>
      <c r="K809" s="425" t="s">
        <v>995</v>
      </c>
      <c r="L809" s="425" t="s">
        <v>996</v>
      </c>
      <c r="M809" s="425" t="s">
        <v>997</v>
      </c>
      <c r="N809" s="425" t="s">
        <v>558</v>
      </c>
      <c r="O809" s="425" t="s">
        <v>998</v>
      </c>
      <c r="P809" s="425" t="s">
        <v>999</v>
      </c>
      <c r="Q809" s="425" t="s">
        <v>1000</v>
      </c>
      <c r="R809" s="425" t="s">
        <v>1001</v>
      </c>
      <c r="S809" s="425" t="s">
        <v>1002</v>
      </c>
      <c r="T809" s="423">
        <v>30000</v>
      </c>
      <c r="U809" s="423" t="s">
        <v>1041</v>
      </c>
      <c r="V809" s="423">
        <v>15</v>
      </c>
      <c r="W809" s="423">
        <v>0.3</v>
      </c>
      <c r="X809" s="423">
        <v>17.5</v>
      </c>
      <c r="Y809" s="423" t="s">
        <v>1041</v>
      </c>
      <c r="Z809" s="423" t="s">
        <v>1023</v>
      </c>
      <c r="AD809" s="423">
        <f>IF(ISNUMBER(MATCH(B809,'FICHA SOLIC'!$AB$26:$AB$376,0)),1,0)</f>
        <v>1</v>
      </c>
      <c r="AE809" s="423" t="str">
        <f t="shared" si="12"/>
        <v>Las CondesE-e2</v>
      </c>
    </row>
    <row r="810" spans="1:31" x14ac:dyDescent="0.25">
      <c r="A810" s="423">
        <v>809</v>
      </c>
      <c r="B810" s="423" t="s">
        <v>416</v>
      </c>
      <c r="C810" s="423" t="s">
        <v>1018</v>
      </c>
      <c r="D810" s="425" t="s">
        <v>990</v>
      </c>
      <c r="E810" s="425" t="s">
        <v>991</v>
      </c>
      <c r="F810" s="425" t="s">
        <v>992</v>
      </c>
      <c r="G810" s="425" t="s">
        <v>993</v>
      </c>
      <c r="H810" s="426" t="s">
        <v>489</v>
      </c>
      <c r="I810" s="425" t="s">
        <v>994</v>
      </c>
      <c r="J810" s="425" t="s">
        <v>697</v>
      </c>
      <c r="K810" s="425" t="s">
        <v>995</v>
      </c>
      <c r="L810" s="425" t="s">
        <v>996</v>
      </c>
      <c r="M810" s="425" t="s">
        <v>997</v>
      </c>
      <c r="N810" s="425" t="s">
        <v>558</v>
      </c>
      <c r="O810" s="425" t="s">
        <v>998</v>
      </c>
      <c r="P810" s="425" t="s">
        <v>999</v>
      </c>
      <c r="Q810" s="425" t="s">
        <v>1000</v>
      </c>
      <c r="R810" s="425" t="s">
        <v>1001</v>
      </c>
      <c r="S810" s="425" t="s">
        <v>1002</v>
      </c>
      <c r="T810" s="423" t="s">
        <v>2385</v>
      </c>
      <c r="U810" s="423" t="s">
        <v>1041</v>
      </c>
      <c r="V810" s="423" t="s">
        <v>1041</v>
      </c>
      <c r="W810" s="423" t="s">
        <v>1041</v>
      </c>
      <c r="X810" s="423">
        <v>10.5</v>
      </c>
      <c r="Y810" s="423" t="s">
        <v>1041</v>
      </c>
      <c r="Z810" s="423" t="s">
        <v>1023</v>
      </c>
      <c r="AD810" s="423">
        <f>IF(ISNUMBER(MATCH(B810,'FICHA SOLIC'!$AB$26:$AB$376,0)),1,0)</f>
        <v>1</v>
      </c>
      <c r="AE810" s="423" t="str">
        <f t="shared" si="12"/>
        <v>Las CondesE-e3</v>
      </c>
    </row>
    <row r="811" spans="1:31" x14ac:dyDescent="0.25">
      <c r="A811" s="423">
        <v>810</v>
      </c>
      <c r="B811" s="423" t="s">
        <v>416</v>
      </c>
      <c r="C811" s="423" t="s">
        <v>1019</v>
      </c>
      <c r="D811" s="425" t="s">
        <v>990</v>
      </c>
      <c r="E811" s="425" t="s">
        <v>991</v>
      </c>
      <c r="F811" s="425" t="s">
        <v>992</v>
      </c>
      <c r="G811" s="425" t="s">
        <v>993</v>
      </c>
      <c r="H811" s="426" t="s">
        <v>489</v>
      </c>
      <c r="I811" s="425" t="s">
        <v>994</v>
      </c>
      <c r="J811" s="425" t="s">
        <v>697</v>
      </c>
      <c r="K811" s="425" t="s">
        <v>995</v>
      </c>
      <c r="L811" s="425" t="s">
        <v>996</v>
      </c>
      <c r="M811" s="425" t="s">
        <v>997</v>
      </c>
      <c r="N811" s="425" t="s">
        <v>558</v>
      </c>
      <c r="O811" s="425" t="s">
        <v>998</v>
      </c>
      <c r="P811" s="425" t="s">
        <v>999</v>
      </c>
      <c r="Q811" s="425" t="s">
        <v>1000</v>
      </c>
      <c r="R811" s="425" t="s">
        <v>1001</v>
      </c>
      <c r="S811" s="425" t="s">
        <v>1002</v>
      </c>
      <c r="T811" s="423" t="s">
        <v>2385</v>
      </c>
      <c r="U811" s="423" t="s">
        <v>1041</v>
      </c>
      <c r="V811" s="423" t="s">
        <v>1041</v>
      </c>
      <c r="W811" s="423" t="s">
        <v>1041</v>
      </c>
      <c r="X811" s="423" t="s">
        <v>1041</v>
      </c>
      <c r="Y811" s="423" t="s">
        <v>1041</v>
      </c>
      <c r="Z811" s="423" t="s">
        <v>1023</v>
      </c>
      <c r="AD811" s="423">
        <f>IF(ISNUMBER(MATCH(B811,'FICHA SOLIC'!$AB$26:$AB$376,0)),1,0)</f>
        <v>1</v>
      </c>
      <c r="AE811" s="423" t="str">
        <f t="shared" si="12"/>
        <v>Las CondesE-e4</v>
      </c>
    </row>
    <row r="812" spans="1:31" x14ac:dyDescent="0.25">
      <c r="A812" s="423">
        <v>811</v>
      </c>
      <c r="B812" s="423" t="s">
        <v>416</v>
      </c>
      <c r="C812" s="423" t="s">
        <v>1020</v>
      </c>
      <c r="D812" s="425" t="s">
        <v>990</v>
      </c>
      <c r="E812" s="425" t="s">
        <v>991</v>
      </c>
      <c r="F812" s="425" t="s">
        <v>992</v>
      </c>
      <c r="G812" s="425" t="s">
        <v>993</v>
      </c>
      <c r="H812" s="426" t="s">
        <v>489</v>
      </c>
      <c r="I812" s="425" t="s">
        <v>994</v>
      </c>
      <c r="J812" s="425" t="s">
        <v>697</v>
      </c>
      <c r="K812" s="425" t="s">
        <v>995</v>
      </c>
      <c r="L812" s="425" t="s">
        <v>996</v>
      </c>
      <c r="M812" s="425" t="s">
        <v>997</v>
      </c>
      <c r="N812" s="425" t="s">
        <v>558</v>
      </c>
      <c r="O812" s="425" t="s">
        <v>998</v>
      </c>
      <c r="P812" s="425" t="s">
        <v>999</v>
      </c>
      <c r="Q812" s="425" t="s">
        <v>1000</v>
      </c>
      <c r="R812" s="425" t="s">
        <v>1001</v>
      </c>
      <c r="S812" s="425" t="s">
        <v>1002</v>
      </c>
      <c r="T812" s="423" t="s">
        <v>2385</v>
      </c>
      <c r="U812" s="423" t="s">
        <v>1041</v>
      </c>
      <c r="V812" s="423" t="s">
        <v>1041</v>
      </c>
      <c r="W812" s="423" t="s">
        <v>1041</v>
      </c>
      <c r="X812" s="423" t="s">
        <v>1041</v>
      </c>
      <c r="Y812" s="423" t="s">
        <v>1041</v>
      </c>
      <c r="Z812" s="423" t="s">
        <v>1023</v>
      </c>
      <c r="AD812" s="423">
        <f>IF(ISNUMBER(MATCH(B812,'FICHA SOLIC'!$AB$26:$AB$376,0)),1,0)</f>
        <v>1</v>
      </c>
      <c r="AE812" s="423" t="str">
        <f t="shared" si="12"/>
        <v>Las CondesE-e5</v>
      </c>
    </row>
    <row r="813" spans="1:31" x14ac:dyDescent="0.25">
      <c r="A813" s="423">
        <v>812</v>
      </c>
      <c r="B813" s="423" t="s">
        <v>311</v>
      </c>
      <c r="C813" s="423" t="s">
        <v>1041</v>
      </c>
      <c r="D813" s="973" t="s">
        <v>990</v>
      </c>
      <c r="E813" s="973" t="s">
        <v>991</v>
      </c>
      <c r="F813" s="973" t="s">
        <v>992</v>
      </c>
      <c r="G813" s="973" t="s">
        <v>1997</v>
      </c>
      <c r="H813" s="973" t="s">
        <v>1998</v>
      </c>
      <c r="I813" s="973" t="s">
        <v>1999</v>
      </c>
      <c r="J813" s="973" t="s">
        <v>697</v>
      </c>
      <c r="K813" s="973" t="s">
        <v>995</v>
      </c>
      <c r="L813" s="973" t="s">
        <v>996</v>
      </c>
      <c r="M813" s="973" t="s">
        <v>2000</v>
      </c>
      <c r="N813" s="973" t="s">
        <v>2001</v>
      </c>
      <c r="O813" s="973" t="s">
        <v>1971</v>
      </c>
      <c r="P813" s="973" t="s">
        <v>999</v>
      </c>
      <c r="Q813" s="973" t="s">
        <v>1000</v>
      </c>
      <c r="R813" s="973" t="s">
        <v>1001</v>
      </c>
      <c r="S813" s="973" t="s">
        <v>1002</v>
      </c>
      <c r="T813" s="423" t="s">
        <v>1041</v>
      </c>
      <c r="U813" s="423" t="s">
        <v>1041</v>
      </c>
      <c r="V813" s="423" t="s">
        <v>1041</v>
      </c>
      <c r="W813" s="423" t="s">
        <v>1041</v>
      </c>
      <c r="X813" s="423" t="s">
        <v>1041</v>
      </c>
      <c r="Y813" s="423" t="s">
        <v>1041</v>
      </c>
      <c r="Z813" s="423" t="s">
        <v>1041</v>
      </c>
      <c r="AD813" s="423">
        <f>IF(ISNUMBER(MATCH(B813,'FICHA SOLIC'!$AB$26:$AB$376,0)),1,0)</f>
        <v>1</v>
      </c>
      <c r="AE813" s="423" t="str">
        <f t="shared" si="12"/>
        <v>LautaroOGUC</v>
      </c>
    </row>
    <row r="814" spans="1:31" x14ac:dyDescent="0.25">
      <c r="A814" s="423">
        <v>813</v>
      </c>
      <c r="B814" s="423" t="s">
        <v>168</v>
      </c>
      <c r="C814" s="423" t="s">
        <v>1041</v>
      </c>
      <c r="D814" s="973" t="s">
        <v>990</v>
      </c>
      <c r="E814" s="973" t="s">
        <v>991</v>
      </c>
      <c r="F814" s="973" t="s">
        <v>992</v>
      </c>
      <c r="G814" s="973" t="s">
        <v>1997</v>
      </c>
      <c r="H814" s="973" t="s">
        <v>1998</v>
      </c>
      <c r="I814" s="973" t="s">
        <v>1999</v>
      </c>
      <c r="J814" s="973" t="s">
        <v>697</v>
      </c>
      <c r="K814" s="973" t="s">
        <v>995</v>
      </c>
      <c r="L814" s="973" t="s">
        <v>996</v>
      </c>
      <c r="M814" s="973" t="s">
        <v>2000</v>
      </c>
      <c r="N814" s="973" t="s">
        <v>2001</v>
      </c>
      <c r="O814" s="973" t="s">
        <v>1971</v>
      </c>
      <c r="P814" s="973" t="s">
        <v>999</v>
      </c>
      <c r="Q814" s="973" t="s">
        <v>1000</v>
      </c>
      <c r="R814" s="973" t="s">
        <v>1001</v>
      </c>
      <c r="S814" s="973" t="s">
        <v>1002</v>
      </c>
      <c r="T814" s="423" t="s">
        <v>1041</v>
      </c>
      <c r="U814" s="423" t="s">
        <v>1041</v>
      </c>
      <c r="V814" s="423" t="s">
        <v>1041</v>
      </c>
      <c r="W814" s="423" t="s">
        <v>1041</v>
      </c>
      <c r="X814" s="423" t="s">
        <v>1041</v>
      </c>
      <c r="Y814" s="423" t="s">
        <v>1041</v>
      </c>
      <c r="Z814" s="423" t="s">
        <v>1041</v>
      </c>
      <c r="AD814" s="423">
        <f>IF(ISNUMBER(MATCH(B814,'FICHA SOLIC'!$AB$26:$AB$376,0)),1,0)</f>
        <v>1</v>
      </c>
      <c r="AE814" s="423" t="str">
        <f t="shared" si="12"/>
        <v>LimacheOGUC</v>
      </c>
    </row>
    <row r="815" spans="1:31" x14ac:dyDescent="0.25">
      <c r="A815" s="423">
        <v>814</v>
      </c>
      <c r="B815" s="423" t="s">
        <v>2386</v>
      </c>
      <c r="C815" s="423" t="s">
        <v>1041</v>
      </c>
      <c r="D815" s="973" t="s">
        <v>990</v>
      </c>
      <c r="E815" s="973" t="s">
        <v>991</v>
      </c>
      <c r="F815" s="973" t="s">
        <v>992</v>
      </c>
      <c r="G815" s="973" t="s">
        <v>1997</v>
      </c>
      <c r="H815" s="973" t="s">
        <v>1998</v>
      </c>
      <c r="I815" s="973" t="s">
        <v>1999</v>
      </c>
      <c r="J815" s="973" t="s">
        <v>697</v>
      </c>
      <c r="K815" s="973" t="s">
        <v>995</v>
      </c>
      <c r="L815" s="973" t="s">
        <v>996</v>
      </c>
      <c r="M815" s="973" t="s">
        <v>2000</v>
      </c>
      <c r="N815" s="973" t="s">
        <v>2001</v>
      </c>
      <c r="O815" s="973" t="s">
        <v>1971</v>
      </c>
      <c r="P815" s="973" t="s">
        <v>999</v>
      </c>
      <c r="Q815" s="973" t="s">
        <v>1000</v>
      </c>
      <c r="R815" s="973" t="s">
        <v>1001</v>
      </c>
      <c r="S815" s="973" t="s">
        <v>1002</v>
      </c>
      <c r="T815" s="423" t="s">
        <v>1041</v>
      </c>
      <c r="U815" s="423" t="s">
        <v>1041</v>
      </c>
      <c r="V815" s="423" t="s">
        <v>1041</v>
      </c>
      <c r="W815" s="423" t="s">
        <v>1041</v>
      </c>
      <c r="X815" s="423" t="s">
        <v>1041</v>
      </c>
      <c r="Y815" s="423" t="s">
        <v>1041</v>
      </c>
      <c r="Z815" s="423" t="s">
        <v>1041</v>
      </c>
      <c r="AD815" s="423">
        <f>IF(ISNUMBER(MATCH(B815,'FICHA SOLIC'!$AB$26:$AB$376,0)),1,0)</f>
        <v>0</v>
      </c>
      <c r="AE815" s="423" t="str">
        <f t="shared" si="12"/>
        <v>LimariOGUC</v>
      </c>
    </row>
    <row r="816" spans="1:31" x14ac:dyDescent="0.25">
      <c r="A816" s="423">
        <v>815</v>
      </c>
      <c r="B816" s="423" t="s">
        <v>240</v>
      </c>
      <c r="C816" s="423" t="s">
        <v>1131</v>
      </c>
      <c r="D816" s="973" t="s">
        <v>990</v>
      </c>
      <c r="E816" s="973" t="s">
        <v>991</v>
      </c>
      <c r="F816" s="973" t="s">
        <v>992</v>
      </c>
      <c r="G816" s="973" t="s">
        <v>1997</v>
      </c>
      <c r="H816" s="973" t="s">
        <v>1998</v>
      </c>
      <c r="I816" s="973" t="s">
        <v>1999</v>
      </c>
      <c r="J816" s="973" t="s">
        <v>697</v>
      </c>
      <c r="K816" s="973" t="s">
        <v>995</v>
      </c>
      <c r="L816" s="973" t="s">
        <v>996</v>
      </c>
      <c r="M816" s="973" t="s">
        <v>2000</v>
      </c>
      <c r="N816" s="973" t="s">
        <v>2001</v>
      </c>
      <c r="O816" s="973" t="s">
        <v>1971</v>
      </c>
      <c r="P816" s="973" t="s">
        <v>999</v>
      </c>
      <c r="Q816" s="973" t="s">
        <v>1000</v>
      </c>
      <c r="R816" s="973" t="s">
        <v>1001</v>
      </c>
      <c r="S816" s="973" t="s">
        <v>1002</v>
      </c>
      <c r="T816" s="423">
        <v>200</v>
      </c>
      <c r="U816" s="423" t="s">
        <v>1041</v>
      </c>
      <c r="V816" s="423">
        <v>75</v>
      </c>
      <c r="W816" s="423" t="s">
        <v>1041</v>
      </c>
      <c r="X816" s="423" t="s">
        <v>1041</v>
      </c>
      <c r="Y816" s="423" t="s">
        <v>1041</v>
      </c>
      <c r="Z816" s="423" t="s">
        <v>2387</v>
      </c>
      <c r="AD816" s="423">
        <f>IF(ISNUMBER(MATCH(B816,'FICHA SOLIC'!$AB$26:$AB$376,0)),1,0)</f>
        <v>1</v>
      </c>
      <c r="AE816" s="423" t="str">
        <f t="shared" si="12"/>
        <v>LinaresZ-1</v>
      </c>
    </row>
    <row r="817" spans="1:31" x14ac:dyDescent="0.25">
      <c r="A817" s="423">
        <v>816</v>
      </c>
      <c r="B817" s="423" t="s">
        <v>240</v>
      </c>
      <c r="C817" s="423" t="s">
        <v>1134</v>
      </c>
      <c r="D817" s="973" t="s">
        <v>990</v>
      </c>
      <c r="E817" s="973" t="s">
        <v>991</v>
      </c>
      <c r="F817" s="973" t="s">
        <v>992</v>
      </c>
      <c r="G817" s="973" t="s">
        <v>1997</v>
      </c>
      <c r="H817" s="973" t="s">
        <v>1998</v>
      </c>
      <c r="I817" s="973" t="s">
        <v>1999</v>
      </c>
      <c r="J817" s="973" t="s">
        <v>697</v>
      </c>
      <c r="K817" s="973" t="s">
        <v>995</v>
      </c>
      <c r="L817" s="973" t="s">
        <v>996</v>
      </c>
      <c r="M817" s="973" t="s">
        <v>2000</v>
      </c>
      <c r="N817" s="973" t="s">
        <v>2001</v>
      </c>
      <c r="O817" s="973" t="s">
        <v>1971</v>
      </c>
      <c r="P817" s="973" t="s">
        <v>999</v>
      </c>
      <c r="Q817" s="973" t="s">
        <v>1000</v>
      </c>
      <c r="R817" s="973" t="s">
        <v>1001</v>
      </c>
      <c r="S817" s="973" t="s">
        <v>1002</v>
      </c>
      <c r="T817" s="423">
        <v>200</v>
      </c>
      <c r="U817" s="423" t="s">
        <v>1041</v>
      </c>
      <c r="V817" s="423">
        <v>75</v>
      </c>
      <c r="W817" s="423" t="s">
        <v>1041</v>
      </c>
      <c r="X817" s="423" t="s">
        <v>1041</v>
      </c>
      <c r="Y817" s="423" t="s">
        <v>1041</v>
      </c>
      <c r="Z817" s="423" t="s">
        <v>2387</v>
      </c>
      <c r="AD817" s="423">
        <f>IF(ISNUMBER(MATCH(B817,'FICHA SOLIC'!$AB$26:$AB$376,0)),1,0)</f>
        <v>1</v>
      </c>
      <c r="AE817" s="423" t="str">
        <f t="shared" si="12"/>
        <v>LinaresZ-2</v>
      </c>
    </row>
    <row r="818" spans="1:31" x14ac:dyDescent="0.25">
      <c r="A818" s="423">
        <v>817</v>
      </c>
      <c r="B818" s="423" t="s">
        <v>240</v>
      </c>
      <c r="C818" s="423" t="s">
        <v>1137</v>
      </c>
      <c r="D818" s="973" t="s">
        <v>990</v>
      </c>
      <c r="E818" s="973" t="s">
        <v>991</v>
      </c>
      <c r="F818" s="973" t="s">
        <v>992</v>
      </c>
      <c r="G818" s="973" t="s">
        <v>1997</v>
      </c>
      <c r="H818" s="973" t="s">
        <v>1998</v>
      </c>
      <c r="I818" s="973" t="s">
        <v>1999</v>
      </c>
      <c r="J818" s="973" t="s">
        <v>697</v>
      </c>
      <c r="K818" s="973" t="s">
        <v>995</v>
      </c>
      <c r="L818" s="973" t="s">
        <v>996</v>
      </c>
      <c r="M818" s="973" t="s">
        <v>2000</v>
      </c>
      <c r="N818" s="973" t="s">
        <v>2001</v>
      </c>
      <c r="O818" s="973" t="s">
        <v>1971</v>
      </c>
      <c r="P818" s="973" t="s">
        <v>999</v>
      </c>
      <c r="Q818" s="973" t="s">
        <v>1000</v>
      </c>
      <c r="R818" s="973" t="s">
        <v>1001</v>
      </c>
      <c r="S818" s="973" t="s">
        <v>1002</v>
      </c>
      <c r="T818" s="423">
        <v>160</v>
      </c>
      <c r="U818" s="423" t="s">
        <v>1041</v>
      </c>
      <c r="V818" s="423">
        <v>70</v>
      </c>
      <c r="W818" s="423" t="s">
        <v>1041</v>
      </c>
      <c r="X818" s="423" t="s">
        <v>1041</v>
      </c>
      <c r="Y818" s="423" t="s">
        <v>1041</v>
      </c>
      <c r="Z818" s="423" t="s">
        <v>1057</v>
      </c>
      <c r="AD818" s="423">
        <f>IF(ISNUMBER(MATCH(B818,'FICHA SOLIC'!$AB$26:$AB$376,0)),1,0)</f>
        <v>1</v>
      </c>
      <c r="AE818" s="423" t="str">
        <f t="shared" si="12"/>
        <v>LinaresZ-3</v>
      </c>
    </row>
    <row r="819" spans="1:31" x14ac:dyDescent="0.25">
      <c r="A819" s="423">
        <v>818</v>
      </c>
      <c r="B819" s="423" t="s">
        <v>240</v>
      </c>
      <c r="C819" s="423" t="s">
        <v>1140</v>
      </c>
      <c r="D819" s="973" t="s">
        <v>990</v>
      </c>
      <c r="E819" s="973" t="s">
        <v>991</v>
      </c>
      <c r="F819" s="973" t="s">
        <v>992</v>
      </c>
      <c r="G819" s="973" t="s">
        <v>1997</v>
      </c>
      <c r="H819" s="973" t="s">
        <v>1998</v>
      </c>
      <c r="I819" s="973" t="s">
        <v>1999</v>
      </c>
      <c r="J819" s="973" t="s">
        <v>697</v>
      </c>
      <c r="K819" s="973" t="s">
        <v>995</v>
      </c>
      <c r="L819" s="973" t="s">
        <v>996</v>
      </c>
      <c r="M819" s="973" t="s">
        <v>2000</v>
      </c>
      <c r="N819" s="973" t="s">
        <v>2001</v>
      </c>
      <c r="O819" s="973" t="s">
        <v>1971</v>
      </c>
      <c r="P819" s="973" t="s">
        <v>999</v>
      </c>
      <c r="Q819" s="973" t="s">
        <v>1000</v>
      </c>
      <c r="R819" s="973" t="s">
        <v>1001</v>
      </c>
      <c r="S819" s="973" t="s">
        <v>1002</v>
      </c>
      <c r="T819" s="423">
        <v>200</v>
      </c>
      <c r="U819" s="423" t="s">
        <v>1041</v>
      </c>
      <c r="V819" s="423">
        <v>60</v>
      </c>
      <c r="W819" s="423" t="s">
        <v>1041</v>
      </c>
      <c r="X819" s="423" t="s">
        <v>1041</v>
      </c>
      <c r="Y819" s="423" t="s">
        <v>1041</v>
      </c>
      <c r="Z819" s="423" t="s">
        <v>1057</v>
      </c>
      <c r="AD819" s="423">
        <f>IF(ISNUMBER(MATCH(B819,'FICHA SOLIC'!$AB$26:$AB$376,0)),1,0)</f>
        <v>1</v>
      </c>
      <c r="AE819" s="423" t="str">
        <f t="shared" si="12"/>
        <v>LinaresZ-4</v>
      </c>
    </row>
    <row r="820" spans="1:31" x14ac:dyDescent="0.25">
      <c r="A820" s="423">
        <v>819</v>
      </c>
      <c r="B820" s="423" t="s">
        <v>240</v>
      </c>
      <c r="C820" s="423" t="s">
        <v>1144</v>
      </c>
      <c r="D820" s="973" t="s">
        <v>990</v>
      </c>
      <c r="E820" s="973" t="s">
        <v>991</v>
      </c>
      <c r="F820" s="973" t="s">
        <v>992</v>
      </c>
      <c r="G820" s="973" t="s">
        <v>1997</v>
      </c>
      <c r="H820" s="973" t="s">
        <v>1998</v>
      </c>
      <c r="I820" s="973" t="s">
        <v>1999</v>
      </c>
      <c r="J820" s="973" t="s">
        <v>697</v>
      </c>
      <c r="K820" s="973" t="s">
        <v>995</v>
      </c>
      <c r="L820" s="973" t="s">
        <v>996</v>
      </c>
      <c r="M820" s="973" t="s">
        <v>2000</v>
      </c>
      <c r="N820" s="973" t="s">
        <v>2001</v>
      </c>
      <c r="O820" s="973" t="s">
        <v>1971</v>
      </c>
      <c r="P820" s="973" t="s">
        <v>999</v>
      </c>
      <c r="Q820" s="973" t="s">
        <v>1000</v>
      </c>
      <c r="R820" s="973" t="s">
        <v>1001</v>
      </c>
      <c r="S820" s="973" t="s">
        <v>1002</v>
      </c>
      <c r="T820" s="423">
        <v>120</v>
      </c>
      <c r="U820" s="423" t="s">
        <v>1041</v>
      </c>
      <c r="V820" s="423">
        <v>70</v>
      </c>
      <c r="W820" s="423" t="s">
        <v>1041</v>
      </c>
      <c r="X820" s="423" t="s">
        <v>1041</v>
      </c>
      <c r="Y820" s="423" t="s">
        <v>1041</v>
      </c>
      <c r="Z820" s="423" t="s">
        <v>1057</v>
      </c>
      <c r="AD820" s="423">
        <f>IF(ISNUMBER(MATCH(B820,'FICHA SOLIC'!$AB$26:$AB$376,0)),1,0)</f>
        <v>1</v>
      </c>
      <c r="AE820" s="423" t="str">
        <f t="shared" si="12"/>
        <v>LinaresZ-5</v>
      </c>
    </row>
    <row r="821" spans="1:31" x14ac:dyDescent="0.25">
      <c r="A821" s="423">
        <v>820</v>
      </c>
      <c r="B821" s="423" t="s">
        <v>240</v>
      </c>
      <c r="C821" s="423" t="s">
        <v>1145</v>
      </c>
      <c r="D821" s="973" t="s">
        <v>990</v>
      </c>
      <c r="E821" s="973" t="s">
        <v>991</v>
      </c>
      <c r="F821" s="973" t="s">
        <v>992</v>
      </c>
      <c r="G821" s="973" t="s">
        <v>1997</v>
      </c>
      <c r="H821" s="973" t="s">
        <v>1998</v>
      </c>
      <c r="I821" s="973" t="s">
        <v>1999</v>
      </c>
      <c r="J821" s="973" t="s">
        <v>697</v>
      </c>
      <c r="K821" s="973" t="s">
        <v>995</v>
      </c>
      <c r="L821" s="973" t="s">
        <v>996</v>
      </c>
      <c r="M821" s="973" t="s">
        <v>2000</v>
      </c>
      <c r="N821" s="973" t="s">
        <v>2001</v>
      </c>
      <c r="O821" s="973" t="s">
        <v>1971</v>
      </c>
      <c r="P821" s="973" t="s">
        <v>999</v>
      </c>
      <c r="Q821" s="973" t="s">
        <v>1000</v>
      </c>
      <c r="R821" s="973" t="s">
        <v>1001</v>
      </c>
      <c r="S821" s="973" t="s">
        <v>1002</v>
      </c>
      <c r="T821" s="423">
        <v>160</v>
      </c>
      <c r="U821" s="423" t="s">
        <v>1041</v>
      </c>
      <c r="V821" s="423">
        <v>70</v>
      </c>
      <c r="W821" s="423" t="s">
        <v>1041</v>
      </c>
      <c r="X821" s="423" t="s">
        <v>1041</v>
      </c>
      <c r="Y821" s="423" t="s">
        <v>1041</v>
      </c>
      <c r="Z821" s="423" t="s">
        <v>1058</v>
      </c>
      <c r="AD821" s="423">
        <f>IF(ISNUMBER(MATCH(B821,'FICHA SOLIC'!$AB$26:$AB$376,0)),1,0)</f>
        <v>1</v>
      </c>
      <c r="AE821" s="423" t="str">
        <f t="shared" si="12"/>
        <v>LinaresZ-6</v>
      </c>
    </row>
    <row r="822" spans="1:31" x14ac:dyDescent="0.25">
      <c r="A822" s="423">
        <v>821</v>
      </c>
      <c r="B822" s="423" t="s">
        <v>240</v>
      </c>
      <c r="C822" s="423" t="s">
        <v>1349</v>
      </c>
      <c r="D822" s="973" t="s">
        <v>990</v>
      </c>
      <c r="E822" s="973" t="s">
        <v>991</v>
      </c>
      <c r="F822" s="973" t="s">
        <v>992</v>
      </c>
      <c r="G822" s="973" t="s">
        <v>1997</v>
      </c>
      <c r="H822" s="973" t="s">
        <v>1998</v>
      </c>
      <c r="I822" s="973" t="s">
        <v>1999</v>
      </c>
      <c r="J822" s="973" t="s">
        <v>697</v>
      </c>
      <c r="K822" s="973" t="s">
        <v>995</v>
      </c>
      <c r="L822" s="973" t="s">
        <v>996</v>
      </c>
      <c r="M822" s="973" t="s">
        <v>2000</v>
      </c>
      <c r="N822" s="973" t="s">
        <v>2001</v>
      </c>
      <c r="O822" s="973" t="s">
        <v>1971</v>
      </c>
      <c r="P822" s="973" t="s">
        <v>999</v>
      </c>
      <c r="Q822" s="973" t="s">
        <v>1000</v>
      </c>
      <c r="R822" s="973" t="s">
        <v>1001</v>
      </c>
      <c r="S822" s="973" t="s">
        <v>1002</v>
      </c>
      <c r="T822" s="423">
        <v>500</v>
      </c>
      <c r="U822" s="423" t="s">
        <v>1041</v>
      </c>
      <c r="V822" s="423">
        <v>70</v>
      </c>
      <c r="W822" s="423" t="s">
        <v>1041</v>
      </c>
      <c r="X822" s="423" t="s">
        <v>1041</v>
      </c>
      <c r="Y822" s="423" t="s">
        <v>1041</v>
      </c>
      <c r="Z822" s="423" t="s">
        <v>1058</v>
      </c>
      <c r="AD822" s="423">
        <f>IF(ISNUMBER(MATCH(B822,'FICHA SOLIC'!$AB$26:$AB$376,0)),1,0)</f>
        <v>1</v>
      </c>
      <c r="AE822" s="423" t="str">
        <f t="shared" si="12"/>
        <v>LinaresZ-7</v>
      </c>
    </row>
    <row r="823" spans="1:31" x14ac:dyDescent="0.25">
      <c r="A823" s="423">
        <v>822</v>
      </c>
      <c r="B823" s="423" t="s">
        <v>240</v>
      </c>
      <c r="C823" s="423" t="s">
        <v>1146</v>
      </c>
      <c r="D823" s="973" t="s">
        <v>990</v>
      </c>
      <c r="E823" s="973" t="s">
        <v>991</v>
      </c>
      <c r="F823" s="973" t="s">
        <v>992</v>
      </c>
      <c r="G823" s="973" t="s">
        <v>1997</v>
      </c>
      <c r="H823" s="973" t="s">
        <v>1998</v>
      </c>
      <c r="I823" s="973" t="s">
        <v>1999</v>
      </c>
      <c r="J823" s="973" t="s">
        <v>697</v>
      </c>
      <c r="K823" s="973" t="s">
        <v>995</v>
      </c>
      <c r="L823" s="973" t="s">
        <v>996</v>
      </c>
      <c r="M823" s="973" t="s">
        <v>2000</v>
      </c>
      <c r="N823" s="973" t="s">
        <v>2001</v>
      </c>
      <c r="O823" s="973" t="s">
        <v>1971</v>
      </c>
      <c r="P823" s="973" t="s">
        <v>999</v>
      </c>
      <c r="Q823" s="973" t="s">
        <v>1000</v>
      </c>
      <c r="R823" s="973" t="s">
        <v>1001</v>
      </c>
      <c r="S823" s="973" t="s">
        <v>1002</v>
      </c>
      <c r="T823" s="423">
        <v>200</v>
      </c>
      <c r="U823" s="423" t="s">
        <v>1041</v>
      </c>
      <c r="V823" s="423">
        <v>60</v>
      </c>
      <c r="W823" s="423" t="s">
        <v>1041</v>
      </c>
      <c r="X823" s="423" t="s">
        <v>1041</v>
      </c>
      <c r="Y823" s="423" t="s">
        <v>1041</v>
      </c>
      <c r="Z823" s="423" t="s">
        <v>1057</v>
      </c>
      <c r="AD823" s="423">
        <f>IF(ISNUMBER(MATCH(B823,'FICHA SOLIC'!$AB$26:$AB$376,0)),1,0)</f>
        <v>1</v>
      </c>
      <c r="AE823" s="423" t="str">
        <f t="shared" si="12"/>
        <v>LinaresZ-8</v>
      </c>
    </row>
    <row r="824" spans="1:31" x14ac:dyDescent="0.25">
      <c r="A824" s="423">
        <v>823</v>
      </c>
      <c r="B824" s="423" t="s">
        <v>240</v>
      </c>
      <c r="C824" s="423" t="s">
        <v>1350</v>
      </c>
      <c r="D824" s="973" t="s">
        <v>990</v>
      </c>
      <c r="E824" s="973" t="s">
        <v>991</v>
      </c>
      <c r="F824" s="973" t="s">
        <v>992</v>
      </c>
      <c r="G824" s="973" t="s">
        <v>1997</v>
      </c>
      <c r="H824" s="973" t="s">
        <v>1998</v>
      </c>
      <c r="I824" s="973" t="s">
        <v>1999</v>
      </c>
      <c r="J824" s="973" t="s">
        <v>697</v>
      </c>
      <c r="K824" s="973" t="s">
        <v>995</v>
      </c>
      <c r="L824" s="973" t="s">
        <v>996</v>
      </c>
      <c r="M824" s="973" t="s">
        <v>2000</v>
      </c>
      <c r="N824" s="973" t="s">
        <v>2001</v>
      </c>
      <c r="O824" s="973" t="s">
        <v>1971</v>
      </c>
      <c r="P824" s="973" t="s">
        <v>999</v>
      </c>
      <c r="Q824" s="973" t="s">
        <v>1000</v>
      </c>
      <c r="R824" s="973" t="s">
        <v>1001</v>
      </c>
      <c r="S824" s="973" t="s">
        <v>1002</v>
      </c>
      <c r="T824" s="423">
        <v>250</v>
      </c>
      <c r="U824" s="423" t="s">
        <v>1041</v>
      </c>
      <c r="V824" s="423">
        <v>50</v>
      </c>
      <c r="W824" s="423" t="s">
        <v>1041</v>
      </c>
      <c r="X824" s="423" t="s">
        <v>1041</v>
      </c>
      <c r="Y824" s="423" t="s">
        <v>1041</v>
      </c>
      <c r="Z824" s="423" t="s">
        <v>1058</v>
      </c>
      <c r="AD824" s="423">
        <f>IF(ISNUMBER(MATCH(B824,'FICHA SOLIC'!$AB$26:$AB$376,0)),1,0)</f>
        <v>1</v>
      </c>
      <c r="AE824" s="423" t="str">
        <f t="shared" si="12"/>
        <v>LinaresZ-9</v>
      </c>
    </row>
    <row r="825" spans="1:31" x14ac:dyDescent="0.25">
      <c r="A825" s="423">
        <v>824</v>
      </c>
      <c r="B825" s="423" t="s">
        <v>2388</v>
      </c>
      <c r="C825" s="423" t="s">
        <v>1041</v>
      </c>
      <c r="D825" s="973" t="s">
        <v>990</v>
      </c>
      <c r="E825" s="973" t="s">
        <v>991</v>
      </c>
      <c r="F825" s="973" t="s">
        <v>992</v>
      </c>
      <c r="G825" s="973" t="s">
        <v>1997</v>
      </c>
      <c r="H825" s="973" t="s">
        <v>1998</v>
      </c>
      <c r="I825" s="973" t="s">
        <v>1999</v>
      </c>
      <c r="J825" s="973" t="s">
        <v>697</v>
      </c>
      <c r="K825" s="973" t="s">
        <v>995</v>
      </c>
      <c r="L825" s="973" t="s">
        <v>996</v>
      </c>
      <c r="M825" s="973" t="s">
        <v>2000</v>
      </c>
      <c r="N825" s="973" t="s">
        <v>2001</v>
      </c>
      <c r="O825" s="973" t="s">
        <v>1971</v>
      </c>
      <c r="P825" s="973" t="s">
        <v>999</v>
      </c>
      <c r="Q825" s="973" t="s">
        <v>1000</v>
      </c>
      <c r="R825" s="973" t="s">
        <v>1001</v>
      </c>
      <c r="S825" s="973" t="s">
        <v>1002</v>
      </c>
      <c r="T825" s="423" t="s">
        <v>1041</v>
      </c>
      <c r="U825" s="423" t="s">
        <v>1041</v>
      </c>
      <c r="V825" s="423" t="s">
        <v>1041</v>
      </c>
      <c r="W825" s="423" t="s">
        <v>1041</v>
      </c>
      <c r="X825" s="423" t="s">
        <v>1041</v>
      </c>
      <c r="Y825" s="423" t="s">
        <v>1041</v>
      </c>
      <c r="Z825" s="423" t="s">
        <v>1041</v>
      </c>
      <c r="AD825" s="423">
        <f>IF(ISNUMBER(MATCH(B825,'FICHA SOLIC'!$AB$26:$AB$376,0)),1,0)</f>
        <v>0</v>
      </c>
      <c r="AE825" s="423" t="str">
        <f t="shared" si="12"/>
        <v>LinderosOGUC</v>
      </c>
    </row>
    <row r="826" spans="1:31" x14ac:dyDescent="0.25">
      <c r="A826" s="423">
        <v>825</v>
      </c>
      <c r="B826" s="423" t="s">
        <v>356</v>
      </c>
      <c r="C826" s="423" t="s">
        <v>2389</v>
      </c>
      <c r="D826" s="973" t="s">
        <v>990</v>
      </c>
      <c r="E826" s="973" t="s">
        <v>991</v>
      </c>
      <c r="F826" s="973" t="s">
        <v>992</v>
      </c>
      <c r="G826" s="973" t="s">
        <v>1997</v>
      </c>
      <c r="H826" s="973" t="s">
        <v>1998</v>
      </c>
      <c r="I826" s="973" t="s">
        <v>1999</v>
      </c>
      <c r="J826" s="973" t="s">
        <v>697</v>
      </c>
      <c r="K826" s="973" t="s">
        <v>995</v>
      </c>
      <c r="L826" s="973" t="s">
        <v>996</v>
      </c>
      <c r="M826" s="973" t="s">
        <v>2000</v>
      </c>
      <c r="N826" s="973" t="s">
        <v>2001</v>
      </c>
      <c r="O826" s="973" t="s">
        <v>1971</v>
      </c>
      <c r="P826" s="973" t="s">
        <v>999</v>
      </c>
      <c r="Q826" s="973" t="s">
        <v>1000</v>
      </c>
      <c r="R826" s="973" t="s">
        <v>1001</v>
      </c>
      <c r="S826" s="973" t="s">
        <v>1002</v>
      </c>
      <c r="T826" s="423">
        <v>180</v>
      </c>
      <c r="U826" s="423">
        <v>8</v>
      </c>
      <c r="V826" s="423">
        <v>0.7</v>
      </c>
      <c r="W826" s="423">
        <v>1.2</v>
      </c>
      <c r="X826" s="423" t="s">
        <v>2062</v>
      </c>
      <c r="Z826" s="423" t="s">
        <v>2306</v>
      </c>
      <c r="AD826" s="423">
        <f>IF(ISNUMBER(MATCH(B826,'FICHA SOLIC'!$AB$26:$AB$376,0)),1,0)</f>
        <v>1</v>
      </c>
      <c r="AE826" s="423" t="str">
        <f t="shared" si="12"/>
        <v>LlanquihueH-A</v>
      </c>
    </row>
    <row r="827" spans="1:31" x14ac:dyDescent="0.25">
      <c r="A827" s="423">
        <v>826</v>
      </c>
      <c r="B827" s="423" t="s">
        <v>356</v>
      </c>
      <c r="C827" s="423" t="s">
        <v>2390</v>
      </c>
      <c r="D827" s="973" t="s">
        <v>990</v>
      </c>
      <c r="E827" s="973" t="s">
        <v>991</v>
      </c>
      <c r="F827" s="973" t="s">
        <v>992</v>
      </c>
      <c r="G827" s="973" t="s">
        <v>1997</v>
      </c>
      <c r="H827" s="973" t="s">
        <v>1998</v>
      </c>
      <c r="I827" s="973" t="s">
        <v>1999</v>
      </c>
      <c r="J827" s="973" t="s">
        <v>697</v>
      </c>
      <c r="K827" s="973" t="s">
        <v>995</v>
      </c>
      <c r="L827" s="973" t="s">
        <v>996</v>
      </c>
      <c r="M827" s="973" t="s">
        <v>2000</v>
      </c>
      <c r="N827" s="973" t="s">
        <v>2001</v>
      </c>
      <c r="O827" s="973" t="s">
        <v>1971</v>
      </c>
      <c r="P827" s="973" t="s">
        <v>999</v>
      </c>
      <c r="Q827" s="973" t="s">
        <v>1000</v>
      </c>
      <c r="R827" s="973" t="s">
        <v>1001</v>
      </c>
      <c r="S827" s="973" t="s">
        <v>1002</v>
      </c>
      <c r="T827" s="423">
        <v>120</v>
      </c>
      <c r="U827" s="423">
        <v>8</v>
      </c>
      <c r="V827" s="423">
        <v>0.7</v>
      </c>
      <c r="W827" s="423">
        <v>1.5</v>
      </c>
      <c r="X827" s="423" t="s">
        <v>2062</v>
      </c>
      <c r="Z827" s="423" t="s">
        <v>2391</v>
      </c>
      <c r="AD827" s="423">
        <f>IF(ISNUMBER(MATCH(B827,'FICHA SOLIC'!$AB$26:$AB$376,0)),1,0)</f>
        <v>1</v>
      </c>
      <c r="AE827" s="423" t="str">
        <f t="shared" si="12"/>
        <v>LlanquihueH-B</v>
      </c>
    </row>
    <row r="828" spans="1:31" x14ac:dyDescent="0.25">
      <c r="A828" s="423">
        <v>827</v>
      </c>
      <c r="B828" s="423" t="s">
        <v>356</v>
      </c>
      <c r="C828" s="423" t="s">
        <v>1265</v>
      </c>
      <c r="D828" s="973" t="s">
        <v>990</v>
      </c>
      <c r="E828" s="973" t="s">
        <v>991</v>
      </c>
      <c r="F828" s="973" t="s">
        <v>992</v>
      </c>
      <c r="G828" s="973" t="s">
        <v>1997</v>
      </c>
      <c r="H828" s="973" t="s">
        <v>1998</v>
      </c>
      <c r="I828" s="973" t="s">
        <v>1999</v>
      </c>
      <c r="J828" s="973" t="s">
        <v>697</v>
      </c>
      <c r="K828" s="973" t="s">
        <v>995</v>
      </c>
      <c r="L828" s="973" t="s">
        <v>996</v>
      </c>
      <c r="M828" s="973" t="s">
        <v>2000</v>
      </c>
      <c r="N828" s="973" t="s">
        <v>2001</v>
      </c>
      <c r="O828" s="973" t="s">
        <v>1971</v>
      </c>
      <c r="P828" s="973" t="s">
        <v>999</v>
      </c>
      <c r="Q828" s="973" t="s">
        <v>1000</v>
      </c>
      <c r="R828" s="973" t="s">
        <v>1001</v>
      </c>
      <c r="S828" s="973" t="s">
        <v>1002</v>
      </c>
      <c r="T828" s="423" t="s">
        <v>1041</v>
      </c>
      <c r="U828" s="423" t="s">
        <v>1041</v>
      </c>
      <c r="V828" s="423" t="s">
        <v>1041</v>
      </c>
      <c r="W828" s="423" t="s">
        <v>1041</v>
      </c>
      <c r="X828" s="423" t="s">
        <v>1041</v>
      </c>
      <c r="Y828" s="423" t="s">
        <v>1041</v>
      </c>
      <c r="Z828" s="423" t="s">
        <v>1041</v>
      </c>
      <c r="AD828" s="423">
        <f>IF(ISNUMBER(MATCH(B828,'FICHA SOLIC'!$AB$26:$AB$376,0)),1,0)</f>
        <v>1</v>
      </c>
      <c r="AE828" s="423" t="str">
        <f t="shared" si="12"/>
        <v>LlanquihueR-6</v>
      </c>
    </row>
    <row r="829" spans="1:31" x14ac:dyDescent="0.25">
      <c r="A829" s="423">
        <v>828</v>
      </c>
      <c r="B829" s="423" t="s">
        <v>356</v>
      </c>
      <c r="C829" s="423" t="s">
        <v>1266</v>
      </c>
      <c r="D829" s="973" t="s">
        <v>990</v>
      </c>
      <c r="E829" s="973" t="s">
        <v>991</v>
      </c>
      <c r="F829" s="973" t="s">
        <v>992</v>
      </c>
      <c r="G829" s="973" t="s">
        <v>1997</v>
      </c>
      <c r="H829" s="973" t="s">
        <v>1998</v>
      </c>
      <c r="I829" s="973" t="s">
        <v>1999</v>
      </c>
      <c r="J829" s="973" t="s">
        <v>697</v>
      </c>
      <c r="K829" s="973" t="s">
        <v>995</v>
      </c>
      <c r="L829" s="973" t="s">
        <v>996</v>
      </c>
      <c r="M829" s="973" t="s">
        <v>2000</v>
      </c>
      <c r="N829" s="973" t="s">
        <v>2001</v>
      </c>
      <c r="O829" s="973" t="s">
        <v>1971</v>
      </c>
      <c r="P829" s="973" t="s">
        <v>999</v>
      </c>
      <c r="Q829" s="973" t="s">
        <v>1000</v>
      </c>
      <c r="R829" s="973" t="s">
        <v>1001</v>
      </c>
      <c r="S829" s="973" t="s">
        <v>1002</v>
      </c>
      <c r="T829" s="423" t="s">
        <v>1041</v>
      </c>
      <c r="U829" s="423" t="s">
        <v>1041</v>
      </c>
      <c r="V829" s="423" t="s">
        <v>1041</v>
      </c>
      <c r="W829" s="423" t="s">
        <v>1041</v>
      </c>
      <c r="X829" s="423" t="s">
        <v>1041</v>
      </c>
      <c r="Y829" s="423" t="s">
        <v>1041</v>
      </c>
      <c r="Z829" s="423" t="s">
        <v>1041</v>
      </c>
      <c r="AD829" s="423">
        <f>IF(ISNUMBER(MATCH(B829,'FICHA SOLIC'!$AB$26:$AB$376,0)),1,0)</f>
        <v>1</v>
      </c>
      <c r="AE829" s="423" t="str">
        <f t="shared" si="12"/>
        <v>LlanquihueR-7</v>
      </c>
    </row>
    <row r="830" spans="1:31" x14ac:dyDescent="0.25">
      <c r="A830" s="423">
        <v>829</v>
      </c>
      <c r="B830" s="423" t="s">
        <v>356</v>
      </c>
      <c r="C830" s="423" t="s">
        <v>2392</v>
      </c>
      <c r="D830" s="973" t="s">
        <v>990</v>
      </c>
      <c r="E830" s="973" t="s">
        <v>991</v>
      </c>
      <c r="F830" s="973" t="s">
        <v>992</v>
      </c>
      <c r="G830" s="973" t="s">
        <v>1997</v>
      </c>
      <c r="H830" s="973" t="s">
        <v>1998</v>
      </c>
      <c r="I830" s="973" t="s">
        <v>1999</v>
      </c>
      <c r="J830" s="973" t="s">
        <v>697</v>
      </c>
      <c r="K830" s="973" t="s">
        <v>995</v>
      </c>
      <c r="L830" s="973" t="s">
        <v>996</v>
      </c>
      <c r="M830" s="973" t="s">
        <v>2000</v>
      </c>
      <c r="N830" s="973" t="s">
        <v>2001</v>
      </c>
      <c r="O830" s="973" t="s">
        <v>1971</v>
      </c>
      <c r="P830" s="973" t="s">
        <v>999</v>
      </c>
      <c r="Q830" s="973" t="s">
        <v>1000</v>
      </c>
      <c r="R830" s="973" t="s">
        <v>1001</v>
      </c>
      <c r="S830" s="973" t="s">
        <v>1002</v>
      </c>
      <c r="T830" s="423">
        <v>300</v>
      </c>
      <c r="U830" s="423">
        <v>12</v>
      </c>
      <c r="V830" s="423">
        <v>0.6</v>
      </c>
      <c r="W830" s="423">
        <v>4</v>
      </c>
      <c r="X830" s="423" t="s">
        <v>2062</v>
      </c>
      <c r="Z830" s="423" t="s">
        <v>1058</v>
      </c>
      <c r="AD830" s="423">
        <f>IF(ISNUMBER(MATCH(B830,'FICHA SOLIC'!$AB$26:$AB$376,0)),1,0)</f>
        <v>1</v>
      </c>
      <c r="AE830" s="423" t="str">
        <f t="shared" si="12"/>
        <v>LlanquihueT-A</v>
      </c>
    </row>
    <row r="831" spans="1:31" x14ac:dyDescent="0.25">
      <c r="A831" s="423">
        <v>830</v>
      </c>
      <c r="B831" s="423" t="s">
        <v>179</v>
      </c>
      <c r="C831" s="423" t="s">
        <v>1426</v>
      </c>
      <c r="D831" s="973" t="s">
        <v>990</v>
      </c>
      <c r="E831" s="973" t="s">
        <v>991</v>
      </c>
      <c r="F831" s="973" t="s">
        <v>992</v>
      </c>
      <c r="G831" s="973" t="s">
        <v>1997</v>
      </c>
      <c r="H831" s="973" t="s">
        <v>1998</v>
      </c>
      <c r="I831" s="973" t="s">
        <v>1999</v>
      </c>
      <c r="J831" s="973" t="s">
        <v>697</v>
      </c>
      <c r="K831" s="973" t="s">
        <v>995</v>
      </c>
      <c r="L831" s="973" t="s">
        <v>996</v>
      </c>
      <c r="M831" s="973" t="s">
        <v>2000</v>
      </c>
      <c r="N831" s="973" t="s">
        <v>2001</v>
      </c>
      <c r="O831" s="973" t="s">
        <v>1971</v>
      </c>
      <c r="P831" s="973" t="s">
        <v>999</v>
      </c>
      <c r="Q831" s="973" t="s">
        <v>1000</v>
      </c>
      <c r="R831" s="973" t="s">
        <v>1001</v>
      </c>
      <c r="S831" s="973" t="s">
        <v>1002</v>
      </c>
      <c r="T831" s="423">
        <v>1000</v>
      </c>
      <c r="U831" s="423">
        <v>20</v>
      </c>
      <c r="V831" s="423">
        <v>40</v>
      </c>
      <c r="W831" s="423">
        <v>0.2</v>
      </c>
      <c r="X831" s="423" t="s">
        <v>1173</v>
      </c>
      <c r="Y831" s="423" t="s">
        <v>1041</v>
      </c>
      <c r="Z831" s="423" t="s">
        <v>1058</v>
      </c>
      <c r="AD831" s="423">
        <f>IF(ISNUMBER(MATCH(B831,'FICHA SOLIC'!$AB$26:$AB$376,0)),1,0)</f>
        <v>1</v>
      </c>
      <c r="AE831" s="423" t="str">
        <f t="shared" si="12"/>
        <v>LlaillayE1</v>
      </c>
    </row>
    <row r="832" spans="1:31" x14ac:dyDescent="0.25">
      <c r="A832" s="423">
        <v>831</v>
      </c>
      <c r="B832" s="423" t="s">
        <v>179</v>
      </c>
      <c r="C832" s="423" t="s">
        <v>2393</v>
      </c>
      <c r="D832" s="973" t="s">
        <v>990</v>
      </c>
      <c r="E832" s="973" t="s">
        <v>991</v>
      </c>
      <c r="F832" s="973" t="s">
        <v>992</v>
      </c>
      <c r="G832" s="973" t="s">
        <v>1997</v>
      </c>
      <c r="H832" s="973" t="s">
        <v>1998</v>
      </c>
      <c r="I832" s="973" t="s">
        <v>1999</v>
      </c>
      <c r="J832" s="973" t="s">
        <v>697</v>
      </c>
      <c r="K832" s="973" t="s">
        <v>995</v>
      </c>
      <c r="L832" s="973" t="s">
        <v>996</v>
      </c>
      <c r="M832" s="973" t="s">
        <v>2000</v>
      </c>
      <c r="N832" s="973" t="s">
        <v>2001</v>
      </c>
      <c r="O832" s="973" t="s">
        <v>1971</v>
      </c>
      <c r="P832" s="973" t="s">
        <v>999</v>
      </c>
      <c r="Q832" s="973" t="s">
        <v>1000</v>
      </c>
      <c r="R832" s="973" t="s">
        <v>1001</v>
      </c>
      <c r="S832" s="973" t="s">
        <v>1002</v>
      </c>
      <c r="T832" s="423">
        <v>1000</v>
      </c>
      <c r="U832" s="423">
        <v>20</v>
      </c>
      <c r="V832" s="423">
        <v>40</v>
      </c>
      <c r="W832" s="423">
        <v>0.2</v>
      </c>
      <c r="X832" s="423" t="s">
        <v>1173</v>
      </c>
      <c r="Y832" s="423" t="s">
        <v>1041</v>
      </c>
      <c r="Z832" s="423" t="s">
        <v>1058</v>
      </c>
      <c r="AD832" s="423">
        <f>IF(ISNUMBER(MATCH(B832,'FICHA SOLIC'!$AB$26:$AB$376,0)),1,0)</f>
        <v>1</v>
      </c>
      <c r="AE832" s="423" t="str">
        <f t="shared" si="12"/>
        <v>LlaillayE8</v>
      </c>
    </row>
    <row r="833" spans="1:31" x14ac:dyDescent="0.25">
      <c r="A833" s="423">
        <v>832</v>
      </c>
      <c r="B833" s="423" t="s">
        <v>179</v>
      </c>
      <c r="C833" s="423" t="s">
        <v>1283</v>
      </c>
      <c r="D833" s="973" t="s">
        <v>990</v>
      </c>
      <c r="E833" s="973" t="s">
        <v>991</v>
      </c>
      <c r="F833" s="973" t="s">
        <v>992</v>
      </c>
      <c r="G833" s="973" t="s">
        <v>1997</v>
      </c>
      <c r="H833" s="973" t="s">
        <v>1998</v>
      </c>
      <c r="I833" s="973" t="s">
        <v>1999</v>
      </c>
      <c r="J833" s="973" t="s">
        <v>697</v>
      </c>
      <c r="K833" s="973" t="s">
        <v>995</v>
      </c>
      <c r="L833" s="973" t="s">
        <v>996</v>
      </c>
      <c r="M833" s="973" t="s">
        <v>2000</v>
      </c>
      <c r="N833" s="973" t="s">
        <v>2001</v>
      </c>
      <c r="O833" s="973" t="s">
        <v>1971</v>
      </c>
      <c r="P833" s="973" t="s">
        <v>999</v>
      </c>
      <c r="Q833" s="973" t="s">
        <v>1000</v>
      </c>
      <c r="R833" s="973" t="s">
        <v>1001</v>
      </c>
      <c r="S833" s="973" t="s">
        <v>1002</v>
      </c>
      <c r="T833" s="423">
        <v>160</v>
      </c>
      <c r="U833" s="423">
        <v>8</v>
      </c>
      <c r="V833" s="423">
        <v>70</v>
      </c>
      <c r="W833" s="423">
        <v>2.1</v>
      </c>
      <c r="X833" s="423">
        <v>9</v>
      </c>
      <c r="Y833" s="423" t="s">
        <v>1041</v>
      </c>
      <c r="Z833" s="423" t="s">
        <v>2068</v>
      </c>
      <c r="AD833" s="423">
        <f>IF(ISNUMBER(MATCH(B833,'FICHA SOLIC'!$AB$26:$AB$376,0)),1,0)</f>
        <v>1</v>
      </c>
      <c r="AE833" s="423" t="str">
        <f t="shared" si="12"/>
        <v>LlaillayH2</v>
      </c>
    </row>
    <row r="834" spans="1:31" x14ac:dyDescent="0.25">
      <c r="A834" s="423">
        <v>833</v>
      </c>
      <c r="B834" s="423" t="s">
        <v>179</v>
      </c>
      <c r="C834" s="423" t="s">
        <v>1284</v>
      </c>
      <c r="D834" s="973" t="s">
        <v>990</v>
      </c>
      <c r="E834" s="973" t="s">
        <v>991</v>
      </c>
      <c r="F834" s="973" t="s">
        <v>992</v>
      </c>
      <c r="G834" s="973" t="s">
        <v>1997</v>
      </c>
      <c r="H834" s="973" t="s">
        <v>1998</v>
      </c>
      <c r="I834" s="973" t="s">
        <v>1999</v>
      </c>
      <c r="J834" s="973" t="s">
        <v>697</v>
      </c>
      <c r="K834" s="973" t="s">
        <v>995</v>
      </c>
      <c r="L834" s="973" t="s">
        <v>996</v>
      </c>
      <c r="M834" s="973" t="s">
        <v>2000</v>
      </c>
      <c r="N834" s="973" t="s">
        <v>2001</v>
      </c>
      <c r="O834" s="973" t="s">
        <v>1971</v>
      </c>
      <c r="P834" s="973" t="s">
        <v>999</v>
      </c>
      <c r="Q834" s="973" t="s">
        <v>1000</v>
      </c>
      <c r="R834" s="973" t="s">
        <v>1001</v>
      </c>
      <c r="S834" s="973" t="s">
        <v>1002</v>
      </c>
      <c r="T834" s="423">
        <v>160</v>
      </c>
      <c r="U834" s="423">
        <v>8</v>
      </c>
      <c r="V834" s="423">
        <v>50</v>
      </c>
      <c r="W834" s="423">
        <v>2</v>
      </c>
      <c r="X834" s="423">
        <v>9</v>
      </c>
      <c r="Y834" s="423" t="s">
        <v>1041</v>
      </c>
      <c r="Z834" s="423" t="s">
        <v>2068</v>
      </c>
      <c r="AD834" s="423">
        <f>IF(ISNUMBER(MATCH(B834,'FICHA SOLIC'!$AB$26:$AB$376,0)),1,0)</f>
        <v>1</v>
      </c>
      <c r="AE834" s="423" t="str">
        <f t="shared" si="12"/>
        <v>LlaillayH3</v>
      </c>
    </row>
    <row r="835" spans="1:31" x14ac:dyDescent="0.25">
      <c r="A835" s="423">
        <v>834</v>
      </c>
      <c r="B835" s="423" t="s">
        <v>179</v>
      </c>
      <c r="C835" s="423" t="s">
        <v>1285</v>
      </c>
      <c r="D835" s="973" t="s">
        <v>990</v>
      </c>
      <c r="E835" s="973" t="s">
        <v>991</v>
      </c>
      <c r="F835" s="973" t="s">
        <v>992</v>
      </c>
      <c r="G835" s="973" t="s">
        <v>1997</v>
      </c>
      <c r="H835" s="973" t="s">
        <v>1998</v>
      </c>
      <c r="I835" s="973" t="s">
        <v>1999</v>
      </c>
      <c r="J835" s="973" t="s">
        <v>697</v>
      </c>
      <c r="K835" s="973" t="s">
        <v>995</v>
      </c>
      <c r="L835" s="973" t="s">
        <v>996</v>
      </c>
      <c r="M835" s="973" t="s">
        <v>2000</v>
      </c>
      <c r="N835" s="973" t="s">
        <v>2001</v>
      </c>
      <c r="O835" s="973" t="s">
        <v>1971</v>
      </c>
      <c r="P835" s="973" t="s">
        <v>999</v>
      </c>
      <c r="Q835" s="973" t="s">
        <v>1000</v>
      </c>
      <c r="R835" s="973" t="s">
        <v>1001</v>
      </c>
      <c r="S835" s="973" t="s">
        <v>1002</v>
      </c>
      <c r="T835" s="423">
        <v>160</v>
      </c>
      <c r="U835" s="423">
        <v>8</v>
      </c>
      <c r="V835" s="423">
        <v>50</v>
      </c>
      <c r="W835" s="423">
        <v>2</v>
      </c>
      <c r="X835" s="423">
        <v>7</v>
      </c>
      <c r="Y835" s="423" t="s">
        <v>1041</v>
      </c>
      <c r="Z835" s="423" t="s">
        <v>2068</v>
      </c>
      <c r="AD835" s="423">
        <f>IF(ISNUMBER(MATCH(B835,'FICHA SOLIC'!$AB$26:$AB$376,0)),1,0)</f>
        <v>1</v>
      </c>
      <c r="AE835" s="423" t="str">
        <f t="shared" ref="AE835:AE898" si="13">B835&amp;C835</f>
        <v>LlaillayH4</v>
      </c>
    </row>
    <row r="836" spans="1:31" x14ac:dyDescent="0.25">
      <c r="A836" s="423">
        <v>835</v>
      </c>
      <c r="B836" s="423" t="s">
        <v>179</v>
      </c>
      <c r="C836" s="423" t="s">
        <v>1286</v>
      </c>
      <c r="D836" s="973" t="s">
        <v>990</v>
      </c>
      <c r="E836" s="973" t="s">
        <v>991</v>
      </c>
      <c r="F836" s="973" t="s">
        <v>992</v>
      </c>
      <c r="G836" s="973" t="s">
        <v>1997</v>
      </c>
      <c r="H836" s="973" t="s">
        <v>1998</v>
      </c>
      <c r="I836" s="973" t="s">
        <v>1999</v>
      </c>
      <c r="J836" s="973" t="s">
        <v>697</v>
      </c>
      <c r="K836" s="973" t="s">
        <v>995</v>
      </c>
      <c r="L836" s="973" t="s">
        <v>996</v>
      </c>
      <c r="M836" s="973" t="s">
        <v>2000</v>
      </c>
      <c r="N836" s="973" t="s">
        <v>2001</v>
      </c>
      <c r="O836" s="973" t="s">
        <v>1971</v>
      </c>
      <c r="P836" s="973" t="s">
        <v>999</v>
      </c>
      <c r="Q836" s="973" t="s">
        <v>1000</v>
      </c>
      <c r="R836" s="973" t="s">
        <v>1001</v>
      </c>
      <c r="S836" s="973" t="s">
        <v>1002</v>
      </c>
      <c r="T836" s="423">
        <v>300</v>
      </c>
      <c r="U836" s="423">
        <v>12</v>
      </c>
      <c r="V836" s="423">
        <v>40</v>
      </c>
      <c r="W836" s="423">
        <v>2</v>
      </c>
      <c r="X836" s="423">
        <v>7</v>
      </c>
      <c r="Y836" s="423" t="s">
        <v>1041</v>
      </c>
      <c r="Z836" s="423" t="s">
        <v>2068</v>
      </c>
      <c r="AD836" s="423">
        <f>IF(ISNUMBER(MATCH(B836,'FICHA SOLIC'!$AB$26:$AB$376,0)),1,0)</f>
        <v>1</v>
      </c>
      <c r="AE836" s="423" t="str">
        <f t="shared" si="13"/>
        <v>LlaillayH5</v>
      </c>
    </row>
    <row r="837" spans="1:31" x14ac:dyDescent="0.25">
      <c r="A837" s="423">
        <v>836</v>
      </c>
      <c r="B837" s="423" t="s">
        <v>179</v>
      </c>
      <c r="C837" s="423" t="s">
        <v>1287</v>
      </c>
      <c r="D837" s="973" t="s">
        <v>990</v>
      </c>
      <c r="E837" s="973" t="s">
        <v>991</v>
      </c>
      <c r="F837" s="973" t="s">
        <v>992</v>
      </c>
      <c r="G837" s="973" t="s">
        <v>1997</v>
      </c>
      <c r="H837" s="973" t="s">
        <v>1998</v>
      </c>
      <c r="I837" s="973" t="s">
        <v>1999</v>
      </c>
      <c r="J837" s="973" t="s">
        <v>697</v>
      </c>
      <c r="K837" s="973" t="s">
        <v>995</v>
      </c>
      <c r="L837" s="973" t="s">
        <v>996</v>
      </c>
      <c r="M837" s="973" t="s">
        <v>2000</v>
      </c>
      <c r="N837" s="973" t="s">
        <v>2001</v>
      </c>
      <c r="O837" s="973" t="s">
        <v>1971</v>
      </c>
      <c r="P837" s="973" t="s">
        <v>999</v>
      </c>
      <c r="Q837" s="973" t="s">
        <v>1000</v>
      </c>
      <c r="R837" s="973" t="s">
        <v>1001</v>
      </c>
      <c r="S837" s="973" t="s">
        <v>1002</v>
      </c>
      <c r="T837" s="423">
        <v>800</v>
      </c>
      <c r="U837" s="423">
        <v>20</v>
      </c>
      <c r="V837" s="423">
        <v>40</v>
      </c>
      <c r="W837" s="423">
        <v>0.2</v>
      </c>
      <c r="X837" s="423">
        <v>10.5</v>
      </c>
      <c r="Y837" s="423" t="s">
        <v>1041</v>
      </c>
      <c r="Z837" s="423" t="s">
        <v>1058</v>
      </c>
      <c r="AD837" s="423">
        <f>IF(ISNUMBER(MATCH(B837,'FICHA SOLIC'!$AB$26:$AB$376,0)),1,0)</f>
        <v>1</v>
      </c>
      <c r="AE837" s="423" t="str">
        <f t="shared" si="13"/>
        <v>LlaillayH6</v>
      </c>
    </row>
    <row r="838" spans="1:31" x14ac:dyDescent="0.25">
      <c r="A838" s="423">
        <v>837</v>
      </c>
      <c r="B838" s="423" t="s">
        <v>179</v>
      </c>
      <c r="C838" s="423" t="s">
        <v>1486</v>
      </c>
      <c r="D838" s="973" t="s">
        <v>990</v>
      </c>
      <c r="E838" s="973" t="s">
        <v>991</v>
      </c>
      <c r="F838" s="973" t="s">
        <v>992</v>
      </c>
      <c r="G838" s="973" t="s">
        <v>1997</v>
      </c>
      <c r="H838" s="973" t="s">
        <v>1998</v>
      </c>
      <c r="I838" s="973" t="s">
        <v>1999</v>
      </c>
      <c r="J838" s="973" t="s">
        <v>697</v>
      </c>
      <c r="K838" s="973" t="s">
        <v>995</v>
      </c>
      <c r="L838" s="973" t="s">
        <v>996</v>
      </c>
      <c r="M838" s="973" t="s">
        <v>2000</v>
      </c>
      <c r="N838" s="973" t="s">
        <v>2001</v>
      </c>
      <c r="O838" s="973" t="s">
        <v>1971</v>
      </c>
      <c r="P838" s="973" t="s">
        <v>999</v>
      </c>
      <c r="Q838" s="973" t="s">
        <v>1000</v>
      </c>
      <c r="R838" s="973" t="s">
        <v>1001</v>
      </c>
      <c r="S838" s="973" t="s">
        <v>1002</v>
      </c>
      <c r="T838" s="423">
        <v>1000</v>
      </c>
      <c r="U838" s="423">
        <v>20</v>
      </c>
      <c r="V838" s="423">
        <v>60</v>
      </c>
      <c r="W838" s="423">
        <v>1</v>
      </c>
      <c r="X838" s="423" t="s">
        <v>1041</v>
      </c>
      <c r="Y838" s="423" t="s">
        <v>1041</v>
      </c>
      <c r="Z838" s="423" t="s">
        <v>1058</v>
      </c>
      <c r="AD838" s="423">
        <f>IF(ISNUMBER(MATCH(B838,'FICHA SOLIC'!$AB$26:$AB$376,0)),1,0)</f>
        <v>1</v>
      </c>
      <c r="AE838" s="423" t="str">
        <f t="shared" si="13"/>
        <v>LlaillayI1</v>
      </c>
    </row>
    <row r="839" spans="1:31" x14ac:dyDescent="0.25">
      <c r="A839" s="423">
        <v>838</v>
      </c>
      <c r="B839" s="423" t="s">
        <v>179</v>
      </c>
      <c r="C839" s="423" t="s">
        <v>1487</v>
      </c>
      <c r="D839" s="973" t="s">
        <v>990</v>
      </c>
      <c r="E839" s="973" t="s">
        <v>991</v>
      </c>
      <c r="F839" s="973" t="s">
        <v>992</v>
      </c>
      <c r="G839" s="973" t="s">
        <v>1997</v>
      </c>
      <c r="H839" s="973" t="s">
        <v>1998</v>
      </c>
      <c r="I839" s="973" t="s">
        <v>1999</v>
      </c>
      <c r="J839" s="973" t="s">
        <v>697</v>
      </c>
      <c r="K839" s="973" t="s">
        <v>995</v>
      </c>
      <c r="L839" s="973" t="s">
        <v>996</v>
      </c>
      <c r="M839" s="973" t="s">
        <v>2000</v>
      </c>
      <c r="N839" s="973" t="s">
        <v>2001</v>
      </c>
      <c r="O839" s="973" t="s">
        <v>1971</v>
      </c>
      <c r="P839" s="973" t="s">
        <v>999</v>
      </c>
      <c r="Q839" s="973" t="s">
        <v>1000</v>
      </c>
      <c r="R839" s="973" t="s">
        <v>1001</v>
      </c>
      <c r="S839" s="973" t="s">
        <v>1002</v>
      </c>
      <c r="T839" s="423">
        <v>2500</v>
      </c>
      <c r="U839" s="423">
        <v>30</v>
      </c>
      <c r="V839" s="423">
        <v>60</v>
      </c>
      <c r="W839" s="423">
        <v>1</v>
      </c>
      <c r="X839" s="423" t="s">
        <v>1041</v>
      </c>
      <c r="Y839" s="423" t="s">
        <v>1041</v>
      </c>
      <c r="Z839" s="423" t="s">
        <v>1058</v>
      </c>
      <c r="AD839" s="423">
        <f>IF(ISNUMBER(MATCH(B839,'FICHA SOLIC'!$AB$26:$AB$376,0)),1,0)</f>
        <v>1</v>
      </c>
      <c r="AE839" s="423" t="str">
        <f t="shared" si="13"/>
        <v>LlaillayI2</v>
      </c>
    </row>
    <row r="840" spans="1:31" x14ac:dyDescent="0.25">
      <c r="A840" s="423">
        <v>839</v>
      </c>
      <c r="B840" s="423" t="s">
        <v>417</v>
      </c>
      <c r="C840" s="423" t="s">
        <v>1177</v>
      </c>
      <c r="D840" s="425" t="s">
        <v>990</v>
      </c>
      <c r="E840" s="425" t="s">
        <v>991</v>
      </c>
      <c r="F840" s="425" t="s">
        <v>992</v>
      </c>
      <c r="G840" s="425" t="s">
        <v>993</v>
      </c>
      <c r="H840" s="426" t="s">
        <v>489</v>
      </c>
      <c r="I840" s="425" t="s">
        <v>994</v>
      </c>
      <c r="J840" s="425" t="s">
        <v>697</v>
      </c>
      <c r="K840" s="425" t="s">
        <v>995</v>
      </c>
      <c r="L840" s="425" t="s">
        <v>996</v>
      </c>
      <c r="M840" s="425" t="s">
        <v>997</v>
      </c>
      <c r="N840" s="425" t="s">
        <v>558</v>
      </c>
      <c r="O840" s="425" t="s">
        <v>998</v>
      </c>
      <c r="P840" s="425" t="s">
        <v>999</v>
      </c>
      <c r="Q840" s="425" t="s">
        <v>1000</v>
      </c>
      <c r="R840" s="425" t="s">
        <v>1001</v>
      </c>
      <c r="S840" s="425" t="s">
        <v>1002</v>
      </c>
      <c r="T840" s="423">
        <v>350</v>
      </c>
      <c r="U840" s="423">
        <v>10</v>
      </c>
      <c r="V840" s="423">
        <v>40</v>
      </c>
      <c r="W840" s="423">
        <v>0.9</v>
      </c>
      <c r="X840" s="423">
        <v>7</v>
      </c>
      <c r="Y840" s="423" t="s">
        <v>1041</v>
      </c>
      <c r="Z840" s="423" t="s">
        <v>1059</v>
      </c>
      <c r="AD840" s="423">
        <f>IF(ISNUMBER(MATCH(B840,'FICHA SOLIC'!$AB$26:$AB$376,0)),1,0)</f>
        <v>1</v>
      </c>
      <c r="AE840" s="423" t="str">
        <f t="shared" si="13"/>
        <v>Lo BarnecheaA</v>
      </c>
    </row>
    <row r="841" spans="1:31" x14ac:dyDescent="0.25">
      <c r="A841" s="423">
        <v>840</v>
      </c>
      <c r="B841" s="423" t="s">
        <v>417</v>
      </c>
      <c r="C841" s="423" t="s">
        <v>1178</v>
      </c>
      <c r="D841" s="425" t="s">
        <v>990</v>
      </c>
      <c r="E841" s="425" t="s">
        <v>991</v>
      </c>
      <c r="F841" s="425" t="s">
        <v>992</v>
      </c>
      <c r="G841" s="425" t="s">
        <v>993</v>
      </c>
      <c r="H841" s="426" t="s">
        <v>489</v>
      </c>
      <c r="I841" s="425" t="s">
        <v>994</v>
      </c>
      <c r="J841" s="425" t="s">
        <v>697</v>
      </c>
      <c r="K841" s="425" t="s">
        <v>995</v>
      </c>
      <c r="L841" s="425" t="s">
        <v>996</v>
      </c>
      <c r="M841" s="425" t="s">
        <v>997</v>
      </c>
      <c r="N841" s="425" t="s">
        <v>558</v>
      </c>
      <c r="O841" s="425" t="s">
        <v>998</v>
      </c>
      <c r="P841" s="425" t="s">
        <v>999</v>
      </c>
      <c r="Q841" s="425" t="s">
        <v>1000</v>
      </c>
      <c r="R841" s="425" t="s">
        <v>1001</v>
      </c>
      <c r="S841" s="425" t="s">
        <v>1002</v>
      </c>
      <c r="T841" s="423">
        <v>800</v>
      </c>
      <c r="U841" s="423">
        <v>16</v>
      </c>
      <c r="V841" s="423">
        <v>35</v>
      </c>
      <c r="W841" s="423">
        <v>1.5</v>
      </c>
      <c r="X841" s="423">
        <v>17.5</v>
      </c>
      <c r="Y841" s="423" t="s">
        <v>1041</v>
      </c>
      <c r="Z841" s="423" t="s">
        <v>1058</v>
      </c>
      <c r="AD841" s="423">
        <f>IF(ISNUMBER(MATCH(B841,'FICHA SOLIC'!$AB$26:$AB$376,0)),1,0)</f>
        <v>1</v>
      </c>
      <c r="AE841" s="423" t="str">
        <f t="shared" si="13"/>
        <v>Lo BarnecheaB</v>
      </c>
    </row>
    <row r="842" spans="1:31" x14ac:dyDescent="0.25">
      <c r="A842" s="423">
        <v>841</v>
      </c>
      <c r="B842" s="423" t="s">
        <v>417</v>
      </c>
      <c r="C842" s="423" t="s">
        <v>1188</v>
      </c>
      <c r="D842" s="425" t="s">
        <v>990</v>
      </c>
      <c r="E842" s="425" t="s">
        <v>991</v>
      </c>
      <c r="F842" s="425" t="s">
        <v>992</v>
      </c>
      <c r="G842" s="425" t="s">
        <v>993</v>
      </c>
      <c r="H842" s="426" t="s">
        <v>489</v>
      </c>
      <c r="I842" s="425" t="s">
        <v>994</v>
      </c>
      <c r="J842" s="425" t="s">
        <v>697</v>
      </c>
      <c r="K842" s="425" t="s">
        <v>995</v>
      </c>
      <c r="L842" s="425" t="s">
        <v>996</v>
      </c>
      <c r="M842" s="425" t="s">
        <v>997</v>
      </c>
      <c r="N842" s="425" t="s">
        <v>558</v>
      </c>
      <c r="O842" s="425" t="s">
        <v>998</v>
      </c>
      <c r="P842" s="425" t="s">
        <v>999</v>
      </c>
      <c r="Q842" s="425" t="s">
        <v>1000</v>
      </c>
      <c r="R842" s="425" t="s">
        <v>1001</v>
      </c>
      <c r="S842" s="425" t="s">
        <v>1002</v>
      </c>
      <c r="T842" s="423">
        <v>800</v>
      </c>
      <c r="U842" s="423">
        <v>20</v>
      </c>
      <c r="V842" s="423">
        <v>40</v>
      </c>
      <c r="W842" s="423">
        <v>1.6</v>
      </c>
      <c r="X842" s="423">
        <v>17.5</v>
      </c>
      <c r="Y842" s="423" t="s">
        <v>1041</v>
      </c>
      <c r="Z842" s="423" t="s">
        <v>1058</v>
      </c>
      <c r="AD842" s="423">
        <f>IF(ISNUMBER(MATCH(B842,'FICHA SOLIC'!$AB$26:$AB$376,0)),1,0)</f>
        <v>1</v>
      </c>
      <c r="AE842" s="423" t="str">
        <f t="shared" si="13"/>
        <v>Lo BarnecheaC1</v>
      </c>
    </row>
    <row r="843" spans="1:31" x14ac:dyDescent="0.25">
      <c r="A843" s="423">
        <v>842</v>
      </c>
      <c r="B843" s="423" t="s">
        <v>417</v>
      </c>
      <c r="C843" s="423" t="s">
        <v>1189</v>
      </c>
      <c r="D843" s="425" t="s">
        <v>990</v>
      </c>
      <c r="E843" s="425" t="s">
        <v>991</v>
      </c>
      <c r="F843" s="425" t="s">
        <v>992</v>
      </c>
      <c r="G843" s="425" t="s">
        <v>993</v>
      </c>
      <c r="H843" s="426" t="s">
        <v>489</v>
      </c>
      <c r="I843" s="425" t="s">
        <v>994</v>
      </c>
      <c r="J843" s="425" t="s">
        <v>697</v>
      </c>
      <c r="K843" s="425" t="s">
        <v>995</v>
      </c>
      <c r="L843" s="425" t="s">
        <v>996</v>
      </c>
      <c r="M843" s="425" t="s">
        <v>997</v>
      </c>
      <c r="N843" s="425" t="s">
        <v>558</v>
      </c>
      <c r="O843" s="425" t="s">
        <v>998</v>
      </c>
      <c r="P843" s="425" t="s">
        <v>999</v>
      </c>
      <c r="Q843" s="425" t="s">
        <v>1000</v>
      </c>
      <c r="R843" s="425" t="s">
        <v>1001</v>
      </c>
      <c r="S843" s="425" t="s">
        <v>1002</v>
      </c>
      <c r="T843" s="423">
        <v>350</v>
      </c>
      <c r="U843" s="423">
        <v>15</v>
      </c>
      <c r="V843" s="423">
        <v>40</v>
      </c>
      <c r="W843" s="423">
        <v>1</v>
      </c>
      <c r="X843" s="423">
        <v>10.5</v>
      </c>
      <c r="Y843" s="423" t="s">
        <v>1041</v>
      </c>
      <c r="Z843" s="423" t="s">
        <v>1058</v>
      </c>
      <c r="AD843" s="423">
        <f>IF(ISNUMBER(MATCH(B843,'FICHA SOLIC'!$AB$26:$AB$376,0)),1,0)</f>
        <v>1</v>
      </c>
      <c r="AE843" s="423" t="str">
        <f t="shared" si="13"/>
        <v>Lo BarnecheaC2</v>
      </c>
    </row>
    <row r="844" spans="1:31" x14ac:dyDescent="0.25">
      <c r="A844" s="423">
        <v>843</v>
      </c>
      <c r="B844" s="423" t="s">
        <v>417</v>
      </c>
      <c r="C844" s="423" t="s">
        <v>1179</v>
      </c>
      <c r="D844" s="425" t="s">
        <v>990</v>
      </c>
      <c r="E844" s="425" t="s">
        <v>991</v>
      </c>
      <c r="F844" s="425" t="s">
        <v>992</v>
      </c>
      <c r="G844" s="425" t="s">
        <v>993</v>
      </c>
      <c r="H844" s="426" t="s">
        <v>489</v>
      </c>
      <c r="I844" s="425" t="s">
        <v>994</v>
      </c>
      <c r="J844" s="425" t="s">
        <v>697</v>
      </c>
      <c r="K844" s="425" t="s">
        <v>995</v>
      </c>
      <c r="L844" s="425" t="s">
        <v>996</v>
      </c>
      <c r="M844" s="425" t="s">
        <v>997</v>
      </c>
      <c r="N844" s="425" t="s">
        <v>558</v>
      </c>
      <c r="O844" s="425" t="s">
        <v>998</v>
      </c>
      <c r="P844" s="425" t="s">
        <v>999</v>
      </c>
      <c r="Q844" s="425" t="s">
        <v>1000</v>
      </c>
      <c r="R844" s="425" t="s">
        <v>1001</v>
      </c>
      <c r="S844" s="425" t="s">
        <v>1002</v>
      </c>
      <c r="T844" s="423">
        <v>2000</v>
      </c>
      <c r="U844" s="423">
        <v>35</v>
      </c>
      <c r="V844" s="423">
        <v>35</v>
      </c>
      <c r="W844" s="423">
        <v>2</v>
      </c>
      <c r="X844" s="423">
        <v>7</v>
      </c>
      <c r="Y844" s="423" t="s">
        <v>1041</v>
      </c>
      <c r="Z844" s="423" t="s">
        <v>1059</v>
      </c>
      <c r="AD844" s="423">
        <f>IF(ISNUMBER(MATCH(B844,'FICHA SOLIC'!$AB$26:$AB$376,0)),1,0)</f>
        <v>1</v>
      </c>
      <c r="AE844" s="423" t="str">
        <f t="shared" si="13"/>
        <v>Lo BarnecheaD</v>
      </c>
    </row>
    <row r="845" spans="1:31" x14ac:dyDescent="0.25">
      <c r="A845" s="423">
        <v>844</v>
      </c>
      <c r="B845" s="423" t="s">
        <v>417</v>
      </c>
      <c r="C845" s="423" t="s">
        <v>1180</v>
      </c>
      <c r="D845" s="425" t="s">
        <v>990</v>
      </c>
      <c r="E845" s="425" t="s">
        <v>991</v>
      </c>
      <c r="F845" s="425" t="s">
        <v>992</v>
      </c>
      <c r="G845" s="425" t="s">
        <v>993</v>
      </c>
      <c r="H845" s="426" t="s">
        <v>489</v>
      </c>
      <c r="I845" s="425" t="s">
        <v>994</v>
      </c>
      <c r="J845" s="425" t="s">
        <v>697</v>
      </c>
      <c r="K845" s="425" t="s">
        <v>995</v>
      </c>
      <c r="L845" s="425" t="s">
        <v>996</v>
      </c>
      <c r="M845" s="425" t="s">
        <v>997</v>
      </c>
      <c r="N845" s="425" t="s">
        <v>558</v>
      </c>
      <c r="O845" s="425" t="s">
        <v>998</v>
      </c>
      <c r="P845" s="425" t="s">
        <v>999</v>
      </c>
      <c r="Q845" s="425" t="s">
        <v>1000</v>
      </c>
      <c r="R845" s="425" t="s">
        <v>1001</v>
      </c>
      <c r="S845" s="425" t="s">
        <v>1002</v>
      </c>
      <c r="T845" s="423">
        <v>120</v>
      </c>
      <c r="U845" s="423" t="s">
        <v>1190</v>
      </c>
      <c r="V845" s="423">
        <v>30</v>
      </c>
      <c r="W845" s="423">
        <v>0.6</v>
      </c>
      <c r="X845" s="423">
        <v>10.5</v>
      </c>
      <c r="Y845" s="423" t="s">
        <v>1041</v>
      </c>
      <c r="Z845" s="423" t="s">
        <v>1059</v>
      </c>
      <c r="AD845" s="423">
        <f>IF(ISNUMBER(MATCH(B845,'FICHA SOLIC'!$AB$26:$AB$376,0)),1,0)</f>
        <v>1</v>
      </c>
      <c r="AE845" s="423" t="str">
        <f t="shared" si="13"/>
        <v>Lo BarnecheaF</v>
      </c>
    </row>
    <row r="846" spans="1:31" x14ac:dyDescent="0.25">
      <c r="A846" s="423">
        <v>845</v>
      </c>
      <c r="B846" s="423" t="s">
        <v>417</v>
      </c>
      <c r="C846" s="423" t="s">
        <v>1181</v>
      </c>
      <c r="D846" s="425" t="s">
        <v>990</v>
      </c>
      <c r="E846" s="425" t="s">
        <v>991</v>
      </c>
      <c r="F846" s="425" t="s">
        <v>992</v>
      </c>
      <c r="G846" s="425" t="s">
        <v>993</v>
      </c>
      <c r="H846" s="426" t="s">
        <v>489</v>
      </c>
      <c r="I846" s="425" t="s">
        <v>994</v>
      </c>
      <c r="J846" s="425" t="s">
        <v>697</v>
      </c>
      <c r="K846" s="425" t="s">
        <v>995</v>
      </c>
      <c r="L846" s="425" t="s">
        <v>996</v>
      </c>
      <c r="M846" s="425" t="s">
        <v>997</v>
      </c>
      <c r="N846" s="425" t="s">
        <v>558</v>
      </c>
      <c r="O846" s="425" t="s">
        <v>998</v>
      </c>
      <c r="P846" s="425" t="s">
        <v>999</v>
      </c>
      <c r="Q846" s="425" t="s">
        <v>1000</v>
      </c>
      <c r="R846" s="425" t="s">
        <v>1001</v>
      </c>
      <c r="S846" s="425" t="s">
        <v>1002</v>
      </c>
      <c r="T846" s="423">
        <v>4000</v>
      </c>
      <c r="U846" s="423">
        <v>30</v>
      </c>
      <c r="V846" s="423">
        <v>10</v>
      </c>
      <c r="W846" s="423">
        <v>0.2</v>
      </c>
      <c r="X846" s="423">
        <v>10.5</v>
      </c>
      <c r="Y846" s="423" t="s">
        <v>1041</v>
      </c>
      <c r="Z846" s="423" t="s">
        <v>1058</v>
      </c>
      <c r="AD846" s="423">
        <f>IF(ISNUMBER(MATCH(B846,'FICHA SOLIC'!$AB$26:$AB$376,0)),1,0)</f>
        <v>1</v>
      </c>
      <c r="AE846" s="423" t="str">
        <f t="shared" si="13"/>
        <v>Lo BarnecheaG</v>
      </c>
    </row>
    <row r="847" spans="1:31" x14ac:dyDescent="0.25">
      <c r="A847" s="423">
        <v>846</v>
      </c>
      <c r="B847" s="423" t="s">
        <v>417</v>
      </c>
      <c r="C847" s="423" t="s">
        <v>1061</v>
      </c>
      <c r="D847" s="425" t="s">
        <v>990</v>
      </c>
      <c r="E847" s="425" t="s">
        <v>991</v>
      </c>
      <c r="F847" s="425" t="s">
        <v>992</v>
      </c>
      <c r="G847" s="425" t="s">
        <v>993</v>
      </c>
      <c r="H847" s="426" t="s">
        <v>489</v>
      </c>
      <c r="I847" s="425" t="s">
        <v>994</v>
      </c>
      <c r="J847" s="425" t="s">
        <v>697</v>
      </c>
      <c r="K847" s="425" t="s">
        <v>995</v>
      </c>
      <c r="L847" s="425" t="s">
        <v>996</v>
      </c>
      <c r="M847" s="425" t="s">
        <v>997</v>
      </c>
      <c r="N847" s="425" t="s">
        <v>558</v>
      </c>
      <c r="O847" s="425" t="s">
        <v>998</v>
      </c>
      <c r="P847" s="425" t="s">
        <v>999</v>
      </c>
      <c r="Q847" s="425" t="s">
        <v>1000</v>
      </c>
      <c r="R847" s="425" t="s">
        <v>1001</v>
      </c>
      <c r="S847" s="425" t="s">
        <v>1002</v>
      </c>
      <c r="T847" s="423">
        <v>2000</v>
      </c>
      <c r="U847" s="423">
        <v>20</v>
      </c>
      <c r="V847" s="423">
        <v>20</v>
      </c>
      <c r="W847" s="423">
        <v>0.4</v>
      </c>
      <c r="X847" s="423">
        <v>7</v>
      </c>
      <c r="Y847" s="423" t="s">
        <v>1041</v>
      </c>
      <c r="Z847" s="423" t="s">
        <v>1058</v>
      </c>
      <c r="AD847" s="423">
        <f>IF(ISNUMBER(MATCH(B847,'FICHA SOLIC'!$AB$26:$AB$376,0)),1,0)</f>
        <v>1</v>
      </c>
      <c r="AE847" s="423" t="str">
        <f t="shared" si="13"/>
        <v>Lo BarnecheaH</v>
      </c>
    </row>
    <row r="848" spans="1:31" x14ac:dyDescent="0.25">
      <c r="A848" s="423">
        <v>847</v>
      </c>
      <c r="B848" s="423" t="s">
        <v>417</v>
      </c>
      <c r="C848" s="423" t="s">
        <v>1183</v>
      </c>
      <c r="D848" s="425" t="s">
        <v>990</v>
      </c>
      <c r="E848" s="425" t="s">
        <v>991</v>
      </c>
      <c r="F848" s="425" t="s">
        <v>992</v>
      </c>
      <c r="G848" s="425" t="s">
        <v>993</v>
      </c>
      <c r="H848" s="426" t="s">
        <v>489</v>
      </c>
      <c r="I848" s="425" t="s">
        <v>994</v>
      </c>
      <c r="J848" s="425" t="s">
        <v>697</v>
      </c>
      <c r="K848" s="425" t="s">
        <v>995</v>
      </c>
      <c r="L848" s="425" t="s">
        <v>996</v>
      </c>
      <c r="M848" s="425" t="s">
        <v>997</v>
      </c>
      <c r="N848" s="425" t="s">
        <v>558</v>
      </c>
      <c r="O848" s="425" t="s">
        <v>998</v>
      </c>
      <c r="P848" s="425" t="s">
        <v>999</v>
      </c>
      <c r="Q848" s="425" t="s">
        <v>1000</v>
      </c>
      <c r="R848" s="425" t="s">
        <v>1001</v>
      </c>
      <c r="S848" s="425" t="s">
        <v>1002</v>
      </c>
      <c r="T848" s="423">
        <v>4000</v>
      </c>
      <c r="U848" s="423">
        <v>30</v>
      </c>
      <c r="V848" s="423">
        <v>20</v>
      </c>
      <c r="W848" s="423">
        <v>0.4</v>
      </c>
      <c r="X848" s="423">
        <v>10.5</v>
      </c>
      <c r="Y848" s="423" t="s">
        <v>1041</v>
      </c>
      <c r="Z848" s="423" t="s">
        <v>1058</v>
      </c>
      <c r="AD848" s="423">
        <f>IF(ISNUMBER(MATCH(B848,'FICHA SOLIC'!$AB$26:$AB$376,0)),1,0)</f>
        <v>1</v>
      </c>
      <c r="AE848" s="423" t="str">
        <f t="shared" si="13"/>
        <v>Lo BarnecheaI</v>
      </c>
    </row>
    <row r="849" spans="1:31" x14ac:dyDescent="0.25">
      <c r="A849" s="423">
        <v>848</v>
      </c>
      <c r="B849" s="423" t="s">
        <v>417</v>
      </c>
      <c r="C849" s="423" t="s">
        <v>1182</v>
      </c>
      <c r="D849" s="425" t="s">
        <v>990</v>
      </c>
      <c r="E849" s="425" t="s">
        <v>991</v>
      </c>
      <c r="F849" s="425" t="s">
        <v>992</v>
      </c>
      <c r="G849" s="425" t="s">
        <v>993</v>
      </c>
      <c r="H849" s="426" t="s">
        <v>489</v>
      </c>
      <c r="I849" s="425" t="s">
        <v>994</v>
      </c>
      <c r="J849" s="425" t="s">
        <v>697</v>
      </c>
      <c r="K849" s="425" t="s">
        <v>995</v>
      </c>
      <c r="L849" s="425" t="s">
        <v>996</v>
      </c>
      <c r="M849" s="425" t="s">
        <v>997</v>
      </c>
      <c r="N849" s="425" t="s">
        <v>558</v>
      </c>
      <c r="O849" s="425" t="s">
        <v>998</v>
      </c>
      <c r="P849" s="425" t="s">
        <v>999</v>
      </c>
      <c r="Q849" s="425" t="s">
        <v>1000</v>
      </c>
      <c r="R849" s="425" t="s">
        <v>1001</v>
      </c>
      <c r="S849" s="425" t="s">
        <v>1002</v>
      </c>
      <c r="T849" s="423">
        <v>900</v>
      </c>
      <c r="U849" s="423">
        <v>18</v>
      </c>
      <c r="V849" s="423">
        <v>35</v>
      </c>
      <c r="W849" s="423">
        <v>0.35</v>
      </c>
      <c r="X849" s="423">
        <v>10.5</v>
      </c>
      <c r="Y849" s="423" t="s">
        <v>1041</v>
      </c>
      <c r="Z849" s="423" t="s">
        <v>1058</v>
      </c>
      <c r="AD849" s="423">
        <f>IF(ISNUMBER(MATCH(B849,'FICHA SOLIC'!$AB$26:$AB$376,0)),1,0)</f>
        <v>1</v>
      </c>
      <c r="AE849" s="423" t="str">
        <f t="shared" si="13"/>
        <v>Lo BarnecheaJ</v>
      </c>
    </row>
    <row r="850" spans="1:31" x14ac:dyDescent="0.25">
      <c r="A850" s="423">
        <v>849</v>
      </c>
      <c r="B850" s="423" t="s">
        <v>417</v>
      </c>
      <c r="C850" s="423" t="s">
        <v>1184</v>
      </c>
      <c r="D850" s="425" t="s">
        <v>990</v>
      </c>
      <c r="E850" s="425" t="s">
        <v>991</v>
      </c>
      <c r="F850" s="425" t="s">
        <v>992</v>
      </c>
      <c r="G850" s="425" t="s">
        <v>993</v>
      </c>
      <c r="H850" s="426" t="s">
        <v>489</v>
      </c>
      <c r="I850" s="425" t="s">
        <v>994</v>
      </c>
      <c r="J850" s="425" t="s">
        <v>697</v>
      </c>
      <c r="K850" s="425" t="s">
        <v>995</v>
      </c>
      <c r="L850" s="425" t="s">
        <v>996</v>
      </c>
      <c r="M850" s="425" t="s">
        <v>997</v>
      </c>
      <c r="N850" s="425" t="s">
        <v>558</v>
      </c>
      <c r="O850" s="425" t="s">
        <v>998</v>
      </c>
      <c r="P850" s="425" t="s">
        <v>999</v>
      </c>
      <c r="Q850" s="425" t="s">
        <v>1000</v>
      </c>
      <c r="R850" s="425" t="s">
        <v>1001</v>
      </c>
      <c r="S850" s="425" t="s">
        <v>1002</v>
      </c>
      <c r="T850" s="423">
        <v>4000</v>
      </c>
      <c r="U850" s="423">
        <v>30</v>
      </c>
      <c r="V850" s="423">
        <v>20</v>
      </c>
      <c r="W850" s="423">
        <v>0.4</v>
      </c>
      <c r="X850" s="423">
        <v>10.5</v>
      </c>
      <c r="Y850" s="423" t="s">
        <v>1041</v>
      </c>
      <c r="Z850" s="423" t="s">
        <v>1058</v>
      </c>
      <c r="AD850" s="423">
        <f>IF(ISNUMBER(MATCH(B850,'FICHA SOLIC'!$AB$26:$AB$376,0)),1,0)</f>
        <v>1</v>
      </c>
      <c r="AE850" s="423" t="str">
        <f t="shared" si="13"/>
        <v>Lo BarnecheaK</v>
      </c>
    </row>
    <row r="851" spans="1:31" x14ac:dyDescent="0.25">
      <c r="A851" s="423">
        <v>850</v>
      </c>
      <c r="B851" s="423" t="s">
        <v>417</v>
      </c>
      <c r="C851" s="423" t="s">
        <v>1185</v>
      </c>
      <c r="D851" s="425" t="s">
        <v>990</v>
      </c>
      <c r="E851" s="425" t="s">
        <v>991</v>
      </c>
      <c r="F851" s="425" t="s">
        <v>992</v>
      </c>
      <c r="G851" s="425" t="s">
        <v>993</v>
      </c>
      <c r="H851" s="426" t="s">
        <v>489</v>
      </c>
      <c r="I851" s="425" t="s">
        <v>994</v>
      </c>
      <c r="J851" s="425" t="s">
        <v>697</v>
      </c>
      <c r="K851" s="425" t="s">
        <v>995</v>
      </c>
      <c r="L851" s="425" t="s">
        <v>996</v>
      </c>
      <c r="M851" s="425" t="s">
        <v>997</v>
      </c>
      <c r="N851" s="425" t="s">
        <v>558</v>
      </c>
      <c r="O851" s="425" t="s">
        <v>998</v>
      </c>
      <c r="P851" s="425" t="s">
        <v>999</v>
      </c>
      <c r="Q851" s="425" t="s">
        <v>1000</v>
      </c>
      <c r="R851" s="425" t="s">
        <v>1001</v>
      </c>
      <c r="S851" s="425" t="s">
        <v>1002</v>
      </c>
      <c r="T851" s="423">
        <v>2000</v>
      </c>
      <c r="U851" s="423">
        <v>40</v>
      </c>
      <c r="V851" s="423">
        <v>30</v>
      </c>
      <c r="W851" s="423">
        <v>1.8</v>
      </c>
      <c r="X851" s="423">
        <v>20.5</v>
      </c>
      <c r="Y851" s="423" t="s">
        <v>1041</v>
      </c>
      <c r="Z851" s="423" t="s">
        <v>1058</v>
      </c>
      <c r="AD851" s="423">
        <f>IF(ISNUMBER(MATCH(B851,'FICHA SOLIC'!$AB$26:$AB$376,0)),1,0)</f>
        <v>1</v>
      </c>
      <c r="AE851" s="423" t="str">
        <f t="shared" si="13"/>
        <v>Lo BarnecheaM</v>
      </c>
    </row>
    <row r="852" spans="1:31" x14ac:dyDescent="0.25">
      <c r="A852" s="423">
        <v>851</v>
      </c>
      <c r="B852" s="423" t="s">
        <v>417</v>
      </c>
      <c r="C852" s="423" t="s">
        <v>1186</v>
      </c>
      <c r="D852" s="425" t="s">
        <v>990</v>
      </c>
      <c r="E852" s="425" t="s">
        <v>991</v>
      </c>
      <c r="F852" s="425" t="s">
        <v>992</v>
      </c>
      <c r="G852" s="425" t="s">
        <v>993</v>
      </c>
      <c r="H852" s="426" t="s">
        <v>489</v>
      </c>
      <c r="I852" s="425" t="s">
        <v>994</v>
      </c>
      <c r="J852" s="425" t="s">
        <v>697</v>
      </c>
      <c r="K852" s="425" t="s">
        <v>995</v>
      </c>
      <c r="L852" s="425" t="s">
        <v>996</v>
      </c>
      <c r="M852" s="425" t="s">
        <v>997</v>
      </c>
      <c r="N852" s="425" t="s">
        <v>558</v>
      </c>
      <c r="O852" s="425" t="s">
        <v>998</v>
      </c>
      <c r="P852" s="425" t="s">
        <v>999</v>
      </c>
      <c r="Q852" s="425" t="s">
        <v>1000</v>
      </c>
      <c r="R852" s="425" t="s">
        <v>1001</v>
      </c>
      <c r="S852" s="425" t="s">
        <v>1002</v>
      </c>
      <c r="T852" s="423" t="s">
        <v>1097</v>
      </c>
      <c r="U852" s="423" t="s">
        <v>1190</v>
      </c>
      <c r="V852" s="423">
        <v>3</v>
      </c>
      <c r="W852" s="423">
        <v>0.05</v>
      </c>
      <c r="X852" s="423">
        <v>7</v>
      </c>
      <c r="Y852" s="423" t="s">
        <v>1041</v>
      </c>
      <c r="Z852" s="423" t="s">
        <v>1058</v>
      </c>
      <c r="AD852" s="423">
        <f>IF(ISNUMBER(MATCH(B852,'FICHA SOLIC'!$AB$26:$AB$376,0)),1,0)</f>
        <v>1</v>
      </c>
      <c r="AE852" s="423" t="str">
        <f t="shared" si="13"/>
        <v>Lo BarnecheaN</v>
      </c>
    </row>
    <row r="853" spans="1:31" x14ac:dyDescent="0.25">
      <c r="A853" s="423">
        <v>852</v>
      </c>
      <c r="B853" s="423" t="s">
        <v>417</v>
      </c>
      <c r="C853" s="423" t="s">
        <v>1187</v>
      </c>
      <c r="D853" s="425" t="s">
        <v>990</v>
      </c>
      <c r="E853" s="425" t="s">
        <v>991</v>
      </c>
      <c r="F853" s="425" t="s">
        <v>992</v>
      </c>
      <c r="G853" s="425" t="s">
        <v>993</v>
      </c>
      <c r="H853" s="426" t="s">
        <v>489</v>
      </c>
      <c r="I853" s="425" t="s">
        <v>994</v>
      </c>
      <c r="J853" s="425" t="s">
        <v>697</v>
      </c>
      <c r="K853" s="425" t="s">
        <v>995</v>
      </c>
      <c r="L853" s="425" t="s">
        <v>996</v>
      </c>
      <c r="M853" s="425" t="s">
        <v>997</v>
      </c>
      <c r="N853" s="425" t="s">
        <v>558</v>
      </c>
      <c r="O853" s="425" t="s">
        <v>998</v>
      </c>
      <c r="P853" s="425" t="s">
        <v>999</v>
      </c>
      <c r="Q853" s="425" t="s">
        <v>1000</v>
      </c>
      <c r="R853" s="425" t="s">
        <v>1001</v>
      </c>
      <c r="S853" s="425" t="s">
        <v>1002</v>
      </c>
      <c r="T853" s="423">
        <v>2500</v>
      </c>
      <c r="U853" s="423">
        <v>40</v>
      </c>
      <c r="V853" s="423">
        <v>25</v>
      </c>
      <c r="W853" s="423">
        <v>1.2</v>
      </c>
      <c r="X853" s="423">
        <v>17.5</v>
      </c>
      <c r="Y853" s="423" t="s">
        <v>1041</v>
      </c>
      <c r="Z853" s="423" t="s">
        <v>1058</v>
      </c>
      <c r="AD853" s="423">
        <f>IF(ISNUMBER(MATCH(B853,'FICHA SOLIC'!$AB$26:$AB$376,0)),1,0)</f>
        <v>1</v>
      </c>
      <c r="AE853" s="423" t="str">
        <f t="shared" si="13"/>
        <v>Lo BarnecheaO</v>
      </c>
    </row>
    <row r="854" spans="1:31" x14ac:dyDescent="0.25">
      <c r="A854" s="423">
        <v>853</v>
      </c>
      <c r="B854" s="423" t="s">
        <v>418</v>
      </c>
      <c r="C854" s="423" t="s">
        <v>1060</v>
      </c>
      <c r="D854" s="425" t="s">
        <v>990</v>
      </c>
      <c r="E854" s="425" t="s">
        <v>991</v>
      </c>
      <c r="F854" s="425" t="s">
        <v>992</v>
      </c>
      <c r="G854" s="425" t="s">
        <v>1054</v>
      </c>
      <c r="H854" s="426" t="s">
        <v>699</v>
      </c>
      <c r="I854" s="425" t="s">
        <v>1055</v>
      </c>
      <c r="J854" s="425" t="s">
        <v>697</v>
      </c>
      <c r="K854" s="425" t="s">
        <v>995</v>
      </c>
      <c r="L854" s="425" t="s">
        <v>996</v>
      </c>
      <c r="M854" s="425" t="s">
        <v>997</v>
      </c>
      <c r="N854" s="425" t="s">
        <v>558</v>
      </c>
      <c r="O854" s="425" t="s">
        <v>998</v>
      </c>
      <c r="P854" s="425" t="s">
        <v>999</v>
      </c>
      <c r="Q854" s="425" t="s">
        <v>1000</v>
      </c>
      <c r="R854" s="425" t="s">
        <v>1001</v>
      </c>
      <c r="S854" s="425" t="s">
        <v>1002</v>
      </c>
      <c r="T854" s="423">
        <v>300</v>
      </c>
      <c r="U854" s="423">
        <v>10</v>
      </c>
      <c r="V854" s="423">
        <v>100</v>
      </c>
      <c r="X854" s="423" t="s">
        <v>1026</v>
      </c>
      <c r="Y854" s="423" t="s">
        <v>1041</v>
      </c>
      <c r="Z854" s="423" t="s">
        <v>1273</v>
      </c>
      <c r="AD854" s="423">
        <f>IF(ISNUMBER(MATCH(B854,'FICHA SOLIC'!$AB$26:$AB$376,0)),1,0)</f>
        <v>1</v>
      </c>
      <c r="AE854" s="423" t="str">
        <f t="shared" si="13"/>
        <v>Lo EspejoC</v>
      </c>
    </row>
    <row r="855" spans="1:31" x14ac:dyDescent="0.25">
      <c r="A855" s="423">
        <v>854</v>
      </c>
      <c r="B855" s="423" t="s">
        <v>418</v>
      </c>
      <c r="C855" s="423" t="s">
        <v>1179</v>
      </c>
      <c r="D855" s="425" t="s">
        <v>990</v>
      </c>
      <c r="E855" s="425" t="s">
        <v>991</v>
      </c>
      <c r="F855" s="425" t="s">
        <v>992</v>
      </c>
      <c r="G855" s="425" t="s">
        <v>1054</v>
      </c>
      <c r="H855" s="426" t="s">
        <v>699</v>
      </c>
      <c r="I855" s="425" t="s">
        <v>1055</v>
      </c>
      <c r="J855" s="425" t="s">
        <v>697</v>
      </c>
      <c r="K855" s="425" t="s">
        <v>995</v>
      </c>
      <c r="L855" s="425" t="s">
        <v>996</v>
      </c>
      <c r="M855" s="425" t="s">
        <v>997</v>
      </c>
      <c r="N855" s="425" t="s">
        <v>558</v>
      </c>
      <c r="O855" s="425" t="s">
        <v>998</v>
      </c>
      <c r="P855" s="425" t="s">
        <v>999</v>
      </c>
      <c r="Q855" s="425" t="s">
        <v>1000</v>
      </c>
      <c r="R855" s="425" t="s">
        <v>1001</v>
      </c>
      <c r="S855" s="425" t="s">
        <v>1002</v>
      </c>
      <c r="T855" s="423" t="s">
        <v>1097</v>
      </c>
      <c r="U855" s="423" t="s">
        <v>1097</v>
      </c>
      <c r="V855" s="423" t="s">
        <v>1097</v>
      </c>
      <c r="W855" s="423" t="s">
        <v>1097</v>
      </c>
      <c r="X855" s="423" t="s">
        <v>1097</v>
      </c>
      <c r="Y855" s="423" t="s">
        <v>1097</v>
      </c>
      <c r="Z855" s="423" t="s">
        <v>1097</v>
      </c>
      <c r="AD855" s="423">
        <f>IF(ISNUMBER(MATCH(B855,'FICHA SOLIC'!$AB$26:$AB$376,0)),1,0)</f>
        <v>1</v>
      </c>
      <c r="AE855" s="423" t="str">
        <f t="shared" si="13"/>
        <v>Lo EspejoD</v>
      </c>
    </row>
    <row r="856" spans="1:31" x14ac:dyDescent="0.25">
      <c r="A856" s="423">
        <v>855</v>
      </c>
      <c r="B856" s="423" t="s">
        <v>418</v>
      </c>
      <c r="C856" s="423" t="s">
        <v>1250</v>
      </c>
      <c r="D856" s="425" t="s">
        <v>990</v>
      </c>
      <c r="E856" s="425" t="s">
        <v>991</v>
      </c>
      <c r="F856" s="425" t="s">
        <v>992</v>
      </c>
      <c r="G856" s="425" t="s">
        <v>1054</v>
      </c>
      <c r="H856" s="426" t="s">
        <v>699</v>
      </c>
      <c r="I856" s="425" t="s">
        <v>1055</v>
      </c>
      <c r="J856" s="425" t="s">
        <v>697</v>
      </c>
      <c r="K856" s="425" t="s">
        <v>995</v>
      </c>
      <c r="L856" s="425" t="s">
        <v>996</v>
      </c>
      <c r="M856" s="425" t="s">
        <v>997</v>
      </c>
      <c r="N856" s="425" t="s">
        <v>558</v>
      </c>
      <c r="O856" s="425" t="s">
        <v>998</v>
      </c>
      <c r="P856" s="425" t="s">
        <v>999</v>
      </c>
      <c r="Q856" s="425" t="s">
        <v>1000</v>
      </c>
      <c r="R856" s="425" t="s">
        <v>1001</v>
      </c>
      <c r="S856" s="425" t="s">
        <v>1002</v>
      </c>
      <c r="T856" s="423">
        <v>300</v>
      </c>
      <c r="U856" s="423">
        <v>10</v>
      </c>
      <c r="V856" s="423">
        <v>60</v>
      </c>
      <c r="X856" s="423" t="s">
        <v>1026</v>
      </c>
      <c r="Y856" s="423" t="s">
        <v>1041</v>
      </c>
      <c r="Z856" s="423" t="s">
        <v>1273</v>
      </c>
      <c r="AD856" s="423">
        <f>IF(ISNUMBER(MATCH(B856,'FICHA SOLIC'!$AB$26:$AB$376,0)),1,0)</f>
        <v>1</v>
      </c>
      <c r="AE856" s="423" t="str">
        <f t="shared" si="13"/>
        <v>Lo EspejoE</v>
      </c>
    </row>
    <row r="857" spans="1:31" x14ac:dyDescent="0.25">
      <c r="A857" s="423">
        <v>856</v>
      </c>
      <c r="B857" s="423" t="s">
        <v>418</v>
      </c>
      <c r="C857" s="423" t="s">
        <v>1061</v>
      </c>
      <c r="D857" s="425" t="s">
        <v>990</v>
      </c>
      <c r="E857" s="425" t="s">
        <v>991</v>
      </c>
      <c r="F857" s="425" t="s">
        <v>992</v>
      </c>
      <c r="G857" s="425" t="s">
        <v>1054</v>
      </c>
      <c r="H857" s="426" t="s">
        <v>699</v>
      </c>
      <c r="I857" s="425" t="s">
        <v>1055</v>
      </c>
      <c r="J857" s="425" t="s">
        <v>697</v>
      </c>
      <c r="K857" s="425" t="s">
        <v>995</v>
      </c>
      <c r="L857" s="425" t="s">
        <v>996</v>
      </c>
      <c r="M857" s="425" t="s">
        <v>997</v>
      </c>
      <c r="N857" s="425" t="s">
        <v>558</v>
      </c>
      <c r="O857" s="425" t="s">
        <v>998</v>
      </c>
      <c r="P857" s="425" t="s">
        <v>999</v>
      </c>
      <c r="Q857" s="425" t="s">
        <v>1000</v>
      </c>
      <c r="R857" s="425" t="s">
        <v>1001</v>
      </c>
      <c r="S857" s="425" t="s">
        <v>1002</v>
      </c>
      <c r="T857" s="423">
        <v>160</v>
      </c>
      <c r="U857" s="423">
        <v>8</v>
      </c>
      <c r="V857" s="423">
        <v>60</v>
      </c>
      <c r="W857" s="423" t="s">
        <v>1041</v>
      </c>
      <c r="X857" s="423">
        <v>12</v>
      </c>
      <c r="Y857" s="423" t="s">
        <v>1041</v>
      </c>
      <c r="Z857" s="423" t="s">
        <v>1058</v>
      </c>
      <c r="AD857" s="423">
        <f>IF(ISNUMBER(MATCH(B857,'FICHA SOLIC'!$AB$26:$AB$376,0)),1,0)</f>
        <v>1</v>
      </c>
      <c r="AE857" s="423" t="str">
        <f t="shared" si="13"/>
        <v>Lo EspejoH</v>
      </c>
    </row>
    <row r="858" spans="1:31" x14ac:dyDescent="0.25">
      <c r="A858" s="423">
        <v>857</v>
      </c>
      <c r="B858" s="423" t="s">
        <v>418</v>
      </c>
      <c r="C858" s="423" t="s">
        <v>1274</v>
      </c>
      <c r="D858" s="425" t="s">
        <v>990</v>
      </c>
      <c r="E858" s="425" t="s">
        <v>991</v>
      </c>
      <c r="F858" s="425" t="s">
        <v>992</v>
      </c>
      <c r="G858" s="425" t="s">
        <v>1054</v>
      </c>
      <c r="H858" s="426" t="s">
        <v>699</v>
      </c>
      <c r="I858" s="425" t="s">
        <v>1055</v>
      </c>
      <c r="J858" s="425" t="s">
        <v>697</v>
      </c>
      <c r="K858" s="425" t="s">
        <v>995</v>
      </c>
      <c r="L858" s="425" t="s">
        <v>996</v>
      </c>
      <c r="M858" s="425" t="s">
        <v>997</v>
      </c>
      <c r="N858" s="425" t="s">
        <v>558</v>
      </c>
      <c r="O858" s="425" t="s">
        <v>998</v>
      </c>
      <c r="P858" s="425" t="s">
        <v>999</v>
      </c>
      <c r="Q858" s="425" t="s">
        <v>1000</v>
      </c>
      <c r="R858" s="425" t="s">
        <v>1001</v>
      </c>
      <c r="S858" s="425" t="s">
        <v>1002</v>
      </c>
      <c r="T858" s="423">
        <v>160</v>
      </c>
      <c r="U858" s="423">
        <v>8</v>
      </c>
      <c r="V858" s="423">
        <v>60</v>
      </c>
      <c r="W858" s="423" t="s">
        <v>1041</v>
      </c>
      <c r="X858" s="423" t="s">
        <v>1041</v>
      </c>
      <c r="Y858" s="423" t="s">
        <v>1041</v>
      </c>
      <c r="Z858" s="423" t="s">
        <v>1059</v>
      </c>
      <c r="AD858" s="423">
        <f>IF(ISNUMBER(MATCH(B858,'FICHA SOLIC'!$AB$26:$AB$376,0)),1,0)</f>
        <v>1</v>
      </c>
      <c r="AE858" s="423" t="str">
        <f t="shared" si="13"/>
        <v>Lo EspejoI-1</v>
      </c>
    </row>
    <row r="859" spans="1:31" x14ac:dyDescent="0.25">
      <c r="A859" s="423">
        <v>858</v>
      </c>
      <c r="B859" s="423" t="s">
        <v>418</v>
      </c>
      <c r="C859" s="423" t="s">
        <v>1275</v>
      </c>
      <c r="D859" s="425" t="s">
        <v>990</v>
      </c>
      <c r="E859" s="425" t="s">
        <v>991</v>
      </c>
      <c r="F859" s="425" t="s">
        <v>992</v>
      </c>
      <c r="G859" s="425" t="s">
        <v>1054</v>
      </c>
      <c r="H859" s="426" t="s">
        <v>699</v>
      </c>
      <c r="I859" s="425" t="s">
        <v>1055</v>
      </c>
      <c r="J859" s="425" t="s">
        <v>697</v>
      </c>
      <c r="K859" s="425" t="s">
        <v>995</v>
      </c>
      <c r="L859" s="425" t="s">
        <v>996</v>
      </c>
      <c r="M859" s="425" t="s">
        <v>997</v>
      </c>
      <c r="N859" s="425" t="s">
        <v>558</v>
      </c>
      <c r="O859" s="425" t="s">
        <v>998</v>
      </c>
      <c r="P859" s="425" t="s">
        <v>999</v>
      </c>
      <c r="Q859" s="425" t="s">
        <v>1000</v>
      </c>
      <c r="R859" s="425" t="s">
        <v>1001</v>
      </c>
      <c r="S859" s="425" t="s">
        <v>1002</v>
      </c>
      <c r="T859" s="423" t="s">
        <v>1097</v>
      </c>
      <c r="U859" s="423" t="s">
        <v>1097</v>
      </c>
      <c r="V859" s="423" t="s">
        <v>1097</v>
      </c>
      <c r="W859" s="423" t="s">
        <v>1097</v>
      </c>
      <c r="X859" s="423" t="s">
        <v>1097</v>
      </c>
      <c r="Y859" s="423" t="s">
        <v>1097</v>
      </c>
      <c r="Z859" s="423" t="s">
        <v>1097</v>
      </c>
      <c r="AD859" s="423">
        <f>IF(ISNUMBER(MATCH(B859,'FICHA SOLIC'!$AB$26:$AB$376,0)),1,0)</f>
        <v>1</v>
      </c>
      <c r="AE859" s="423" t="str">
        <f t="shared" si="13"/>
        <v>Lo EspejoI-2</v>
      </c>
    </row>
    <row r="860" spans="1:31" x14ac:dyDescent="0.25">
      <c r="A860" s="423">
        <v>859</v>
      </c>
      <c r="B860" s="423" t="s">
        <v>418</v>
      </c>
      <c r="C860" s="423" t="s">
        <v>1276</v>
      </c>
      <c r="D860" s="425" t="s">
        <v>990</v>
      </c>
      <c r="E860" s="425" t="s">
        <v>991</v>
      </c>
      <c r="F860" s="425" t="s">
        <v>992</v>
      </c>
      <c r="G860" s="425" t="s">
        <v>1054</v>
      </c>
      <c r="H860" s="426" t="s">
        <v>699</v>
      </c>
      <c r="I860" s="425" t="s">
        <v>1055</v>
      </c>
      <c r="J860" s="425" t="s">
        <v>697</v>
      </c>
      <c r="K860" s="425" t="s">
        <v>995</v>
      </c>
      <c r="L860" s="425" t="s">
        <v>996</v>
      </c>
      <c r="M860" s="425" t="s">
        <v>997</v>
      </c>
      <c r="N860" s="425" t="s">
        <v>558</v>
      </c>
      <c r="O860" s="425" t="s">
        <v>998</v>
      </c>
      <c r="P860" s="425" t="s">
        <v>999</v>
      </c>
      <c r="Q860" s="425" t="s">
        <v>1000</v>
      </c>
      <c r="R860" s="425" t="s">
        <v>1001</v>
      </c>
      <c r="S860" s="425" t="s">
        <v>1002</v>
      </c>
      <c r="T860" s="423" t="s">
        <v>1097</v>
      </c>
      <c r="U860" s="423" t="s">
        <v>1097</v>
      </c>
      <c r="V860" s="423" t="s">
        <v>1097</v>
      </c>
      <c r="W860" s="423" t="s">
        <v>1097</v>
      </c>
      <c r="X860" s="423" t="s">
        <v>1097</v>
      </c>
      <c r="Y860" s="423" t="s">
        <v>1097</v>
      </c>
      <c r="Z860" s="423" t="s">
        <v>1097</v>
      </c>
      <c r="AD860" s="423">
        <f>IF(ISNUMBER(MATCH(B860,'FICHA SOLIC'!$AB$26:$AB$376,0)),1,0)</f>
        <v>1</v>
      </c>
      <c r="AE860" s="423" t="str">
        <f t="shared" si="13"/>
        <v>Lo EspejoI-3</v>
      </c>
    </row>
    <row r="861" spans="1:31" x14ac:dyDescent="0.25">
      <c r="A861" s="423">
        <v>860</v>
      </c>
      <c r="B861" s="423" t="s">
        <v>418</v>
      </c>
      <c r="C861" s="423" t="s">
        <v>1185</v>
      </c>
      <c r="D861" s="425" t="s">
        <v>990</v>
      </c>
      <c r="E861" s="425" t="s">
        <v>991</v>
      </c>
      <c r="F861" s="425" t="s">
        <v>992</v>
      </c>
      <c r="G861" s="425" t="s">
        <v>1054</v>
      </c>
      <c r="H861" s="426" t="s">
        <v>699</v>
      </c>
      <c r="I861" s="425" t="s">
        <v>1055</v>
      </c>
      <c r="J861" s="425" t="s">
        <v>697</v>
      </c>
      <c r="K861" s="425" t="s">
        <v>995</v>
      </c>
      <c r="L861" s="425" t="s">
        <v>996</v>
      </c>
      <c r="M861" s="425" t="s">
        <v>997</v>
      </c>
      <c r="N861" s="425" t="s">
        <v>558</v>
      </c>
      <c r="O861" s="425" t="s">
        <v>998</v>
      </c>
      <c r="P861" s="425" t="s">
        <v>999</v>
      </c>
      <c r="Q861" s="425" t="s">
        <v>1000</v>
      </c>
      <c r="R861" s="425" t="s">
        <v>1001</v>
      </c>
      <c r="S861" s="425" t="s">
        <v>1002</v>
      </c>
      <c r="T861" s="423" t="s">
        <v>1097</v>
      </c>
      <c r="U861" s="423" t="s">
        <v>1097</v>
      </c>
      <c r="V861" s="423" t="s">
        <v>1097</v>
      </c>
      <c r="W861" s="423" t="s">
        <v>1097</v>
      </c>
      <c r="X861" s="423" t="s">
        <v>1097</v>
      </c>
      <c r="Y861" s="423" t="s">
        <v>1097</v>
      </c>
      <c r="Z861" s="423" t="s">
        <v>1097</v>
      </c>
      <c r="AD861" s="423">
        <f>IF(ISNUMBER(MATCH(B861,'FICHA SOLIC'!$AB$26:$AB$376,0)),1,0)</f>
        <v>1</v>
      </c>
      <c r="AE861" s="423" t="str">
        <f t="shared" si="13"/>
        <v>Lo EspejoM</v>
      </c>
    </row>
    <row r="862" spans="1:31" x14ac:dyDescent="0.25">
      <c r="A862" s="423">
        <v>861</v>
      </c>
      <c r="B862" s="423" t="s">
        <v>418</v>
      </c>
      <c r="C862" s="423" t="s">
        <v>1063</v>
      </c>
      <c r="D862" s="425" t="s">
        <v>990</v>
      </c>
      <c r="E862" s="425" t="s">
        <v>991</v>
      </c>
      <c r="F862" s="425" t="s">
        <v>992</v>
      </c>
      <c r="G862" s="425" t="s">
        <v>1054</v>
      </c>
      <c r="H862" s="426" t="s">
        <v>699</v>
      </c>
      <c r="I862" s="425" t="s">
        <v>1055</v>
      </c>
      <c r="J862" s="425" t="s">
        <v>697</v>
      </c>
      <c r="K862" s="425" t="s">
        <v>995</v>
      </c>
      <c r="L862" s="425" t="s">
        <v>996</v>
      </c>
      <c r="M862" s="425" t="s">
        <v>997</v>
      </c>
      <c r="N862" s="425" t="s">
        <v>558</v>
      </c>
      <c r="O862" s="425" t="s">
        <v>998</v>
      </c>
      <c r="P862" s="425" t="s">
        <v>999</v>
      </c>
      <c r="Q862" s="425" t="s">
        <v>1000</v>
      </c>
      <c r="R862" s="425" t="s">
        <v>1001</v>
      </c>
      <c r="S862" s="425" t="s">
        <v>1002</v>
      </c>
      <c r="T862" s="423">
        <v>160</v>
      </c>
      <c r="U862" s="423">
        <v>6</v>
      </c>
      <c r="V862" s="423">
        <v>70</v>
      </c>
      <c r="W862" s="423" t="s">
        <v>1041</v>
      </c>
      <c r="X862" s="423">
        <v>12</v>
      </c>
      <c r="Y862" s="423" t="s">
        <v>1041</v>
      </c>
      <c r="Z862" s="423" t="s">
        <v>1057</v>
      </c>
      <c r="AD862" s="423">
        <f>IF(ISNUMBER(MATCH(B862,'FICHA SOLIC'!$AB$26:$AB$376,0)),1,0)</f>
        <v>1</v>
      </c>
      <c r="AE862" s="423" t="str">
        <f t="shared" si="13"/>
        <v>Lo EspejoR</v>
      </c>
    </row>
    <row r="863" spans="1:31" x14ac:dyDescent="0.25">
      <c r="A863" s="423">
        <v>862</v>
      </c>
      <c r="B863" s="423" t="s">
        <v>312</v>
      </c>
      <c r="C863" s="423" t="s">
        <v>1041</v>
      </c>
      <c r="D863" s="973" t="s">
        <v>990</v>
      </c>
      <c r="E863" s="973" t="s">
        <v>991</v>
      </c>
      <c r="F863" s="973" t="s">
        <v>992</v>
      </c>
      <c r="G863" s="973" t="s">
        <v>1997</v>
      </c>
      <c r="H863" s="973" t="s">
        <v>1998</v>
      </c>
      <c r="I863" s="973" t="s">
        <v>1999</v>
      </c>
      <c r="J863" s="973" t="s">
        <v>697</v>
      </c>
      <c r="K863" s="973" t="s">
        <v>995</v>
      </c>
      <c r="L863" s="973" t="s">
        <v>996</v>
      </c>
      <c r="M863" s="973" t="s">
        <v>2000</v>
      </c>
      <c r="N863" s="973" t="s">
        <v>2001</v>
      </c>
      <c r="O863" s="973" t="s">
        <v>1971</v>
      </c>
      <c r="P863" s="973" t="s">
        <v>999</v>
      </c>
      <c r="Q863" s="973" t="s">
        <v>1000</v>
      </c>
      <c r="R863" s="973" t="s">
        <v>1001</v>
      </c>
      <c r="S863" s="973" t="s">
        <v>1002</v>
      </c>
      <c r="T863" s="423" t="s">
        <v>1041</v>
      </c>
      <c r="U863" s="423" t="s">
        <v>1041</v>
      </c>
      <c r="V863" s="423" t="s">
        <v>1041</v>
      </c>
      <c r="W863" s="423" t="s">
        <v>1041</v>
      </c>
      <c r="X863" s="423" t="s">
        <v>1041</v>
      </c>
      <c r="Y863" s="423" t="s">
        <v>1041</v>
      </c>
      <c r="Z863" s="423" t="s">
        <v>1041</v>
      </c>
      <c r="AD863" s="423">
        <f>IF(ISNUMBER(MATCH(B863,'FICHA SOLIC'!$AB$26:$AB$376,0)),1,0)</f>
        <v>1</v>
      </c>
      <c r="AE863" s="423" t="str">
        <f t="shared" si="13"/>
        <v>LoncocheOGUC</v>
      </c>
    </row>
    <row r="864" spans="1:31" x14ac:dyDescent="0.25">
      <c r="A864" s="423">
        <v>863</v>
      </c>
      <c r="B864" s="423" t="s">
        <v>242</v>
      </c>
      <c r="C864" s="423" t="s">
        <v>1041</v>
      </c>
      <c r="D864" s="973" t="s">
        <v>990</v>
      </c>
      <c r="E864" s="973" t="s">
        <v>991</v>
      </c>
      <c r="F864" s="973" t="s">
        <v>992</v>
      </c>
      <c r="G864" s="973" t="s">
        <v>1997</v>
      </c>
      <c r="H864" s="973" t="s">
        <v>1998</v>
      </c>
      <c r="I864" s="973" t="s">
        <v>1999</v>
      </c>
      <c r="J864" s="973" t="s">
        <v>697</v>
      </c>
      <c r="K864" s="973" t="s">
        <v>995</v>
      </c>
      <c r="L864" s="973" t="s">
        <v>996</v>
      </c>
      <c r="M864" s="973" t="s">
        <v>2000</v>
      </c>
      <c r="N864" s="973" t="s">
        <v>2001</v>
      </c>
      <c r="O864" s="973" t="s">
        <v>1971</v>
      </c>
      <c r="P864" s="973" t="s">
        <v>999</v>
      </c>
      <c r="Q864" s="973" t="s">
        <v>1000</v>
      </c>
      <c r="R864" s="973" t="s">
        <v>1001</v>
      </c>
      <c r="S864" s="973" t="s">
        <v>1002</v>
      </c>
      <c r="T864" s="423" t="s">
        <v>1041</v>
      </c>
      <c r="U864" s="423" t="s">
        <v>1041</v>
      </c>
      <c r="V864" s="423" t="s">
        <v>1041</v>
      </c>
      <c r="W864" s="423" t="s">
        <v>1041</v>
      </c>
      <c r="X864" s="423" t="s">
        <v>1041</v>
      </c>
      <c r="Y864" s="423" t="s">
        <v>1041</v>
      </c>
      <c r="Z864" s="423" t="s">
        <v>1041</v>
      </c>
      <c r="AD864" s="423">
        <f>IF(ISNUMBER(MATCH(B864,'FICHA SOLIC'!$AB$26:$AB$376,0)),1,0)</f>
        <v>1</v>
      </c>
      <c r="AE864" s="423" t="str">
        <f t="shared" si="13"/>
        <v>LongavíOGUC</v>
      </c>
    </row>
    <row r="865" spans="1:31" x14ac:dyDescent="0.25">
      <c r="A865" s="423">
        <v>864</v>
      </c>
      <c r="B865" s="423" t="s">
        <v>155</v>
      </c>
      <c r="C865" s="423" t="s">
        <v>1188</v>
      </c>
      <c r="D865" s="973" t="s">
        <v>990</v>
      </c>
      <c r="E865" s="973" t="s">
        <v>991</v>
      </c>
      <c r="F865" s="973" t="s">
        <v>992</v>
      </c>
      <c r="G865" s="973" t="s">
        <v>1997</v>
      </c>
      <c r="H865" s="973" t="s">
        <v>1998</v>
      </c>
      <c r="I865" s="973" t="s">
        <v>1999</v>
      </c>
      <c r="J865" s="973" t="s">
        <v>697</v>
      </c>
      <c r="K865" s="973" t="s">
        <v>995</v>
      </c>
      <c r="L865" s="973" t="s">
        <v>996</v>
      </c>
      <c r="M865" s="973" t="s">
        <v>2000</v>
      </c>
      <c r="N865" s="973" t="s">
        <v>2001</v>
      </c>
      <c r="O865" s="973" t="s">
        <v>1971</v>
      </c>
      <c r="P865" s="973" t="s">
        <v>999</v>
      </c>
      <c r="Q865" s="973" t="s">
        <v>1000</v>
      </c>
      <c r="R865" s="973" t="s">
        <v>1001</v>
      </c>
      <c r="S865" s="973" t="s">
        <v>1002</v>
      </c>
      <c r="T865" s="423">
        <v>240</v>
      </c>
      <c r="U865" s="423" t="s">
        <v>1041</v>
      </c>
      <c r="V865" s="423">
        <v>50</v>
      </c>
      <c r="W865" s="423">
        <v>2</v>
      </c>
      <c r="X865" s="423">
        <v>12</v>
      </c>
      <c r="Y865" s="423" t="s">
        <v>1041</v>
      </c>
      <c r="Z865" s="423" t="s">
        <v>1096</v>
      </c>
      <c r="AD865" s="423">
        <f>IF(ISNUMBER(MATCH(B865,'FICHA SOLIC'!$AB$26:$AB$376,0)),1,0)</f>
        <v>1</v>
      </c>
      <c r="AE865" s="423" t="str">
        <f t="shared" si="13"/>
        <v>Los AndesC1</v>
      </c>
    </row>
    <row r="866" spans="1:31" x14ac:dyDescent="0.25">
      <c r="A866" s="423">
        <v>865</v>
      </c>
      <c r="B866" s="423" t="s">
        <v>155</v>
      </c>
      <c r="C866" s="423" t="s">
        <v>1189</v>
      </c>
      <c r="D866" s="973" t="s">
        <v>990</v>
      </c>
      <c r="E866" s="973" t="s">
        <v>991</v>
      </c>
      <c r="F866" s="973" t="s">
        <v>992</v>
      </c>
      <c r="G866" s="973" t="s">
        <v>1997</v>
      </c>
      <c r="H866" s="973" t="s">
        <v>1998</v>
      </c>
      <c r="I866" s="973" t="s">
        <v>1999</v>
      </c>
      <c r="J866" s="973" t="s">
        <v>697</v>
      </c>
      <c r="K866" s="973" t="s">
        <v>995</v>
      </c>
      <c r="L866" s="973" t="s">
        <v>996</v>
      </c>
      <c r="M866" s="973" t="s">
        <v>2000</v>
      </c>
      <c r="N866" s="973" t="s">
        <v>2001</v>
      </c>
      <c r="O866" s="973" t="s">
        <v>1971</v>
      </c>
      <c r="P866" s="973" t="s">
        <v>999</v>
      </c>
      <c r="Q866" s="973" t="s">
        <v>1000</v>
      </c>
      <c r="R866" s="973" t="s">
        <v>1001</v>
      </c>
      <c r="S866" s="973" t="s">
        <v>1002</v>
      </c>
      <c r="T866" s="423">
        <v>240</v>
      </c>
      <c r="U866" s="423" t="s">
        <v>1041</v>
      </c>
      <c r="V866" s="423">
        <v>50</v>
      </c>
      <c r="W866" s="423">
        <v>1</v>
      </c>
      <c r="X866" s="423">
        <v>7</v>
      </c>
      <c r="Y866" s="423" t="s">
        <v>1041</v>
      </c>
      <c r="Z866" s="423" t="s">
        <v>1270</v>
      </c>
      <c r="AD866" s="423">
        <f>IF(ISNUMBER(MATCH(B866,'FICHA SOLIC'!$AB$26:$AB$376,0)),1,0)</f>
        <v>1</v>
      </c>
      <c r="AE866" s="423" t="str">
        <f t="shared" si="13"/>
        <v>Los AndesC2</v>
      </c>
    </row>
    <row r="867" spans="1:31" x14ac:dyDescent="0.25">
      <c r="A867" s="423">
        <v>866</v>
      </c>
      <c r="B867" s="423" t="s">
        <v>155</v>
      </c>
      <c r="C867" s="423" t="s">
        <v>1553</v>
      </c>
      <c r="D867" s="973" t="s">
        <v>990</v>
      </c>
      <c r="E867" s="973" t="s">
        <v>991</v>
      </c>
      <c r="F867" s="973" t="s">
        <v>992</v>
      </c>
      <c r="G867" s="973" t="s">
        <v>1997</v>
      </c>
      <c r="H867" s="973" t="s">
        <v>1998</v>
      </c>
      <c r="I867" s="973" t="s">
        <v>1999</v>
      </c>
      <c r="J867" s="973" t="s">
        <v>697</v>
      </c>
      <c r="K867" s="973" t="s">
        <v>995</v>
      </c>
      <c r="L867" s="973" t="s">
        <v>996</v>
      </c>
      <c r="M867" s="973" t="s">
        <v>2000</v>
      </c>
      <c r="N867" s="973" t="s">
        <v>2001</v>
      </c>
      <c r="O867" s="973" t="s">
        <v>1971</v>
      </c>
      <c r="P867" s="973" t="s">
        <v>999</v>
      </c>
      <c r="Q867" s="973" t="s">
        <v>1000</v>
      </c>
      <c r="R867" s="973" t="s">
        <v>1001</v>
      </c>
      <c r="S867" s="973" t="s">
        <v>1002</v>
      </c>
      <c r="T867" s="423">
        <v>240</v>
      </c>
      <c r="U867" s="423">
        <v>12</v>
      </c>
      <c r="V867" s="423">
        <v>70</v>
      </c>
      <c r="W867" s="423">
        <v>3.5</v>
      </c>
      <c r="X867" s="423">
        <v>7</v>
      </c>
      <c r="Y867" s="423" t="s">
        <v>1041</v>
      </c>
      <c r="Z867" s="423" t="s">
        <v>1270</v>
      </c>
      <c r="AD867" s="423">
        <f>IF(ISNUMBER(MATCH(B867,'FICHA SOLIC'!$AB$26:$AB$376,0)),1,0)</f>
        <v>1</v>
      </c>
      <c r="AE867" s="423" t="str">
        <f t="shared" si="13"/>
        <v>Los AndesC3</v>
      </c>
    </row>
    <row r="868" spans="1:31" x14ac:dyDescent="0.25">
      <c r="A868" s="423">
        <v>867</v>
      </c>
      <c r="B868" s="423" t="s">
        <v>155</v>
      </c>
      <c r="C868" s="423" t="s">
        <v>2394</v>
      </c>
      <c r="D868" s="973" t="s">
        <v>990</v>
      </c>
      <c r="E868" s="973" t="s">
        <v>991</v>
      </c>
      <c r="F868" s="973" t="s">
        <v>992</v>
      </c>
      <c r="G868" s="973" t="s">
        <v>1997</v>
      </c>
      <c r="H868" s="973" t="s">
        <v>1998</v>
      </c>
      <c r="I868" s="973" t="s">
        <v>1999</v>
      </c>
      <c r="J868" s="973" t="s">
        <v>697</v>
      </c>
      <c r="K868" s="973" t="s">
        <v>995</v>
      </c>
      <c r="L868" s="973" t="s">
        <v>996</v>
      </c>
      <c r="M868" s="973" t="s">
        <v>2000</v>
      </c>
      <c r="N868" s="973" t="s">
        <v>2001</v>
      </c>
      <c r="O868" s="973" t="s">
        <v>1971</v>
      </c>
      <c r="P868" s="973" t="s">
        <v>999</v>
      </c>
      <c r="Q868" s="973" t="s">
        <v>1000</v>
      </c>
      <c r="R868" s="973" t="s">
        <v>1001</v>
      </c>
      <c r="S868" s="973" t="s">
        <v>1002</v>
      </c>
      <c r="T868" s="423">
        <v>400</v>
      </c>
      <c r="U868" s="423">
        <v>15</v>
      </c>
      <c r="V868" s="423">
        <v>100</v>
      </c>
      <c r="W868" s="423">
        <v>1</v>
      </c>
      <c r="X868" s="423">
        <v>9</v>
      </c>
      <c r="Y868" s="423" t="s">
        <v>1041</v>
      </c>
      <c r="Z868" s="423" t="s">
        <v>1059</v>
      </c>
      <c r="AD868" s="423">
        <f>IF(ISNUMBER(MATCH(B868,'FICHA SOLIC'!$AB$26:$AB$376,0)),1,0)</f>
        <v>1</v>
      </c>
      <c r="AE868" s="423" t="str">
        <f t="shared" si="13"/>
        <v>Los AndesE10</v>
      </c>
    </row>
    <row r="869" spans="1:31" x14ac:dyDescent="0.25">
      <c r="A869" s="423">
        <v>868</v>
      </c>
      <c r="B869" s="423" t="s">
        <v>155</v>
      </c>
      <c r="C869" s="423" t="s">
        <v>1433</v>
      </c>
      <c r="D869" s="973" t="s">
        <v>990</v>
      </c>
      <c r="E869" s="973" t="s">
        <v>991</v>
      </c>
      <c r="F869" s="973" t="s">
        <v>992</v>
      </c>
      <c r="G869" s="973" t="s">
        <v>1997</v>
      </c>
      <c r="H869" s="973" t="s">
        <v>1998</v>
      </c>
      <c r="I869" s="973" t="s">
        <v>1999</v>
      </c>
      <c r="J869" s="973" t="s">
        <v>697</v>
      </c>
      <c r="K869" s="973" t="s">
        <v>995</v>
      </c>
      <c r="L869" s="973" t="s">
        <v>996</v>
      </c>
      <c r="M869" s="973" t="s">
        <v>2000</v>
      </c>
      <c r="N869" s="973" t="s">
        <v>2001</v>
      </c>
      <c r="O869" s="973" t="s">
        <v>1971</v>
      </c>
      <c r="P869" s="973" t="s">
        <v>999</v>
      </c>
      <c r="Q869" s="973" t="s">
        <v>1000</v>
      </c>
      <c r="R869" s="973" t="s">
        <v>1001</v>
      </c>
      <c r="S869" s="973" t="s">
        <v>1002</v>
      </c>
      <c r="T869" s="423">
        <v>2100</v>
      </c>
      <c r="U869" s="423" t="s">
        <v>1041</v>
      </c>
      <c r="V869" s="423">
        <v>50</v>
      </c>
      <c r="W869" s="423">
        <v>2</v>
      </c>
      <c r="X869" s="423" t="s">
        <v>1173</v>
      </c>
      <c r="Y869" s="423" t="s">
        <v>1041</v>
      </c>
      <c r="Z869" s="423" t="s">
        <v>1058</v>
      </c>
      <c r="AD869" s="423">
        <f>IF(ISNUMBER(MATCH(B869,'FICHA SOLIC'!$AB$26:$AB$376,0)),1,0)</f>
        <v>1</v>
      </c>
      <c r="AE869" s="423" t="str">
        <f t="shared" si="13"/>
        <v>Los AndesE4</v>
      </c>
    </row>
    <row r="870" spans="1:31" x14ac:dyDescent="0.25">
      <c r="A870" s="423">
        <v>869</v>
      </c>
      <c r="B870" s="423" t="s">
        <v>155</v>
      </c>
      <c r="C870" s="423" t="s">
        <v>2393</v>
      </c>
      <c r="D870" s="973" t="s">
        <v>990</v>
      </c>
      <c r="E870" s="973" t="s">
        <v>991</v>
      </c>
      <c r="F870" s="973" t="s">
        <v>992</v>
      </c>
      <c r="G870" s="973" t="s">
        <v>1997</v>
      </c>
      <c r="H870" s="973" t="s">
        <v>1998</v>
      </c>
      <c r="I870" s="973" t="s">
        <v>1999</v>
      </c>
      <c r="J870" s="973" t="s">
        <v>697</v>
      </c>
      <c r="K870" s="973" t="s">
        <v>995</v>
      </c>
      <c r="L870" s="973" t="s">
        <v>996</v>
      </c>
      <c r="M870" s="973" t="s">
        <v>2000</v>
      </c>
      <c r="N870" s="973" t="s">
        <v>2001</v>
      </c>
      <c r="O870" s="973" t="s">
        <v>1971</v>
      </c>
      <c r="P870" s="973" t="s">
        <v>999</v>
      </c>
      <c r="Q870" s="973" t="s">
        <v>1000</v>
      </c>
      <c r="R870" s="973" t="s">
        <v>1001</v>
      </c>
      <c r="S870" s="973" t="s">
        <v>1002</v>
      </c>
      <c r="T870" s="423">
        <v>1000</v>
      </c>
      <c r="U870" s="423">
        <v>20</v>
      </c>
      <c r="V870" s="423">
        <v>20</v>
      </c>
      <c r="W870" s="423">
        <v>0.4</v>
      </c>
      <c r="X870" s="423" t="s">
        <v>1173</v>
      </c>
      <c r="Y870" s="423" t="s">
        <v>1041</v>
      </c>
      <c r="Z870" s="423" t="s">
        <v>1058</v>
      </c>
      <c r="AD870" s="423">
        <f>IF(ISNUMBER(MATCH(B870,'FICHA SOLIC'!$AB$26:$AB$376,0)),1,0)</f>
        <v>1</v>
      </c>
      <c r="AE870" s="423" t="str">
        <f t="shared" si="13"/>
        <v>Los AndesE8</v>
      </c>
    </row>
    <row r="871" spans="1:31" x14ac:dyDescent="0.25">
      <c r="A871" s="423">
        <v>870</v>
      </c>
      <c r="B871" s="423" t="s">
        <v>155</v>
      </c>
      <c r="C871" s="423" t="s">
        <v>2395</v>
      </c>
      <c r="D871" s="973" t="s">
        <v>990</v>
      </c>
      <c r="E871" s="973" t="s">
        <v>991</v>
      </c>
      <c r="F871" s="973" t="s">
        <v>992</v>
      </c>
      <c r="G871" s="973" t="s">
        <v>1997</v>
      </c>
      <c r="H871" s="973" t="s">
        <v>1998</v>
      </c>
      <c r="I871" s="973" t="s">
        <v>1999</v>
      </c>
      <c r="J871" s="973" t="s">
        <v>697</v>
      </c>
      <c r="K871" s="973" t="s">
        <v>995</v>
      </c>
      <c r="L871" s="973" t="s">
        <v>996</v>
      </c>
      <c r="M871" s="973" t="s">
        <v>2000</v>
      </c>
      <c r="N871" s="973" t="s">
        <v>2001</v>
      </c>
      <c r="O871" s="973" t="s">
        <v>1971</v>
      </c>
      <c r="P871" s="973" t="s">
        <v>999</v>
      </c>
      <c r="Q871" s="973" t="s">
        <v>1000</v>
      </c>
      <c r="R871" s="973" t="s">
        <v>1001</v>
      </c>
      <c r="S871" s="973" t="s">
        <v>1002</v>
      </c>
      <c r="T871" s="423">
        <v>400</v>
      </c>
      <c r="U871" s="423">
        <v>15</v>
      </c>
      <c r="V871" s="423">
        <v>100</v>
      </c>
      <c r="W871" s="423">
        <v>1</v>
      </c>
      <c r="X871" s="423">
        <v>9</v>
      </c>
      <c r="Y871" s="423" t="s">
        <v>1041</v>
      </c>
      <c r="Z871" s="423" t="s">
        <v>1059</v>
      </c>
      <c r="AD871" s="423">
        <f>IF(ISNUMBER(MATCH(B871,'FICHA SOLIC'!$AB$26:$AB$376,0)),1,0)</f>
        <v>1</v>
      </c>
      <c r="AE871" s="423" t="str">
        <f t="shared" si="13"/>
        <v>Los AndesE9</v>
      </c>
    </row>
    <row r="872" spans="1:31" x14ac:dyDescent="0.25">
      <c r="A872" s="423">
        <v>871</v>
      </c>
      <c r="B872" s="423" t="s">
        <v>155</v>
      </c>
      <c r="C872" s="423" t="s">
        <v>1282</v>
      </c>
      <c r="D872" s="973" t="s">
        <v>990</v>
      </c>
      <c r="E872" s="973" t="s">
        <v>991</v>
      </c>
      <c r="F872" s="973" t="s">
        <v>992</v>
      </c>
      <c r="G872" s="973" t="s">
        <v>1997</v>
      </c>
      <c r="H872" s="973" t="s">
        <v>1998</v>
      </c>
      <c r="I872" s="973" t="s">
        <v>1999</v>
      </c>
      <c r="J872" s="973" t="s">
        <v>697</v>
      </c>
      <c r="K872" s="973" t="s">
        <v>995</v>
      </c>
      <c r="L872" s="973" t="s">
        <v>996</v>
      </c>
      <c r="M872" s="973" t="s">
        <v>2000</v>
      </c>
      <c r="N872" s="973" t="s">
        <v>2001</v>
      </c>
      <c r="O872" s="973" t="s">
        <v>1971</v>
      </c>
      <c r="P872" s="973" t="s">
        <v>999</v>
      </c>
      <c r="Q872" s="973" t="s">
        <v>1000</v>
      </c>
      <c r="R872" s="973" t="s">
        <v>1001</v>
      </c>
      <c r="S872" s="973" t="s">
        <v>1002</v>
      </c>
      <c r="T872" s="423">
        <v>350</v>
      </c>
      <c r="U872" s="423">
        <v>12</v>
      </c>
      <c r="V872" s="423">
        <v>50</v>
      </c>
      <c r="W872" s="423">
        <v>1.5</v>
      </c>
      <c r="X872" s="423">
        <v>7</v>
      </c>
      <c r="Y872" s="423" t="s">
        <v>1041</v>
      </c>
      <c r="Z872" s="423" t="s">
        <v>1058</v>
      </c>
      <c r="AD872" s="423">
        <f>IF(ISNUMBER(MATCH(B872,'FICHA SOLIC'!$AB$26:$AB$376,0)),1,0)</f>
        <v>1</v>
      </c>
      <c r="AE872" s="423" t="str">
        <f t="shared" si="13"/>
        <v>Los AndesH1</v>
      </c>
    </row>
    <row r="873" spans="1:31" x14ac:dyDescent="0.25">
      <c r="A873" s="423">
        <v>872</v>
      </c>
      <c r="B873" s="423" t="s">
        <v>155</v>
      </c>
      <c r="C873" s="423" t="s">
        <v>1283</v>
      </c>
      <c r="D873" s="973" t="s">
        <v>990</v>
      </c>
      <c r="E873" s="973" t="s">
        <v>991</v>
      </c>
      <c r="F873" s="973" t="s">
        <v>992</v>
      </c>
      <c r="G873" s="973" t="s">
        <v>1997</v>
      </c>
      <c r="H873" s="973" t="s">
        <v>1998</v>
      </c>
      <c r="I873" s="973" t="s">
        <v>1999</v>
      </c>
      <c r="J873" s="973" t="s">
        <v>697</v>
      </c>
      <c r="K873" s="973" t="s">
        <v>995</v>
      </c>
      <c r="L873" s="973" t="s">
        <v>996</v>
      </c>
      <c r="M873" s="973" t="s">
        <v>2000</v>
      </c>
      <c r="N873" s="973" t="s">
        <v>2001</v>
      </c>
      <c r="O873" s="973" t="s">
        <v>1971</v>
      </c>
      <c r="P873" s="973" t="s">
        <v>999</v>
      </c>
      <c r="Q873" s="973" t="s">
        <v>1000</v>
      </c>
      <c r="R873" s="973" t="s">
        <v>1001</v>
      </c>
      <c r="S873" s="973" t="s">
        <v>1002</v>
      </c>
      <c r="T873" s="423">
        <v>240</v>
      </c>
      <c r="U873" s="423">
        <v>12</v>
      </c>
      <c r="V873" s="423">
        <v>50</v>
      </c>
      <c r="W873" s="423">
        <v>1</v>
      </c>
      <c r="X873" s="423">
        <v>7</v>
      </c>
      <c r="Y873" s="423" t="s">
        <v>1041</v>
      </c>
      <c r="Z873" s="423" t="s">
        <v>1058</v>
      </c>
      <c r="AD873" s="423">
        <f>IF(ISNUMBER(MATCH(B873,'FICHA SOLIC'!$AB$26:$AB$376,0)),1,0)</f>
        <v>1</v>
      </c>
      <c r="AE873" s="423" t="str">
        <f t="shared" si="13"/>
        <v>Los AndesH2</v>
      </c>
    </row>
    <row r="874" spans="1:31" x14ac:dyDescent="0.25">
      <c r="A874" s="423">
        <v>873</v>
      </c>
      <c r="B874" s="423" t="s">
        <v>155</v>
      </c>
      <c r="C874" s="423" t="s">
        <v>1284</v>
      </c>
      <c r="D874" s="973" t="s">
        <v>990</v>
      </c>
      <c r="E874" s="973" t="s">
        <v>991</v>
      </c>
      <c r="F874" s="973" t="s">
        <v>992</v>
      </c>
      <c r="G874" s="973" t="s">
        <v>1997</v>
      </c>
      <c r="H874" s="973" t="s">
        <v>1998</v>
      </c>
      <c r="I874" s="973" t="s">
        <v>1999</v>
      </c>
      <c r="J874" s="973" t="s">
        <v>697</v>
      </c>
      <c r="K874" s="973" t="s">
        <v>995</v>
      </c>
      <c r="L874" s="973" t="s">
        <v>996</v>
      </c>
      <c r="M874" s="973" t="s">
        <v>2000</v>
      </c>
      <c r="N874" s="973" t="s">
        <v>2001</v>
      </c>
      <c r="O874" s="973" t="s">
        <v>1971</v>
      </c>
      <c r="P874" s="973" t="s">
        <v>999</v>
      </c>
      <c r="Q874" s="973" t="s">
        <v>1000</v>
      </c>
      <c r="R874" s="973" t="s">
        <v>1001</v>
      </c>
      <c r="S874" s="973" t="s">
        <v>1002</v>
      </c>
      <c r="T874" s="423">
        <v>160</v>
      </c>
      <c r="U874" s="423">
        <v>8</v>
      </c>
      <c r="V874" s="423">
        <v>70</v>
      </c>
      <c r="W874" s="423">
        <v>1.4</v>
      </c>
      <c r="X874" s="423">
        <v>7</v>
      </c>
      <c r="Y874" s="423" t="s">
        <v>1041</v>
      </c>
      <c r="Z874" s="423" t="s">
        <v>1058</v>
      </c>
      <c r="AD874" s="423">
        <f>IF(ISNUMBER(MATCH(B874,'FICHA SOLIC'!$AB$26:$AB$376,0)),1,0)</f>
        <v>1</v>
      </c>
      <c r="AE874" s="423" t="str">
        <f t="shared" si="13"/>
        <v>Los AndesH3</v>
      </c>
    </row>
    <row r="875" spans="1:31" x14ac:dyDescent="0.25">
      <c r="A875" s="423">
        <v>874</v>
      </c>
      <c r="B875" s="423" t="s">
        <v>155</v>
      </c>
      <c r="C875" s="423" t="s">
        <v>1285</v>
      </c>
      <c r="D875" s="973" t="s">
        <v>990</v>
      </c>
      <c r="E875" s="973" t="s">
        <v>991</v>
      </c>
      <c r="F875" s="973" t="s">
        <v>992</v>
      </c>
      <c r="G875" s="973" t="s">
        <v>1997</v>
      </c>
      <c r="H875" s="973" t="s">
        <v>1998</v>
      </c>
      <c r="I875" s="973" t="s">
        <v>1999</v>
      </c>
      <c r="J875" s="973" t="s">
        <v>697</v>
      </c>
      <c r="K875" s="973" t="s">
        <v>995</v>
      </c>
      <c r="L875" s="973" t="s">
        <v>996</v>
      </c>
      <c r="M875" s="973" t="s">
        <v>2000</v>
      </c>
      <c r="N875" s="973" t="s">
        <v>2001</v>
      </c>
      <c r="O875" s="973" t="s">
        <v>1971</v>
      </c>
      <c r="P875" s="973" t="s">
        <v>999</v>
      </c>
      <c r="Q875" s="973" t="s">
        <v>1000</v>
      </c>
      <c r="R875" s="973" t="s">
        <v>1001</v>
      </c>
      <c r="S875" s="973" t="s">
        <v>1002</v>
      </c>
      <c r="T875" s="423">
        <v>300</v>
      </c>
      <c r="U875" s="423">
        <v>12</v>
      </c>
      <c r="V875" s="423">
        <v>40</v>
      </c>
      <c r="W875" s="423">
        <v>1.2</v>
      </c>
      <c r="X875" s="423">
        <v>7</v>
      </c>
      <c r="Y875" s="423" t="s">
        <v>1041</v>
      </c>
      <c r="Z875" s="423" t="s">
        <v>1058</v>
      </c>
      <c r="AD875" s="423">
        <f>IF(ISNUMBER(MATCH(B875,'FICHA SOLIC'!$AB$26:$AB$376,0)),1,0)</f>
        <v>1</v>
      </c>
      <c r="AE875" s="423" t="str">
        <f t="shared" si="13"/>
        <v>Los AndesH4</v>
      </c>
    </row>
    <row r="876" spans="1:31" x14ac:dyDescent="0.25">
      <c r="A876" s="423">
        <v>875</v>
      </c>
      <c r="B876" s="423" t="s">
        <v>155</v>
      </c>
      <c r="C876" s="423" t="s">
        <v>1286</v>
      </c>
      <c r="D876" s="973" t="s">
        <v>990</v>
      </c>
      <c r="E876" s="973" t="s">
        <v>991</v>
      </c>
      <c r="F876" s="973" t="s">
        <v>992</v>
      </c>
      <c r="G876" s="973" t="s">
        <v>1997</v>
      </c>
      <c r="H876" s="973" t="s">
        <v>1998</v>
      </c>
      <c r="I876" s="973" t="s">
        <v>1999</v>
      </c>
      <c r="J876" s="973" t="s">
        <v>697</v>
      </c>
      <c r="K876" s="973" t="s">
        <v>995</v>
      </c>
      <c r="L876" s="973" t="s">
        <v>996</v>
      </c>
      <c r="M876" s="973" t="s">
        <v>2000</v>
      </c>
      <c r="N876" s="973" t="s">
        <v>2001</v>
      </c>
      <c r="O876" s="973" t="s">
        <v>1971</v>
      </c>
      <c r="P876" s="973" t="s">
        <v>999</v>
      </c>
      <c r="Q876" s="973" t="s">
        <v>1000</v>
      </c>
      <c r="R876" s="973" t="s">
        <v>1001</v>
      </c>
      <c r="S876" s="973" t="s">
        <v>1002</v>
      </c>
      <c r="T876" s="423">
        <v>400</v>
      </c>
      <c r="U876" s="423">
        <v>15</v>
      </c>
      <c r="V876" s="423">
        <v>50</v>
      </c>
      <c r="W876" s="423">
        <v>1</v>
      </c>
      <c r="X876" s="423">
        <v>7</v>
      </c>
      <c r="Y876" s="423" t="s">
        <v>1041</v>
      </c>
      <c r="Z876" s="423" t="s">
        <v>1057</v>
      </c>
      <c r="AD876" s="423">
        <f>IF(ISNUMBER(MATCH(B876,'FICHA SOLIC'!$AB$26:$AB$376,0)),1,0)</f>
        <v>1</v>
      </c>
      <c r="AE876" s="423" t="str">
        <f t="shared" si="13"/>
        <v>Los AndesH5</v>
      </c>
    </row>
    <row r="877" spans="1:31" x14ac:dyDescent="0.25">
      <c r="A877" s="423">
        <v>876</v>
      </c>
      <c r="B877" s="423" t="s">
        <v>155</v>
      </c>
      <c r="C877" s="423" t="s">
        <v>1287</v>
      </c>
      <c r="D877" s="973" t="s">
        <v>990</v>
      </c>
      <c r="E877" s="973" t="s">
        <v>991</v>
      </c>
      <c r="F877" s="973" t="s">
        <v>992</v>
      </c>
      <c r="G877" s="973" t="s">
        <v>1997</v>
      </c>
      <c r="H877" s="973" t="s">
        <v>1998</v>
      </c>
      <c r="I877" s="973" t="s">
        <v>1999</v>
      </c>
      <c r="J877" s="973" t="s">
        <v>697</v>
      </c>
      <c r="K877" s="973" t="s">
        <v>995</v>
      </c>
      <c r="L877" s="973" t="s">
        <v>996</v>
      </c>
      <c r="M877" s="973" t="s">
        <v>2000</v>
      </c>
      <c r="N877" s="973" t="s">
        <v>2001</v>
      </c>
      <c r="O877" s="973" t="s">
        <v>1971</v>
      </c>
      <c r="P877" s="973" t="s">
        <v>999</v>
      </c>
      <c r="Q877" s="973" t="s">
        <v>1000</v>
      </c>
      <c r="R877" s="973" t="s">
        <v>1001</v>
      </c>
      <c r="S877" s="973" t="s">
        <v>1002</v>
      </c>
      <c r="T877" s="423">
        <v>2500</v>
      </c>
      <c r="U877" s="423">
        <v>30</v>
      </c>
      <c r="V877" s="423">
        <v>15</v>
      </c>
      <c r="W877" s="423">
        <v>0.3</v>
      </c>
      <c r="X877" s="423">
        <v>10.5</v>
      </c>
      <c r="Y877" s="423" t="s">
        <v>1041</v>
      </c>
      <c r="Z877" s="423" t="s">
        <v>1058</v>
      </c>
      <c r="AD877" s="423">
        <f>IF(ISNUMBER(MATCH(B877,'FICHA SOLIC'!$AB$26:$AB$376,0)),1,0)</f>
        <v>1</v>
      </c>
      <c r="AE877" s="423" t="str">
        <f t="shared" si="13"/>
        <v>Los AndesH6</v>
      </c>
    </row>
    <row r="878" spans="1:31" x14ac:dyDescent="0.25">
      <c r="A878" s="423">
        <v>877</v>
      </c>
      <c r="B878" s="423" t="s">
        <v>155</v>
      </c>
      <c r="C878" s="423" t="s">
        <v>1486</v>
      </c>
      <c r="D878" s="973" t="s">
        <v>990</v>
      </c>
      <c r="E878" s="973" t="s">
        <v>991</v>
      </c>
      <c r="F878" s="973" t="s">
        <v>992</v>
      </c>
      <c r="G878" s="973" t="s">
        <v>1997</v>
      </c>
      <c r="H878" s="973" t="s">
        <v>1998</v>
      </c>
      <c r="I878" s="973" t="s">
        <v>1999</v>
      </c>
      <c r="J878" s="973" t="s">
        <v>697</v>
      </c>
      <c r="K878" s="973" t="s">
        <v>995</v>
      </c>
      <c r="L878" s="973" t="s">
        <v>996</v>
      </c>
      <c r="M878" s="973" t="s">
        <v>2000</v>
      </c>
      <c r="N878" s="973" t="s">
        <v>2001</v>
      </c>
      <c r="O878" s="973" t="s">
        <v>1971</v>
      </c>
      <c r="P878" s="973" t="s">
        <v>999</v>
      </c>
      <c r="Q878" s="973" t="s">
        <v>1000</v>
      </c>
      <c r="R878" s="973" t="s">
        <v>1001</v>
      </c>
      <c r="S878" s="973" t="s">
        <v>1002</v>
      </c>
      <c r="T878" s="423">
        <v>1000</v>
      </c>
      <c r="U878" s="423">
        <v>20</v>
      </c>
      <c r="V878" s="423">
        <v>60</v>
      </c>
      <c r="W878" s="423">
        <v>1.2</v>
      </c>
      <c r="X878" s="423" t="s">
        <v>1041</v>
      </c>
      <c r="Y878" s="423" t="s">
        <v>1041</v>
      </c>
      <c r="Z878" s="423" t="s">
        <v>1058</v>
      </c>
      <c r="AD878" s="423">
        <f>IF(ISNUMBER(MATCH(B878,'FICHA SOLIC'!$AB$26:$AB$376,0)),1,0)</f>
        <v>1</v>
      </c>
      <c r="AE878" s="423" t="str">
        <f t="shared" si="13"/>
        <v>Los AndesI1</v>
      </c>
    </row>
    <row r="879" spans="1:31" x14ac:dyDescent="0.25">
      <c r="A879" s="423">
        <v>878</v>
      </c>
      <c r="B879" s="423" t="s">
        <v>155</v>
      </c>
      <c r="C879" s="423" t="s">
        <v>1487</v>
      </c>
      <c r="D879" s="973" t="s">
        <v>990</v>
      </c>
      <c r="E879" s="973" t="s">
        <v>991</v>
      </c>
      <c r="F879" s="973" t="s">
        <v>992</v>
      </c>
      <c r="G879" s="973" t="s">
        <v>1997</v>
      </c>
      <c r="H879" s="973" t="s">
        <v>1998</v>
      </c>
      <c r="I879" s="973" t="s">
        <v>1999</v>
      </c>
      <c r="J879" s="973" t="s">
        <v>697</v>
      </c>
      <c r="K879" s="973" t="s">
        <v>995</v>
      </c>
      <c r="L879" s="973" t="s">
        <v>996</v>
      </c>
      <c r="M879" s="973" t="s">
        <v>2000</v>
      </c>
      <c r="N879" s="973" t="s">
        <v>2001</v>
      </c>
      <c r="O879" s="973" t="s">
        <v>1971</v>
      </c>
      <c r="P879" s="973" t="s">
        <v>999</v>
      </c>
      <c r="Q879" s="973" t="s">
        <v>1000</v>
      </c>
      <c r="R879" s="973" t="s">
        <v>1001</v>
      </c>
      <c r="S879" s="973" t="s">
        <v>1002</v>
      </c>
      <c r="T879" s="423">
        <v>500</v>
      </c>
      <c r="U879" s="423">
        <v>10</v>
      </c>
      <c r="V879" s="423">
        <v>60</v>
      </c>
      <c r="W879" s="423">
        <v>1.2</v>
      </c>
      <c r="X879" s="423" t="s">
        <v>1041</v>
      </c>
      <c r="Y879" s="423" t="s">
        <v>1041</v>
      </c>
      <c r="Z879" s="423" t="s">
        <v>1059</v>
      </c>
      <c r="AD879" s="423">
        <f>IF(ISNUMBER(MATCH(B879,'FICHA SOLIC'!$AB$26:$AB$376,0)),1,0)</f>
        <v>1</v>
      </c>
      <c r="AE879" s="423" t="str">
        <f t="shared" si="13"/>
        <v>Los AndesI2</v>
      </c>
    </row>
    <row r="880" spans="1:31" x14ac:dyDescent="0.25">
      <c r="A880" s="423">
        <v>879</v>
      </c>
      <c r="B880" s="423" t="s">
        <v>268</v>
      </c>
      <c r="C880" s="423" t="s">
        <v>1554</v>
      </c>
      <c r="D880" s="973" t="s">
        <v>990</v>
      </c>
      <c r="E880" s="973" t="s">
        <v>991</v>
      </c>
      <c r="F880" s="973" t="s">
        <v>992</v>
      </c>
      <c r="G880" s="973" t="s">
        <v>1997</v>
      </c>
      <c r="H880" s="973" t="s">
        <v>1998</v>
      </c>
      <c r="I880" s="973" t="s">
        <v>1999</v>
      </c>
      <c r="J880" s="973" t="s">
        <v>697</v>
      </c>
      <c r="K880" s="973" t="s">
        <v>995</v>
      </c>
      <c r="L880" s="973" t="s">
        <v>996</v>
      </c>
      <c r="M880" s="973" t="s">
        <v>2000</v>
      </c>
      <c r="N880" s="973" t="s">
        <v>2001</v>
      </c>
      <c r="O880" s="973" t="s">
        <v>1971</v>
      </c>
      <c r="P880" s="973" t="s">
        <v>999</v>
      </c>
      <c r="Q880" s="973" t="s">
        <v>1000</v>
      </c>
      <c r="R880" s="973" t="s">
        <v>1001</v>
      </c>
      <c r="S880" s="973" t="s">
        <v>1002</v>
      </c>
      <c r="T880" s="423">
        <v>200</v>
      </c>
      <c r="V880" s="423">
        <v>0.8</v>
      </c>
      <c r="W880" s="423" t="s">
        <v>1041</v>
      </c>
      <c r="X880" s="423" t="s">
        <v>2396</v>
      </c>
      <c r="Y880" s="423" t="s">
        <v>2003</v>
      </c>
      <c r="Z880" s="423" t="s">
        <v>1057</v>
      </c>
      <c r="AD880" s="423">
        <f>IF(ISNUMBER(MATCH(B880,'FICHA SOLIC'!$AB$26:$AB$376,0)),1,0)</f>
        <v>1</v>
      </c>
      <c r="AE880" s="423" t="str">
        <f t="shared" si="13"/>
        <v>Los ÁngelesMC</v>
      </c>
    </row>
    <row r="881" spans="1:31" x14ac:dyDescent="0.25">
      <c r="A881" s="423">
        <v>880</v>
      </c>
      <c r="B881" s="423" t="s">
        <v>268</v>
      </c>
      <c r="C881" s="423" t="s">
        <v>1456</v>
      </c>
      <c r="D881" s="973" t="s">
        <v>990</v>
      </c>
      <c r="E881" s="973" t="s">
        <v>991</v>
      </c>
      <c r="F881" s="973" t="s">
        <v>992</v>
      </c>
      <c r="G881" s="973" t="s">
        <v>1997</v>
      </c>
      <c r="H881" s="973" t="s">
        <v>1998</v>
      </c>
      <c r="I881" s="973" t="s">
        <v>1999</v>
      </c>
      <c r="J881" s="973" t="s">
        <v>697</v>
      </c>
      <c r="K881" s="973" t="s">
        <v>995</v>
      </c>
      <c r="L881" s="973" t="s">
        <v>996</v>
      </c>
      <c r="M881" s="973" t="s">
        <v>2000</v>
      </c>
      <c r="N881" s="973" t="s">
        <v>2001</v>
      </c>
      <c r="O881" s="973" t="s">
        <v>1971</v>
      </c>
      <c r="P881" s="973" t="s">
        <v>999</v>
      </c>
      <c r="Q881" s="973" t="s">
        <v>1000</v>
      </c>
      <c r="R881" s="973" t="s">
        <v>1001</v>
      </c>
      <c r="S881" s="973" t="s">
        <v>1002</v>
      </c>
      <c r="T881" s="423">
        <v>1000</v>
      </c>
      <c r="V881" s="423">
        <v>0.5</v>
      </c>
      <c r="X881" s="423" t="s">
        <v>2396</v>
      </c>
      <c r="Y881" s="423" t="s">
        <v>2003</v>
      </c>
      <c r="Z881" s="423" t="s">
        <v>1059</v>
      </c>
      <c r="AD881" s="423">
        <f>IF(ISNUMBER(MATCH(B881,'FICHA SOLIC'!$AB$26:$AB$376,0)),1,0)</f>
        <v>1</v>
      </c>
      <c r="AE881" s="423" t="str">
        <f t="shared" si="13"/>
        <v>Los ÁngelesZCH</v>
      </c>
    </row>
    <row r="882" spans="1:31" x14ac:dyDescent="0.25">
      <c r="A882" s="423">
        <v>881</v>
      </c>
      <c r="B882" s="423" t="s">
        <v>268</v>
      </c>
      <c r="C882" s="423" t="s">
        <v>1454</v>
      </c>
      <c r="D882" s="973" t="s">
        <v>990</v>
      </c>
      <c r="E882" s="973" t="s">
        <v>991</v>
      </c>
      <c r="F882" s="973" t="s">
        <v>992</v>
      </c>
      <c r="G882" s="973" t="s">
        <v>1997</v>
      </c>
      <c r="H882" s="973" t="s">
        <v>1998</v>
      </c>
      <c r="I882" s="973" t="s">
        <v>1999</v>
      </c>
      <c r="J882" s="973" t="s">
        <v>697</v>
      </c>
      <c r="K882" s="973" t="s">
        <v>995</v>
      </c>
      <c r="L882" s="973" t="s">
        <v>996</v>
      </c>
      <c r="M882" s="973" t="s">
        <v>2000</v>
      </c>
      <c r="N882" s="973" t="s">
        <v>2001</v>
      </c>
      <c r="O882" s="973" t="s">
        <v>1971</v>
      </c>
      <c r="P882" s="973" t="s">
        <v>999</v>
      </c>
      <c r="Q882" s="973" t="s">
        <v>1000</v>
      </c>
      <c r="R882" s="973" t="s">
        <v>1001</v>
      </c>
      <c r="S882" s="973" t="s">
        <v>1002</v>
      </c>
      <c r="T882" s="423">
        <v>5000</v>
      </c>
      <c r="V882" s="423">
        <v>0.4</v>
      </c>
      <c r="W882" s="423" t="s">
        <v>1041</v>
      </c>
      <c r="X882" s="423" t="s">
        <v>2396</v>
      </c>
      <c r="Y882" s="423" t="s">
        <v>2003</v>
      </c>
      <c r="Z882" s="423" t="s">
        <v>1058</v>
      </c>
      <c r="AD882" s="423">
        <f>IF(ISNUMBER(MATCH(B882,'FICHA SOLIC'!$AB$26:$AB$376,0)),1,0)</f>
        <v>1</v>
      </c>
      <c r="AE882" s="423" t="str">
        <f t="shared" si="13"/>
        <v>Los ÁngelesZE-1</v>
      </c>
    </row>
    <row r="883" spans="1:31" x14ac:dyDescent="0.25">
      <c r="A883" s="423">
        <v>882</v>
      </c>
      <c r="B883" s="423" t="s">
        <v>268</v>
      </c>
      <c r="C883" s="423" t="s">
        <v>1474</v>
      </c>
      <c r="D883" s="973" t="s">
        <v>990</v>
      </c>
      <c r="E883" s="973" t="s">
        <v>991</v>
      </c>
      <c r="F883" s="973" t="s">
        <v>992</v>
      </c>
      <c r="G883" s="973" t="s">
        <v>1997</v>
      </c>
      <c r="H883" s="973" t="s">
        <v>1998</v>
      </c>
      <c r="I883" s="973" t="s">
        <v>1999</v>
      </c>
      <c r="J883" s="973" t="s">
        <v>697</v>
      </c>
      <c r="K883" s="973" t="s">
        <v>995</v>
      </c>
      <c r="L883" s="973" t="s">
        <v>996</v>
      </c>
      <c r="M883" s="973" t="s">
        <v>2000</v>
      </c>
      <c r="N883" s="973" t="s">
        <v>2001</v>
      </c>
      <c r="O883" s="973" t="s">
        <v>1971</v>
      </c>
      <c r="P883" s="973" t="s">
        <v>999</v>
      </c>
      <c r="Q883" s="973" t="s">
        <v>1000</v>
      </c>
      <c r="R883" s="973" t="s">
        <v>1001</v>
      </c>
      <c r="S883" s="973" t="s">
        <v>1002</v>
      </c>
      <c r="T883" s="423">
        <v>5000</v>
      </c>
      <c r="V883" s="423">
        <v>0.4</v>
      </c>
      <c r="W883" s="423" t="s">
        <v>1041</v>
      </c>
      <c r="X883" s="423" t="s">
        <v>2396</v>
      </c>
      <c r="Y883" s="423" t="s">
        <v>2003</v>
      </c>
      <c r="Z883" s="423" t="s">
        <v>1058</v>
      </c>
      <c r="AD883" s="423">
        <f>IF(ISNUMBER(MATCH(B883,'FICHA SOLIC'!$AB$26:$AB$376,0)),1,0)</f>
        <v>1</v>
      </c>
      <c r="AE883" s="423" t="str">
        <f t="shared" si="13"/>
        <v>Los ÁngelesZE-2</v>
      </c>
    </row>
    <row r="884" spans="1:31" x14ac:dyDescent="0.25">
      <c r="A884" s="423">
        <v>883</v>
      </c>
      <c r="B884" s="423" t="s">
        <v>268</v>
      </c>
      <c r="C884" s="423" t="s">
        <v>2397</v>
      </c>
      <c r="D884" s="973" t="s">
        <v>990</v>
      </c>
      <c r="E884" s="973" t="s">
        <v>991</v>
      </c>
      <c r="F884" s="973" t="s">
        <v>992</v>
      </c>
      <c r="G884" s="973" t="s">
        <v>1997</v>
      </c>
      <c r="H884" s="973" t="s">
        <v>1998</v>
      </c>
      <c r="I884" s="973" t="s">
        <v>1999</v>
      </c>
      <c r="J884" s="973" t="s">
        <v>697</v>
      </c>
      <c r="K884" s="973" t="s">
        <v>995</v>
      </c>
      <c r="L884" s="973" t="s">
        <v>996</v>
      </c>
      <c r="M884" s="973" t="s">
        <v>2000</v>
      </c>
      <c r="N884" s="973" t="s">
        <v>2001</v>
      </c>
      <c r="O884" s="973" t="s">
        <v>1971</v>
      </c>
      <c r="P884" s="973" t="s">
        <v>999</v>
      </c>
      <c r="Q884" s="973" t="s">
        <v>1000</v>
      </c>
      <c r="R884" s="973" t="s">
        <v>1001</v>
      </c>
      <c r="S884" s="973" t="s">
        <v>1002</v>
      </c>
      <c r="T884" s="423" t="s">
        <v>1041</v>
      </c>
      <c r="U884" s="423" t="s">
        <v>1041</v>
      </c>
      <c r="V884" s="423" t="s">
        <v>1041</v>
      </c>
      <c r="W884" s="423" t="s">
        <v>1041</v>
      </c>
      <c r="X884" s="423">
        <v>7</v>
      </c>
      <c r="Y884" s="423" t="s">
        <v>2003</v>
      </c>
      <c r="Z884" s="423" t="s">
        <v>1057</v>
      </c>
      <c r="AD884" s="423">
        <f>IF(ISNUMBER(MATCH(B884,'FICHA SOLIC'!$AB$26:$AB$376,0)),1,0)</f>
        <v>1</v>
      </c>
      <c r="AE884" s="423" t="str">
        <f t="shared" si="13"/>
        <v>Los ÁngelesZEP</v>
      </c>
    </row>
    <row r="885" spans="1:31" x14ac:dyDescent="0.25">
      <c r="A885" s="423">
        <v>884</v>
      </c>
      <c r="B885" s="423" t="s">
        <v>268</v>
      </c>
      <c r="C885" s="423" t="s">
        <v>2398</v>
      </c>
      <c r="D885" s="973" t="s">
        <v>990</v>
      </c>
      <c r="E885" s="973" t="s">
        <v>991</v>
      </c>
      <c r="F885" s="973" t="s">
        <v>992</v>
      </c>
      <c r="G885" s="973" t="s">
        <v>1997</v>
      </c>
      <c r="H885" s="973" t="s">
        <v>1998</v>
      </c>
      <c r="I885" s="973" t="s">
        <v>1999</v>
      </c>
      <c r="J885" s="973" t="s">
        <v>697</v>
      </c>
      <c r="K885" s="973" t="s">
        <v>995</v>
      </c>
      <c r="L885" s="973" t="s">
        <v>996</v>
      </c>
      <c r="M885" s="973" t="s">
        <v>2000</v>
      </c>
      <c r="N885" s="973" t="s">
        <v>2001</v>
      </c>
      <c r="O885" s="973" t="s">
        <v>1971</v>
      </c>
      <c r="P885" s="973" t="s">
        <v>999</v>
      </c>
      <c r="Q885" s="973" t="s">
        <v>1000</v>
      </c>
      <c r="R885" s="973" t="s">
        <v>1001</v>
      </c>
      <c r="S885" s="973" t="s">
        <v>1002</v>
      </c>
      <c r="T885" s="423">
        <v>2500</v>
      </c>
      <c r="V885" s="423">
        <v>0.4</v>
      </c>
      <c r="W885" s="423" t="s">
        <v>1041</v>
      </c>
      <c r="X885" s="423" t="s">
        <v>2396</v>
      </c>
      <c r="Y885" s="423" t="s">
        <v>2003</v>
      </c>
      <c r="Z885" s="423" t="s">
        <v>1058</v>
      </c>
      <c r="AD885" s="423">
        <f>IF(ISNUMBER(MATCH(B885,'FICHA SOLIC'!$AB$26:$AB$376,0)),1,0)</f>
        <v>1</v>
      </c>
      <c r="AE885" s="423" t="str">
        <f t="shared" si="13"/>
        <v>Los ÁngelesZESP-1</v>
      </c>
    </row>
    <row r="886" spans="1:31" x14ac:dyDescent="0.25">
      <c r="A886" s="423">
        <v>885</v>
      </c>
      <c r="B886" s="423" t="s">
        <v>268</v>
      </c>
      <c r="C886" s="423" t="s">
        <v>2399</v>
      </c>
      <c r="D886" s="973" t="s">
        <v>990</v>
      </c>
      <c r="E886" s="973" t="s">
        <v>991</v>
      </c>
      <c r="F886" s="973" t="s">
        <v>992</v>
      </c>
      <c r="G886" s="973" t="s">
        <v>1997</v>
      </c>
      <c r="H886" s="973" t="s">
        <v>1998</v>
      </c>
      <c r="I886" s="973" t="s">
        <v>1999</v>
      </c>
      <c r="J886" s="973" t="s">
        <v>697</v>
      </c>
      <c r="K886" s="973" t="s">
        <v>995</v>
      </c>
      <c r="L886" s="973" t="s">
        <v>996</v>
      </c>
      <c r="M886" s="973" t="s">
        <v>2000</v>
      </c>
      <c r="N886" s="973" t="s">
        <v>2001</v>
      </c>
      <c r="O886" s="973" t="s">
        <v>1971</v>
      </c>
      <c r="P886" s="973" t="s">
        <v>999</v>
      </c>
      <c r="Q886" s="973" t="s">
        <v>1000</v>
      </c>
      <c r="R886" s="973" t="s">
        <v>1001</v>
      </c>
      <c r="S886" s="973" t="s">
        <v>1002</v>
      </c>
      <c r="V886" s="423">
        <v>0.4</v>
      </c>
      <c r="W886" s="423" t="s">
        <v>1041</v>
      </c>
      <c r="X886" s="423" t="s">
        <v>2396</v>
      </c>
      <c r="Y886" s="423" t="s">
        <v>2003</v>
      </c>
      <c r="Z886" s="423" t="s">
        <v>1058</v>
      </c>
      <c r="AD886" s="423">
        <f>IF(ISNUMBER(MATCH(B886,'FICHA SOLIC'!$AB$26:$AB$376,0)),1,0)</f>
        <v>1</v>
      </c>
      <c r="AE886" s="423" t="str">
        <f t="shared" si="13"/>
        <v>Los ÁngelesZESP-2</v>
      </c>
    </row>
    <row r="887" spans="1:31" x14ac:dyDescent="0.25">
      <c r="A887" s="423">
        <v>886</v>
      </c>
      <c r="B887" s="423" t="s">
        <v>268</v>
      </c>
      <c r="C887" s="423" t="s">
        <v>1464</v>
      </c>
      <c r="D887" s="973" t="s">
        <v>990</v>
      </c>
      <c r="E887" s="973" t="s">
        <v>991</v>
      </c>
      <c r="F887" s="973" t="s">
        <v>992</v>
      </c>
      <c r="G887" s="973" t="s">
        <v>1997</v>
      </c>
      <c r="H887" s="973" t="s">
        <v>1998</v>
      </c>
      <c r="I887" s="973" t="s">
        <v>1999</v>
      </c>
      <c r="J887" s="973" t="s">
        <v>697</v>
      </c>
      <c r="K887" s="973" t="s">
        <v>995</v>
      </c>
      <c r="L887" s="973" t="s">
        <v>996</v>
      </c>
      <c r="M887" s="973" t="s">
        <v>2000</v>
      </c>
      <c r="N887" s="973" t="s">
        <v>2001</v>
      </c>
      <c r="O887" s="973" t="s">
        <v>1971</v>
      </c>
      <c r="P887" s="973" t="s">
        <v>999</v>
      </c>
      <c r="Q887" s="973" t="s">
        <v>1000</v>
      </c>
      <c r="R887" s="973" t="s">
        <v>1001</v>
      </c>
      <c r="S887" s="973" t="s">
        <v>1002</v>
      </c>
      <c r="T887" s="423">
        <v>1000</v>
      </c>
      <c r="V887" s="423">
        <v>0.5</v>
      </c>
      <c r="W887" s="423" t="s">
        <v>1041</v>
      </c>
      <c r="X887" s="423" t="s">
        <v>2396</v>
      </c>
      <c r="Y887" s="423" t="s">
        <v>2003</v>
      </c>
      <c r="Z887" s="423" t="s">
        <v>1059</v>
      </c>
      <c r="AD887" s="423">
        <f>IF(ISNUMBER(MATCH(B887,'FICHA SOLIC'!$AB$26:$AB$376,0)),1,0)</f>
        <v>1</v>
      </c>
      <c r="AE887" s="423" t="str">
        <f t="shared" si="13"/>
        <v>Los ÁngelesZH-1</v>
      </c>
    </row>
    <row r="888" spans="1:31" x14ac:dyDescent="0.25">
      <c r="A888" s="423">
        <v>887</v>
      </c>
      <c r="B888" s="423" t="s">
        <v>268</v>
      </c>
      <c r="C888" s="423" t="s">
        <v>1465</v>
      </c>
      <c r="D888" s="973" t="s">
        <v>990</v>
      </c>
      <c r="E888" s="973" t="s">
        <v>991</v>
      </c>
      <c r="F888" s="973" t="s">
        <v>992</v>
      </c>
      <c r="G888" s="973" t="s">
        <v>1997</v>
      </c>
      <c r="H888" s="973" t="s">
        <v>1998</v>
      </c>
      <c r="I888" s="973" t="s">
        <v>1999</v>
      </c>
      <c r="J888" s="973" t="s">
        <v>697</v>
      </c>
      <c r="K888" s="973" t="s">
        <v>995</v>
      </c>
      <c r="L888" s="973" t="s">
        <v>996</v>
      </c>
      <c r="M888" s="973" t="s">
        <v>2000</v>
      </c>
      <c r="N888" s="973" t="s">
        <v>2001</v>
      </c>
      <c r="O888" s="973" t="s">
        <v>1971</v>
      </c>
      <c r="P888" s="973" t="s">
        <v>999</v>
      </c>
      <c r="Q888" s="973" t="s">
        <v>1000</v>
      </c>
      <c r="R888" s="973" t="s">
        <v>1001</v>
      </c>
      <c r="S888" s="973" t="s">
        <v>1002</v>
      </c>
      <c r="T888" s="423">
        <v>2500</v>
      </c>
      <c r="V888" s="423">
        <v>0.4</v>
      </c>
      <c r="W888" s="423" t="s">
        <v>1041</v>
      </c>
      <c r="X888" s="423">
        <v>14</v>
      </c>
      <c r="Y888" s="423" t="s">
        <v>2003</v>
      </c>
      <c r="Z888" s="423" t="s">
        <v>2400</v>
      </c>
      <c r="AD888" s="423">
        <f>IF(ISNUMBER(MATCH(B888,'FICHA SOLIC'!$AB$26:$AB$376,0)),1,0)</f>
        <v>1</v>
      </c>
      <c r="AE888" s="423" t="str">
        <f t="shared" si="13"/>
        <v>Los ÁngelesZH-2</v>
      </c>
    </row>
    <row r="889" spans="1:31" x14ac:dyDescent="0.25">
      <c r="A889" s="423">
        <v>888</v>
      </c>
      <c r="B889" s="423" t="s">
        <v>268</v>
      </c>
      <c r="C889" s="423" t="s">
        <v>1466</v>
      </c>
      <c r="D889" s="973" t="s">
        <v>990</v>
      </c>
      <c r="E889" s="973" t="s">
        <v>991</v>
      </c>
      <c r="F889" s="973" t="s">
        <v>992</v>
      </c>
      <c r="G889" s="973" t="s">
        <v>1997</v>
      </c>
      <c r="H889" s="973" t="s">
        <v>1998</v>
      </c>
      <c r="I889" s="973" t="s">
        <v>1999</v>
      </c>
      <c r="J889" s="973" t="s">
        <v>697</v>
      </c>
      <c r="K889" s="973" t="s">
        <v>995</v>
      </c>
      <c r="L889" s="973" t="s">
        <v>996</v>
      </c>
      <c r="M889" s="973" t="s">
        <v>2000</v>
      </c>
      <c r="N889" s="973" t="s">
        <v>2001</v>
      </c>
      <c r="O889" s="973" t="s">
        <v>1971</v>
      </c>
      <c r="P889" s="973" t="s">
        <v>999</v>
      </c>
      <c r="Q889" s="973" t="s">
        <v>1000</v>
      </c>
      <c r="R889" s="973" t="s">
        <v>1001</v>
      </c>
      <c r="S889" s="973" t="s">
        <v>1002</v>
      </c>
      <c r="T889" s="423">
        <v>500</v>
      </c>
      <c r="V889" s="423">
        <v>0.6</v>
      </c>
      <c r="W889" s="423" t="s">
        <v>1041</v>
      </c>
      <c r="X889" s="423" t="s">
        <v>2396</v>
      </c>
      <c r="Y889" s="423" t="s">
        <v>2003</v>
      </c>
      <c r="Z889" s="423" t="s">
        <v>2306</v>
      </c>
      <c r="AD889" s="423">
        <f>IF(ISNUMBER(MATCH(B889,'FICHA SOLIC'!$AB$26:$AB$376,0)),1,0)</f>
        <v>1</v>
      </c>
      <c r="AE889" s="423" t="str">
        <f t="shared" si="13"/>
        <v>Los ÁngelesZH-3</v>
      </c>
    </row>
    <row r="890" spans="1:31" x14ac:dyDescent="0.25">
      <c r="A890" s="423">
        <v>889</v>
      </c>
      <c r="B890" s="423" t="s">
        <v>268</v>
      </c>
      <c r="C890" s="423" t="s">
        <v>1467</v>
      </c>
      <c r="D890" s="973" t="s">
        <v>990</v>
      </c>
      <c r="E890" s="973" t="s">
        <v>991</v>
      </c>
      <c r="F890" s="973" t="s">
        <v>992</v>
      </c>
      <c r="G890" s="973" t="s">
        <v>1997</v>
      </c>
      <c r="H890" s="973" t="s">
        <v>1998</v>
      </c>
      <c r="I890" s="973" t="s">
        <v>1999</v>
      </c>
      <c r="J890" s="973" t="s">
        <v>697</v>
      </c>
      <c r="K890" s="973" t="s">
        <v>995</v>
      </c>
      <c r="L890" s="973" t="s">
        <v>996</v>
      </c>
      <c r="M890" s="973" t="s">
        <v>2000</v>
      </c>
      <c r="N890" s="973" t="s">
        <v>2001</v>
      </c>
      <c r="O890" s="973" t="s">
        <v>1971</v>
      </c>
      <c r="P890" s="973" t="s">
        <v>999</v>
      </c>
      <c r="Q890" s="973" t="s">
        <v>1000</v>
      </c>
      <c r="R890" s="973" t="s">
        <v>1001</v>
      </c>
      <c r="S890" s="973" t="s">
        <v>1002</v>
      </c>
      <c r="T890" s="423">
        <v>300</v>
      </c>
      <c r="V890" s="423">
        <v>0.6</v>
      </c>
      <c r="W890" s="423" t="s">
        <v>1041</v>
      </c>
      <c r="X890" s="423">
        <v>10.5</v>
      </c>
      <c r="Y890" s="423" t="s">
        <v>2003</v>
      </c>
      <c r="Z890" s="423" t="s">
        <v>1059</v>
      </c>
      <c r="AD890" s="423">
        <f>IF(ISNUMBER(MATCH(B890,'FICHA SOLIC'!$AB$26:$AB$376,0)),1,0)</f>
        <v>1</v>
      </c>
      <c r="AE890" s="423" t="str">
        <f t="shared" si="13"/>
        <v>Los ÁngelesZH-4</v>
      </c>
    </row>
    <row r="891" spans="1:31" x14ac:dyDescent="0.25">
      <c r="A891" s="423">
        <v>890</v>
      </c>
      <c r="B891" s="423" t="s">
        <v>268</v>
      </c>
      <c r="C891" s="423" t="s">
        <v>1468</v>
      </c>
      <c r="D891" s="973" t="s">
        <v>990</v>
      </c>
      <c r="E891" s="973" t="s">
        <v>991</v>
      </c>
      <c r="F891" s="973" t="s">
        <v>992</v>
      </c>
      <c r="G891" s="973" t="s">
        <v>1997</v>
      </c>
      <c r="H891" s="973" t="s">
        <v>1998</v>
      </c>
      <c r="I891" s="973" t="s">
        <v>1999</v>
      </c>
      <c r="J891" s="973" t="s">
        <v>697</v>
      </c>
      <c r="K891" s="973" t="s">
        <v>995</v>
      </c>
      <c r="L891" s="973" t="s">
        <v>996</v>
      </c>
      <c r="M891" s="973" t="s">
        <v>2000</v>
      </c>
      <c r="N891" s="973" t="s">
        <v>2001</v>
      </c>
      <c r="O891" s="973" t="s">
        <v>1971</v>
      </c>
      <c r="P891" s="973" t="s">
        <v>999</v>
      </c>
      <c r="Q891" s="973" t="s">
        <v>1000</v>
      </c>
      <c r="R891" s="973" t="s">
        <v>1001</v>
      </c>
      <c r="S891" s="973" t="s">
        <v>1002</v>
      </c>
      <c r="T891" s="423">
        <v>200</v>
      </c>
      <c r="V891" s="423">
        <v>0.6</v>
      </c>
      <c r="W891" s="423" t="s">
        <v>1041</v>
      </c>
      <c r="X891" s="423" t="s">
        <v>2396</v>
      </c>
      <c r="Y891" s="423" t="s">
        <v>2003</v>
      </c>
      <c r="Z891" s="423" t="s">
        <v>1059</v>
      </c>
      <c r="AD891" s="423">
        <f>IF(ISNUMBER(MATCH(B891,'FICHA SOLIC'!$AB$26:$AB$376,0)),1,0)</f>
        <v>1</v>
      </c>
      <c r="AE891" s="423" t="str">
        <f t="shared" si="13"/>
        <v>Los ÁngelesZH-5</v>
      </c>
    </row>
    <row r="892" spans="1:31" x14ac:dyDescent="0.25">
      <c r="A892" s="423">
        <v>891</v>
      </c>
      <c r="B892" s="423" t="s">
        <v>268</v>
      </c>
      <c r="C892" s="423" t="s">
        <v>1469</v>
      </c>
      <c r="D892" s="973" t="s">
        <v>990</v>
      </c>
      <c r="E892" s="973" t="s">
        <v>991</v>
      </c>
      <c r="F892" s="973" t="s">
        <v>992</v>
      </c>
      <c r="G892" s="973" t="s">
        <v>1997</v>
      </c>
      <c r="H892" s="973" t="s">
        <v>1998</v>
      </c>
      <c r="I892" s="973" t="s">
        <v>1999</v>
      </c>
      <c r="J892" s="973" t="s">
        <v>697</v>
      </c>
      <c r="K892" s="973" t="s">
        <v>995</v>
      </c>
      <c r="L892" s="973" t="s">
        <v>996</v>
      </c>
      <c r="M892" s="973" t="s">
        <v>2000</v>
      </c>
      <c r="N892" s="973" t="s">
        <v>2001</v>
      </c>
      <c r="O892" s="973" t="s">
        <v>1971</v>
      </c>
      <c r="P892" s="973" t="s">
        <v>999</v>
      </c>
      <c r="Q892" s="973" t="s">
        <v>1000</v>
      </c>
      <c r="R892" s="973" t="s">
        <v>1001</v>
      </c>
      <c r="S892" s="973" t="s">
        <v>1002</v>
      </c>
      <c r="T892" s="423">
        <v>200</v>
      </c>
      <c r="V892" s="423">
        <v>0.6</v>
      </c>
      <c r="W892" s="423" t="s">
        <v>1041</v>
      </c>
      <c r="X892" s="423" t="s">
        <v>2396</v>
      </c>
      <c r="Y892" s="423" t="s">
        <v>2003</v>
      </c>
      <c r="Z892" s="423" t="s">
        <v>1057</v>
      </c>
      <c r="AD892" s="423">
        <f>IF(ISNUMBER(MATCH(B892,'FICHA SOLIC'!$AB$26:$AB$376,0)),1,0)</f>
        <v>1</v>
      </c>
      <c r="AE892" s="423" t="str">
        <f t="shared" si="13"/>
        <v>Los ÁngelesZH-6</v>
      </c>
    </row>
    <row r="893" spans="1:31" x14ac:dyDescent="0.25">
      <c r="A893" s="423">
        <v>892</v>
      </c>
      <c r="B893" s="423" t="s">
        <v>268</v>
      </c>
      <c r="C893" s="423" t="s">
        <v>1470</v>
      </c>
      <c r="D893" s="973" t="s">
        <v>990</v>
      </c>
      <c r="E893" s="973" t="s">
        <v>991</v>
      </c>
      <c r="F893" s="973" t="s">
        <v>992</v>
      </c>
      <c r="G893" s="973" t="s">
        <v>1997</v>
      </c>
      <c r="H893" s="973" t="s">
        <v>1998</v>
      </c>
      <c r="I893" s="973" t="s">
        <v>1999</v>
      </c>
      <c r="J893" s="973" t="s">
        <v>697</v>
      </c>
      <c r="K893" s="973" t="s">
        <v>995</v>
      </c>
      <c r="L893" s="973" t="s">
        <v>996</v>
      </c>
      <c r="M893" s="973" t="s">
        <v>2000</v>
      </c>
      <c r="N893" s="973" t="s">
        <v>2001</v>
      </c>
      <c r="O893" s="973" t="s">
        <v>1971</v>
      </c>
      <c r="P893" s="973" t="s">
        <v>999</v>
      </c>
      <c r="Q893" s="973" t="s">
        <v>1000</v>
      </c>
      <c r="R893" s="973" t="s">
        <v>1001</v>
      </c>
      <c r="S893" s="973" t="s">
        <v>1002</v>
      </c>
      <c r="T893" s="423">
        <v>1500</v>
      </c>
      <c r="V893" s="423">
        <v>0.6</v>
      </c>
      <c r="W893" s="423" t="s">
        <v>1041</v>
      </c>
      <c r="X893" s="423" t="s">
        <v>2396</v>
      </c>
      <c r="Y893" s="423" t="s">
        <v>2003</v>
      </c>
      <c r="Z893" s="423" t="s">
        <v>1058</v>
      </c>
      <c r="AD893" s="423">
        <f>IF(ISNUMBER(MATCH(B893,'FICHA SOLIC'!$AB$26:$AB$376,0)),1,0)</f>
        <v>1</v>
      </c>
      <c r="AE893" s="423" t="str">
        <f t="shared" si="13"/>
        <v>Los ÁngelesZH-7</v>
      </c>
    </row>
    <row r="894" spans="1:31" x14ac:dyDescent="0.25">
      <c r="A894" s="423">
        <v>893</v>
      </c>
      <c r="B894" s="423" t="s">
        <v>268</v>
      </c>
      <c r="C894" s="423" t="s">
        <v>1153</v>
      </c>
      <c r="D894" s="973" t="s">
        <v>990</v>
      </c>
      <c r="E894" s="973" t="s">
        <v>991</v>
      </c>
      <c r="F894" s="973" t="s">
        <v>992</v>
      </c>
      <c r="G894" s="973" t="s">
        <v>1997</v>
      </c>
      <c r="H894" s="973" t="s">
        <v>1998</v>
      </c>
      <c r="I894" s="973" t="s">
        <v>1999</v>
      </c>
      <c r="J894" s="973" t="s">
        <v>697</v>
      </c>
      <c r="K894" s="973" t="s">
        <v>995</v>
      </c>
      <c r="L894" s="973" t="s">
        <v>996</v>
      </c>
      <c r="M894" s="973" t="s">
        <v>2000</v>
      </c>
      <c r="N894" s="973" t="s">
        <v>2001</v>
      </c>
      <c r="O894" s="973" t="s">
        <v>1971</v>
      </c>
      <c r="P894" s="973" t="s">
        <v>999</v>
      </c>
      <c r="Q894" s="973" t="s">
        <v>1000</v>
      </c>
      <c r="R894" s="973" t="s">
        <v>1001</v>
      </c>
      <c r="S894" s="973" t="s">
        <v>1002</v>
      </c>
      <c r="T894" s="423">
        <v>1000</v>
      </c>
      <c r="V894" s="423">
        <v>0.8</v>
      </c>
      <c r="W894" s="423" t="s">
        <v>1041</v>
      </c>
      <c r="X894" s="423" t="s">
        <v>2396</v>
      </c>
      <c r="Y894" s="423" t="s">
        <v>2003</v>
      </c>
      <c r="Z894" s="423" t="s">
        <v>1096</v>
      </c>
      <c r="AD894" s="423">
        <f>IF(ISNUMBER(MATCH(B894,'FICHA SOLIC'!$AB$26:$AB$376,0)),1,0)</f>
        <v>1</v>
      </c>
      <c r="AE894" s="423" t="str">
        <f t="shared" si="13"/>
        <v>Los ÁngelesZM-1</v>
      </c>
    </row>
    <row r="895" spans="1:31" x14ac:dyDescent="0.25">
      <c r="A895" s="423">
        <v>894</v>
      </c>
      <c r="B895" s="423" t="s">
        <v>268</v>
      </c>
      <c r="C895" s="423" t="s">
        <v>1154</v>
      </c>
      <c r="D895" s="973" t="s">
        <v>990</v>
      </c>
      <c r="E895" s="973" t="s">
        <v>991</v>
      </c>
      <c r="F895" s="973" t="s">
        <v>992</v>
      </c>
      <c r="G895" s="973" t="s">
        <v>1997</v>
      </c>
      <c r="H895" s="973" t="s">
        <v>1998</v>
      </c>
      <c r="I895" s="973" t="s">
        <v>1999</v>
      </c>
      <c r="J895" s="973" t="s">
        <v>697</v>
      </c>
      <c r="K895" s="973" t="s">
        <v>995</v>
      </c>
      <c r="L895" s="973" t="s">
        <v>996</v>
      </c>
      <c r="M895" s="973" t="s">
        <v>2000</v>
      </c>
      <c r="N895" s="973" t="s">
        <v>2001</v>
      </c>
      <c r="O895" s="973" t="s">
        <v>1971</v>
      </c>
      <c r="P895" s="973" t="s">
        <v>999</v>
      </c>
      <c r="Q895" s="973" t="s">
        <v>1000</v>
      </c>
      <c r="R895" s="973" t="s">
        <v>1001</v>
      </c>
      <c r="S895" s="973" t="s">
        <v>1002</v>
      </c>
      <c r="T895" s="423">
        <v>1000</v>
      </c>
      <c r="V895" s="423">
        <v>0.6</v>
      </c>
      <c r="W895" s="423" t="s">
        <v>1041</v>
      </c>
      <c r="X895" s="423" t="s">
        <v>2396</v>
      </c>
      <c r="Y895" s="423" t="s">
        <v>2003</v>
      </c>
      <c r="Z895" s="423" t="s">
        <v>1058</v>
      </c>
      <c r="AD895" s="423">
        <f>IF(ISNUMBER(MATCH(B895,'FICHA SOLIC'!$AB$26:$AB$376,0)),1,0)</f>
        <v>1</v>
      </c>
      <c r="AE895" s="423" t="str">
        <f t="shared" si="13"/>
        <v>Los ÁngelesZM-2</v>
      </c>
    </row>
    <row r="896" spans="1:31" x14ac:dyDescent="0.25">
      <c r="A896" s="423">
        <v>895</v>
      </c>
      <c r="B896" s="423" t="s">
        <v>268</v>
      </c>
      <c r="C896" s="423" t="s">
        <v>1155</v>
      </c>
      <c r="D896" s="973" t="s">
        <v>990</v>
      </c>
      <c r="E896" s="973" t="s">
        <v>991</v>
      </c>
      <c r="F896" s="973" t="s">
        <v>992</v>
      </c>
      <c r="G896" s="973" t="s">
        <v>1997</v>
      </c>
      <c r="H896" s="973" t="s">
        <v>1998</v>
      </c>
      <c r="I896" s="973" t="s">
        <v>1999</v>
      </c>
      <c r="J896" s="973" t="s">
        <v>697</v>
      </c>
      <c r="K896" s="973" t="s">
        <v>995</v>
      </c>
      <c r="L896" s="973" t="s">
        <v>996</v>
      </c>
      <c r="M896" s="973" t="s">
        <v>2000</v>
      </c>
      <c r="N896" s="973" t="s">
        <v>2001</v>
      </c>
      <c r="O896" s="973" t="s">
        <v>1971</v>
      </c>
      <c r="P896" s="973" t="s">
        <v>999</v>
      </c>
      <c r="Q896" s="973" t="s">
        <v>1000</v>
      </c>
      <c r="R896" s="973" t="s">
        <v>1001</v>
      </c>
      <c r="S896" s="973" t="s">
        <v>1002</v>
      </c>
      <c r="T896" s="423">
        <v>1000</v>
      </c>
      <c r="V896" s="423">
        <v>1</v>
      </c>
      <c r="W896" s="423" t="s">
        <v>1041</v>
      </c>
      <c r="X896" s="423" t="s">
        <v>2396</v>
      </c>
      <c r="Z896" s="423" t="s">
        <v>1096</v>
      </c>
      <c r="AD896" s="423">
        <f>IF(ISNUMBER(MATCH(B896,'FICHA SOLIC'!$AB$26:$AB$376,0)),1,0)</f>
        <v>1</v>
      </c>
      <c r="AE896" s="423" t="str">
        <f t="shared" si="13"/>
        <v>Los ÁngelesZM-3</v>
      </c>
    </row>
    <row r="897" spans="1:31" x14ac:dyDescent="0.25">
      <c r="A897" s="423">
        <v>896</v>
      </c>
      <c r="B897" s="423" t="s">
        <v>268</v>
      </c>
      <c r="C897" s="423" t="s">
        <v>1156</v>
      </c>
      <c r="D897" s="973" t="s">
        <v>990</v>
      </c>
      <c r="E897" s="973" t="s">
        <v>991</v>
      </c>
      <c r="F897" s="973" t="s">
        <v>992</v>
      </c>
      <c r="G897" s="973" t="s">
        <v>1997</v>
      </c>
      <c r="H897" s="973" t="s">
        <v>1998</v>
      </c>
      <c r="I897" s="973" t="s">
        <v>1999</v>
      </c>
      <c r="J897" s="973" t="s">
        <v>697</v>
      </c>
      <c r="K897" s="973" t="s">
        <v>995</v>
      </c>
      <c r="L897" s="973" t="s">
        <v>996</v>
      </c>
      <c r="M897" s="973" t="s">
        <v>2000</v>
      </c>
      <c r="N897" s="973" t="s">
        <v>2001</v>
      </c>
      <c r="O897" s="973" t="s">
        <v>1971</v>
      </c>
      <c r="P897" s="973" t="s">
        <v>999</v>
      </c>
      <c r="Q897" s="973" t="s">
        <v>1000</v>
      </c>
      <c r="R897" s="973" t="s">
        <v>1001</v>
      </c>
      <c r="S897" s="973" t="s">
        <v>1002</v>
      </c>
      <c r="T897" s="423">
        <v>800</v>
      </c>
      <c r="V897" s="423">
        <v>0.6</v>
      </c>
      <c r="W897" s="423" t="s">
        <v>1041</v>
      </c>
      <c r="X897" s="423" t="s">
        <v>2396</v>
      </c>
      <c r="Y897" s="423" t="s">
        <v>2003</v>
      </c>
      <c r="Z897" s="423" t="s">
        <v>1059</v>
      </c>
      <c r="AD897" s="423">
        <f>IF(ISNUMBER(MATCH(B897,'FICHA SOLIC'!$AB$26:$AB$376,0)),1,0)</f>
        <v>1</v>
      </c>
      <c r="AE897" s="423" t="str">
        <f t="shared" si="13"/>
        <v>Los ÁngelesZM-4</v>
      </c>
    </row>
    <row r="898" spans="1:31" x14ac:dyDescent="0.25">
      <c r="A898" s="423">
        <v>897</v>
      </c>
      <c r="B898" s="423" t="s">
        <v>268</v>
      </c>
      <c r="C898" s="423" t="s">
        <v>1157</v>
      </c>
      <c r="D898" s="973" t="s">
        <v>990</v>
      </c>
      <c r="E898" s="973" t="s">
        <v>991</v>
      </c>
      <c r="F898" s="973" t="s">
        <v>992</v>
      </c>
      <c r="G898" s="973" t="s">
        <v>1997</v>
      </c>
      <c r="H898" s="973" t="s">
        <v>1998</v>
      </c>
      <c r="I898" s="973" t="s">
        <v>1999</v>
      </c>
      <c r="J898" s="973" t="s">
        <v>697</v>
      </c>
      <c r="K898" s="973" t="s">
        <v>995</v>
      </c>
      <c r="L898" s="973" t="s">
        <v>996</v>
      </c>
      <c r="M898" s="973" t="s">
        <v>2000</v>
      </c>
      <c r="N898" s="973" t="s">
        <v>2001</v>
      </c>
      <c r="O898" s="973" t="s">
        <v>1971</v>
      </c>
      <c r="P898" s="973" t="s">
        <v>999</v>
      </c>
      <c r="Q898" s="973" t="s">
        <v>1000</v>
      </c>
      <c r="R898" s="973" t="s">
        <v>1001</v>
      </c>
      <c r="S898" s="973" t="s">
        <v>1002</v>
      </c>
      <c r="T898" s="423">
        <v>500</v>
      </c>
      <c r="V898" s="423">
        <v>0.6</v>
      </c>
      <c r="W898" s="423" t="s">
        <v>1041</v>
      </c>
      <c r="X898" s="423" t="s">
        <v>2396</v>
      </c>
      <c r="Y898" s="423" t="s">
        <v>2003</v>
      </c>
      <c r="Z898" s="423" t="s">
        <v>1057</v>
      </c>
      <c r="AD898" s="423">
        <f>IF(ISNUMBER(MATCH(B898,'FICHA SOLIC'!$AB$26:$AB$376,0)),1,0)</f>
        <v>1</v>
      </c>
      <c r="AE898" s="423" t="str">
        <f t="shared" si="13"/>
        <v>Los ÁngelesZM-5</v>
      </c>
    </row>
    <row r="899" spans="1:31" x14ac:dyDescent="0.25">
      <c r="A899" s="423">
        <v>898</v>
      </c>
      <c r="B899" s="423" t="s">
        <v>268</v>
      </c>
      <c r="C899" s="423" t="s">
        <v>1450</v>
      </c>
      <c r="D899" s="973" t="s">
        <v>990</v>
      </c>
      <c r="E899" s="973" t="s">
        <v>991</v>
      </c>
      <c r="F899" s="973" t="s">
        <v>992</v>
      </c>
      <c r="G899" s="973" t="s">
        <v>1997</v>
      </c>
      <c r="H899" s="973" t="s">
        <v>1998</v>
      </c>
      <c r="I899" s="973" t="s">
        <v>1999</v>
      </c>
      <c r="J899" s="973" t="s">
        <v>697</v>
      </c>
      <c r="K899" s="973" t="s">
        <v>995</v>
      </c>
      <c r="L899" s="973" t="s">
        <v>996</v>
      </c>
      <c r="M899" s="973" t="s">
        <v>2000</v>
      </c>
      <c r="N899" s="973" t="s">
        <v>2001</v>
      </c>
      <c r="O899" s="973" t="s">
        <v>1971</v>
      </c>
      <c r="P899" s="973" t="s">
        <v>999</v>
      </c>
      <c r="Q899" s="973" t="s">
        <v>1000</v>
      </c>
      <c r="R899" s="973" t="s">
        <v>1001</v>
      </c>
      <c r="S899" s="973" t="s">
        <v>1002</v>
      </c>
      <c r="T899" s="423">
        <v>500</v>
      </c>
      <c r="V899" s="423">
        <v>0.6</v>
      </c>
      <c r="W899" s="423" t="s">
        <v>1041</v>
      </c>
      <c r="X899" s="423" t="s">
        <v>2396</v>
      </c>
      <c r="Y899" s="423" t="s">
        <v>2003</v>
      </c>
      <c r="Z899" s="423" t="s">
        <v>1058</v>
      </c>
      <c r="AD899" s="423">
        <f>IF(ISNUMBER(MATCH(B899,'FICHA SOLIC'!$AB$26:$AB$376,0)),1,0)</f>
        <v>1</v>
      </c>
      <c r="AE899" s="423" t="str">
        <f t="shared" ref="AE899:AE962" si="14">B899&amp;C899</f>
        <v>Los ÁngelesZM-6</v>
      </c>
    </row>
    <row r="900" spans="1:31" x14ac:dyDescent="0.25">
      <c r="A900" s="423">
        <v>899</v>
      </c>
      <c r="B900" s="423" t="s">
        <v>268</v>
      </c>
      <c r="C900" s="423" t="s">
        <v>1451</v>
      </c>
      <c r="D900" s="973" t="s">
        <v>990</v>
      </c>
      <c r="E900" s="973" t="s">
        <v>991</v>
      </c>
      <c r="F900" s="973" t="s">
        <v>992</v>
      </c>
      <c r="G900" s="973" t="s">
        <v>1997</v>
      </c>
      <c r="H900" s="973" t="s">
        <v>1998</v>
      </c>
      <c r="I900" s="973" t="s">
        <v>1999</v>
      </c>
      <c r="J900" s="973" t="s">
        <v>697</v>
      </c>
      <c r="K900" s="973" t="s">
        <v>995</v>
      </c>
      <c r="L900" s="973" t="s">
        <v>996</v>
      </c>
      <c r="M900" s="973" t="s">
        <v>2000</v>
      </c>
      <c r="N900" s="973" t="s">
        <v>2001</v>
      </c>
      <c r="O900" s="973" t="s">
        <v>1971</v>
      </c>
      <c r="P900" s="973" t="s">
        <v>999</v>
      </c>
      <c r="Q900" s="973" t="s">
        <v>1000</v>
      </c>
      <c r="R900" s="973" t="s">
        <v>1001</v>
      </c>
      <c r="S900" s="973" t="s">
        <v>1002</v>
      </c>
      <c r="T900" s="423">
        <v>2500</v>
      </c>
      <c r="V900" s="423">
        <v>0.5</v>
      </c>
      <c r="W900" s="423" t="s">
        <v>1041</v>
      </c>
      <c r="X900" s="423" t="s">
        <v>2396</v>
      </c>
      <c r="Y900" s="423" t="s">
        <v>2003</v>
      </c>
      <c r="Z900" s="423" t="s">
        <v>1058</v>
      </c>
      <c r="AD900" s="423">
        <f>IF(ISNUMBER(MATCH(B900,'FICHA SOLIC'!$AB$26:$AB$376,0)),1,0)</f>
        <v>1</v>
      </c>
      <c r="AE900" s="423" t="str">
        <f t="shared" si="14"/>
        <v>Los ÁngelesZM-7</v>
      </c>
    </row>
    <row r="901" spans="1:31" x14ac:dyDescent="0.25">
      <c r="A901" s="423">
        <v>900</v>
      </c>
      <c r="B901" s="423" t="s">
        <v>268</v>
      </c>
      <c r="C901" s="423" t="s">
        <v>2401</v>
      </c>
      <c r="D901" s="973" t="s">
        <v>990</v>
      </c>
      <c r="E901" s="973" t="s">
        <v>991</v>
      </c>
      <c r="F901" s="973" t="s">
        <v>992</v>
      </c>
      <c r="G901" s="973" t="s">
        <v>1997</v>
      </c>
      <c r="H901" s="973" t="s">
        <v>1998</v>
      </c>
      <c r="I901" s="973" t="s">
        <v>1999</v>
      </c>
      <c r="J901" s="973" t="s">
        <v>697</v>
      </c>
      <c r="K901" s="973" t="s">
        <v>995</v>
      </c>
      <c r="L901" s="973" t="s">
        <v>996</v>
      </c>
      <c r="M901" s="973" t="s">
        <v>2000</v>
      </c>
      <c r="N901" s="973" t="s">
        <v>2001</v>
      </c>
      <c r="O901" s="973" t="s">
        <v>1971</v>
      </c>
      <c r="P901" s="973" t="s">
        <v>999</v>
      </c>
      <c r="Q901" s="973" t="s">
        <v>1000</v>
      </c>
      <c r="R901" s="973" t="s">
        <v>1001</v>
      </c>
      <c r="S901" s="973" t="s">
        <v>1002</v>
      </c>
      <c r="T901" s="423">
        <v>800</v>
      </c>
      <c r="V901" s="423">
        <v>0.4</v>
      </c>
      <c r="W901" s="423" t="s">
        <v>1041</v>
      </c>
      <c r="X901" s="423" t="s">
        <v>2396</v>
      </c>
      <c r="Y901" s="423" t="s">
        <v>2003</v>
      </c>
      <c r="Z901" s="423" t="s">
        <v>1058</v>
      </c>
      <c r="AD901" s="423">
        <f>IF(ISNUMBER(MATCH(B901,'FICHA SOLIC'!$AB$26:$AB$376,0)),1,0)</f>
        <v>1</v>
      </c>
      <c r="AE901" s="423" t="str">
        <f t="shared" si="14"/>
        <v>Los ÁngelesZM-8</v>
      </c>
    </row>
    <row r="902" spans="1:31" x14ac:dyDescent="0.25">
      <c r="A902" s="423">
        <v>901</v>
      </c>
      <c r="B902" s="423" t="s">
        <v>268</v>
      </c>
      <c r="C902" s="423" t="s">
        <v>2402</v>
      </c>
      <c r="D902" s="973" t="s">
        <v>990</v>
      </c>
      <c r="E902" s="973" t="s">
        <v>991</v>
      </c>
      <c r="F902" s="973" t="s">
        <v>992</v>
      </c>
      <c r="G902" s="973" t="s">
        <v>1997</v>
      </c>
      <c r="H902" s="973" t="s">
        <v>1998</v>
      </c>
      <c r="I902" s="973" t="s">
        <v>1999</v>
      </c>
      <c r="J902" s="973" t="s">
        <v>697</v>
      </c>
      <c r="K902" s="973" t="s">
        <v>995</v>
      </c>
      <c r="L902" s="973" t="s">
        <v>996</v>
      </c>
      <c r="M902" s="973" t="s">
        <v>2000</v>
      </c>
      <c r="N902" s="973" t="s">
        <v>2001</v>
      </c>
      <c r="O902" s="973" t="s">
        <v>1971</v>
      </c>
      <c r="P902" s="973" t="s">
        <v>999</v>
      </c>
      <c r="Q902" s="973" t="s">
        <v>1000</v>
      </c>
      <c r="R902" s="973" t="s">
        <v>1001</v>
      </c>
      <c r="S902" s="973" t="s">
        <v>1002</v>
      </c>
      <c r="T902" s="423">
        <v>1000</v>
      </c>
      <c r="V902" s="423">
        <v>0.6</v>
      </c>
      <c r="W902" s="423" t="s">
        <v>1041</v>
      </c>
      <c r="X902" s="423" t="s">
        <v>2396</v>
      </c>
      <c r="Z902" s="423" t="s">
        <v>1058</v>
      </c>
      <c r="AD902" s="423">
        <f>IF(ISNUMBER(MATCH(B902,'FICHA SOLIC'!$AB$26:$AB$376,0)),1,0)</f>
        <v>1</v>
      </c>
      <c r="AE902" s="423" t="str">
        <f t="shared" si="14"/>
        <v>Los ÁngelesZM-9</v>
      </c>
    </row>
    <row r="903" spans="1:31" x14ac:dyDescent="0.25">
      <c r="A903" s="423">
        <v>902</v>
      </c>
      <c r="B903" s="423" t="s">
        <v>268</v>
      </c>
      <c r="C903" s="423" t="s">
        <v>1494</v>
      </c>
      <c r="D903" s="973" t="s">
        <v>990</v>
      </c>
      <c r="E903" s="973" t="s">
        <v>991</v>
      </c>
      <c r="F903" s="973" t="s">
        <v>992</v>
      </c>
      <c r="G903" s="973" t="s">
        <v>1997</v>
      </c>
      <c r="H903" s="973" t="s">
        <v>1998</v>
      </c>
      <c r="I903" s="973" t="s">
        <v>1999</v>
      </c>
      <c r="J903" s="973" t="s">
        <v>697</v>
      </c>
      <c r="K903" s="973" t="s">
        <v>995</v>
      </c>
      <c r="L903" s="973" t="s">
        <v>996</v>
      </c>
      <c r="M903" s="973" t="s">
        <v>2000</v>
      </c>
      <c r="N903" s="973" t="s">
        <v>2001</v>
      </c>
      <c r="O903" s="973" t="s">
        <v>1971</v>
      </c>
      <c r="P903" s="973" t="s">
        <v>999</v>
      </c>
      <c r="Q903" s="973" t="s">
        <v>1000</v>
      </c>
      <c r="R903" s="973" t="s">
        <v>1001</v>
      </c>
      <c r="S903" s="973" t="s">
        <v>1002</v>
      </c>
      <c r="T903" s="423">
        <v>5000</v>
      </c>
      <c r="V903" s="423">
        <v>0.4</v>
      </c>
      <c r="W903" s="423" t="s">
        <v>1041</v>
      </c>
      <c r="X903" s="423" t="s">
        <v>2396</v>
      </c>
      <c r="Y903" s="423" t="s">
        <v>2003</v>
      </c>
      <c r="Z903" s="423" t="s">
        <v>1058</v>
      </c>
      <c r="AD903" s="423">
        <f>IF(ISNUMBER(MATCH(B903,'FICHA SOLIC'!$AB$26:$AB$376,0)),1,0)</f>
        <v>1</v>
      </c>
      <c r="AE903" s="423" t="str">
        <f t="shared" si="14"/>
        <v>Los ÁngelesZP</v>
      </c>
    </row>
    <row r="904" spans="1:31" x14ac:dyDescent="0.25">
      <c r="A904" s="423">
        <v>903</v>
      </c>
      <c r="B904" s="423" t="s">
        <v>268</v>
      </c>
      <c r="C904" s="423" t="s">
        <v>2403</v>
      </c>
      <c r="D904" s="973" t="s">
        <v>990</v>
      </c>
      <c r="E904" s="973" t="s">
        <v>991</v>
      </c>
      <c r="F904" s="973" t="s">
        <v>992</v>
      </c>
      <c r="G904" s="973" t="s">
        <v>1997</v>
      </c>
      <c r="H904" s="973" t="s">
        <v>1998</v>
      </c>
      <c r="I904" s="973" t="s">
        <v>1999</v>
      </c>
      <c r="J904" s="973" t="s">
        <v>697</v>
      </c>
      <c r="K904" s="973" t="s">
        <v>995</v>
      </c>
      <c r="L904" s="973" t="s">
        <v>996</v>
      </c>
      <c r="M904" s="973" t="s">
        <v>2000</v>
      </c>
      <c r="N904" s="973" t="s">
        <v>2001</v>
      </c>
      <c r="O904" s="973" t="s">
        <v>1971</v>
      </c>
      <c r="P904" s="973" t="s">
        <v>999</v>
      </c>
      <c r="Q904" s="973" t="s">
        <v>1000</v>
      </c>
      <c r="R904" s="973" t="s">
        <v>1001</v>
      </c>
      <c r="S904" s="973" t="s">
        <v>1002</v>
      </c>
      <c r="T904" s="423">
        <v>5000</v>
      </c>
      <c r="V904" s="423">
        <v>0.5</v>
      </c>
      <c r="W904" s="423" t="s">
        <v>1041</v>
      </c>
      <c r="X904" s="423" t="s">
        <v>2396</v>
      </c>
      <c r="Y904" s="423">
        <v>5</v>
      </c>
      <c r="Z904" s="423" t="s">
        <v>1058</v>
      </c>
      <c r="AD904" s="423">
        <f>IF(ISNUMBER(MATCH(B904,'FICHA SOLIC'!$AB$26:$AB$376,0)),1,0)</f>
        <v>1</v>
      </c>
      <c r="AE904" s="423" t="str">
        <f t="shared" si="14"/>
        <v>Los ÁngelesZP-1</v>
      </c>
    </row>
    <row r="905" spans="1:31" x14ac:dyDescent="0.25">
      <c r="A905" s="423">
        <v>904</v>
      </c>
      <c r="B905" s="423" t="s">
        <v>268</v>
      </c>
      <c r="C905" s="423" t="s">
        <v>2404</v>
      </c>
      <c r="D905" s="973" t="s">
        <v>990</v>
      </c>
      <c r="E905" s="973" t="s">
        <v>991</v>
      </c>
      <c r="F905" s="973" t="s">
        <v>992</v>
      </c>
      <c r="G905" s="973" t="s">
        <v>1997</v>
      </c>
      <c r="H905" s="973" t="s">
        <v>1998</v>
      </c>
      <c r="I905" s="973" t="s">
        <v>1999</v>
      </c>
      <c r="J905" s="973" t="s">
        <v>697</v>
      </c>
      <c r="K905" s="973" t="s">
        <v>995</v>
      </c>
      <c r="L905" s="973" t="s">
        <v>996</v>
      </c>
      <c r="M905" s="973" t="s">
        <v>2000</v>
      </c>
      <c r="N905" s="973" t="s">
        <v>2001</v>
      </c>
      <c r="O905" s="973" t="s">
        <v>1971</v>
      </c>
      <c r="P905" s="973" t="s">
        <v>999</v>
      </c>
      <c r="Q905" s="973" t="s">
        <v>1000</v>
      </c>
      <c r="R905" s="973" t="s">
        <v>1001</v>
      </c>
      <c r="S905" s="973" t="s">
        <v>1002</v>
      </c>
      <c r="T905" s="423">
        <v>1000</v>
      </c>
      <c r="V905" s="423">
        <v>0.5</v>
      </c>
      <c r="W905" s="423" t="s">
        <v>1041</v>
      </c>
      <c r="X905" s="423" t="s">
        <v>2396</v>
      </c>
      <c r="Y905" s="423">
        <v>3</v>
      </c>
      <c r="Z905" s="423" t="s">
        <v>1058</v>
      </c>
      <c r="AD905" s="423">
        <f>IF(ISNUMBER(MATCH(B905,'FICHA SOLIC'!$AB$26:$AB$376,0)),1,0)</f>
        <v>1</v>
      </c>
      <c r="AE905" s="423" t="str">
        <f t="shared" si="14"/>
        <v>Los ÁngelesZP-2</v>
      </c>
    </row>
    <row r="906" spans="1:31" x14ac:dyDescent="0.25">
      <c r="A906" s="423">
        <v>905</v>
      </c>
      <c r="B906" s="423" t="s">
        <v>268</v>
      </c>
      <c r="C906" s="423" t="s">
        <v>2405</v>
      </c>
      <c r="D906" s="973" t="s">
        <v>990</v>
      </c>
      <c r="E906" s="973" t="s">
        <v>991</v>
      </c>
      <c r="F906" s="973" t="s">
        <v>992</v>
      </c>
      <c r="G906" s="973" t="s">
        <v>1997</v>
      </c>
      <c r="H906" s="973" t="s">
        <v>1998</v>
      </c>
      <c r="I906" s="973" t="s">
        <v>1999</v>
      </c>
      <c r="J906" s="973" t="s">
        <v>697</v>
      </c>
      <c r="K906" s="973" t="s">
        <v>995</v>
      </c>
      <c r="L906" s="973" t="s">
        <v>996</v>
      </c>
      <c r="M906" s="973" t="s">
        <v>2000</v>
      </c>
      <c r="N906" s="973" t="s">
        <v>2001</v>
      </c>
      <c r="O906" s="973" t="s">
        <v>1971</v>
      </c>
      <c r="P906" s="973" t="s">
        <v>999</v>
      </c>
      <c r="Q906" s="973" t="s">
        <v>1000</v>
      </c>
      <c r="R906" s="973" t="s">
        <v>1001</v>
      </c>
      <c r="S906" s="973" t="s">
        <v>1002</v>
      </c>
      <c r="T906" s="423">
        <v>800</v>
      </c>
      <c r="V906" s="423">
        <v>0.4</v>
      </c>
      <c r="W906" s="423" t="s">
        <v>1041</v>
      </c>
      <c r="X906" s="423" t="s">
        <v>2396</v>
      </c>
      <c r="Y906" s="423" t="s">
        <v>2003</v>
      </c>
      <c r="Z906" s="423" t="s">
        <v>1058</v>
      </c>
      <c r="AD906" s="423">
        <f>IF(ISNUMBER(MATCH(B906,'FICHA SOLIC'!$AB$26:$AB$376,0)),1,0)</f>
        <v>1</v>
      </c>
      <c r="AE906" s="423" t="str">
        <f t="shared" si="14"/>
        <v>Los ÁngelesZT</v>
      </c>
    </row>
    <row r="907" spans="1:31" x14ac:dyDescent="0.25">
      <c r="A907" s="423">
        <v>906</v>
      </c>
      <c r="B907" s="423" t="s">
        <v>137</v>
      </c>
      <c r="C907" s="423" t="s">
        <v>1041</v>
      </c>
      <c r="D907" s="973" t="s">
        <v>990</v>
      </c>
      <c r="E907" s="973" t="s">
        <v>991</v>
      </c>
      <c r="F907" s="973" t="s">
        <v>992</v>
      </c>
      <c r="G907" s="973" t="s">
        <v>1997</v>
      </c>
      <c r="H907" s="973" t="s">
        <v>1998</v>
      </c>
      <c r="I907" s="973" t="s">
        <v>1999</v>
      </c>
      <c r="J907" s="973" t="s">
        <v>697</v>
      </c>
      <c r="K907" s="973" t="s">
        <v>995</v>
      </c>
      <c r="L907" s="973" t="s">
        <v>996</v>
      </c>
      <c r="M907" s="973" t="s">
        <v>2000</v>
      </c>
      <c r="N907" s="973" t="s">
        <v>2001</v>
      </c>
      <c r="O907" s="973" t="s">
        <v>1971</v>
      </c>
      <c r="P907" s="973" t="s">
        <v>999</v>
      </c>
      <c r="Q907" s="973" t="s">
        <v>1000</v>
      </c>
      <c r="R907" s="973" t="s">
        <v>1001</v>
      </c>
      <c r="S907" s="973" t="s">
        <v>1002</v>
      </c>
      <c r="T907" s="423" t="s">
        <v>1041</v>
      </c>
      <c r="U907" s="423" t="s">
        <v>1041</v>
      </c>
      <c r="V907" s="423" t="s">
        <v>1041</v>
      </c>
      <c r="W907" s="423" t="s">
        <v>1041</v>
      </c>
      <c r="X907" s="423" t="s">
        <v>1041</v>
      </c>
      <c r="Y907" s="423" t="s">
        <v>1041</v>
      </c>
      <c r="Z907" s="423" t="s">
        <v>1041</v>
      </c>
      <c r="AD907" s="423">
        <f>IF(ISNUMBER(MATCH(B907,'FICHA SOLIC'!$AB$26:$AB$376,0)),1,0)</f>
        <v>1</v>
      </c>
      <c r="AE907" s="423" t="str">
        <f t="shared" si="14"/>
        <v>Los VilosOGUC</v>
      </c>
    </row>
    <row r="908" spans="1:31" x14ac:dyDescent="0.25">
      <c r="A908" s="423">
        <v>907</v>
      </c>
      <c r="B908" s="423" t="s">
        <v>191</v>
      </c>
      <c r="C908" s="423" t="s">
        <v>1456</v>
      </c>
      <c r="D908" s="973" t="s">
        <v>990</v>
      </c>
      <c r="E908" s="973" t="s">
        <v>991</v>
      </c>
      <c r="F908" s="973" t="s">
        <v>992</v>
      </c>
      <c r="G908" s="973" t="s">
        <v>1997</v>
      </c>
      <c r="H908" s="973" t="s">
        <v>1998</v>
      </c>
      <c r="I908" s="973" t="s">
        <v>1999</v>
      </c>
      <c r="J908" s="973" t="s">
        <v>697</v>
      </c>
      <c r="K908" s="973" t="s">
        <v>995</v>
      </c>
      <c r="L908" s="973" t="s">
        <v>996</v>
      </c>
      <c r="M908" s="973" t="s">
        <v>2000</v>
      </c>
      <c r="N908" s="973" t="s">
        <v>2001</v>
      </c>
      <c r="O908" s="973" t="s">
        <v>1971</v>
      </c>
      <c r="P908" s="973" t="s">
        <v>999</v>
      </c>
      <c r="Q908" s="973" t="s">
        <v>1000</v>
      </c>
      <c r="R908" s="973" t="s">
        <v>1001</v>
      </c>
      <c r="S908" s="973" t="s">
        <v>1002</v>
      </c>
      <c r="T908" s="423">
        <v>250</v>
      </c>
      <c r="V908" s="423">
        <v>0.7</v>
      </c>
      <c r="W908" s="423">
        <v>1.5</v>
      </c>
      <c r="X908" s="423">
        <v>8</v>
      </c>
      <c r="Z908" s="423" t="s">
        <v>1270</v>
      </c>
      <c r="AD908" s="423">
        <f>IF(ISNUMBER(MATCH(B908,'FICHA SOLIC'!$AB$26:$AB$376,0)),1,0)</f>
        <v>1</v>
      </c>
      <c r="AE908" s="423" t="str">
        <f t="shared" si="14"/>
        <v>MachalíZCH</v>
      </c>
    </row>
    <row r="909" spans="1:31" x14ac:dyDescent="0.25">
      <c r="A909" s="423">
        <v>908</v>
      </c>
      <c r="B909" s="423" t="s">
        <v>191</v>
      </c>
      <c r="C909" s="423" t="s">
        <v>1241</v>
      </c>
      <c r="D909" s="973" t="s">
        <v>990</v>
      </c>
      <c r="E909" s="973" t="s">
        <v>991</v>
      </c>
      <c r="F909" s="973" t="s">
        <v>992</v>
      </c>
      <c r="G909" s="973" t="s">
        <v>1997</v>
      </c>
      <c r="H909" s="973" t="s">
        <v>1998</v>
      </c>
      <c r="I909" s="973" t="s">
        <v>1999</v>
      </c>
      <c r="J909" s="973" t="s">
        <v>697</v>
      </c>
      <c r="K909" s="973" t="s">
        <v>995</v>
      </c>
      <c r="L909" s="973" t="s">
        <v>996</v>
      </c>
      <c r="M909" s="973" t="s">
        <v>2000</v>
      </c>
      <c r="N909" s="973" t="s">
        <v>2001</v>
      </c>
      <c r="O909" s="973" t="s">
        <v>1971</v>
      </c>
      <c r="P909" s="973" t="s">
        <v>999</v>
      </c>
      <c r="Q909" s="973" t="s">
        <v>1000</v>
      </c>
      <c r="R909" s="973" t="s">
        <v>1001</v>
      </c>
      <c r="S909" s="973" t="s">
        <v>1002</v>
      </c>
      <c r="T909" s="423">
        <v>200</v>
      </c>
      <c r="V909" s="423">
        <v>0.7</v>
      </c>
      <c r="W909" s="423">
        <v>1.5</v>
      </c>
      <c r="X909" s="423">
        <v>7.5</v>
      </c>
      <c r="Z909" s="423" t="s">
        <v>1057</v>
      </c>
      <c r="AD909" s="423">
        <f>IF(ISNUMBER(MATCH(B909,'FICHA SOLIC'!$AB$26:$AB$376,0)),1,0)</f>
        <v>1</v>
      </c>
      <c r="AE909" s="423" t="str">
        <f t="shared" si="14"/>
        <v>MachalíZU-1</v>
      </c>
    </row>
    <row r="910" spans="1:31" x14ac:dyDescent="0.25">
      <c r="A910" s="423">
        <v>909</v>
      </c>
      <c r="B910" s="423" t="s">
        <v>191</v>
      </c>
      <c r="C910" s="423" t="s">
        <v>2283</v>
      </c>
      <c r="D910" s="973" t="s">
        <v>990</v>
      </c>
      <c r="E910" s="973" t="s">
        <v>991</v>
      </c>
      <c r="F910" s="973" t="s">
        <v>992</v>
      </c>
      <c r="G910" s="973" t="s">
        <v>1997</v>
      </c>
      <c r="H910" s="973" t="s">
        <v>1998</v>
      </c>
      <c r="I910" s="973" t="s">
        <v>1999</v>
      </c>
      <c r="J910" s="973" t="s">
        <v>697</v>
      </c>
      <c r="K910" s="973" t="s">
        <v>995</v>
      </c>
      <c r="L910" s="973" t="s">
        <v>996</v>
      </c>
      <c r="M910" s="973" t="s">
        <v>2000</v>
      </c>
      <c r="N910" s="973" t="s">
        <v>2001</v>
      </c>
      <c r="O910" s="973" t="s">
        <v>1971</v>
      </c>
      <c r="P910" s="973" t="s">
        <v>999</v>
      </c>
      <c r="Q910" s="973" t="s">
        <v>1000</v>
      </c>
      <c r="R910" s="973" t="s">
        <v>1001</v>
      </c>
      <c r="S910" s="973" t="s">
        <v>1002</v>
      </c>
      <c r="T910" s="423">
        <v>560</v>
      </c>
      <c r="V910" s="423">
        <v>0.6</v>
      </c>
      <c r="W910" s="423">
        <v>0.7</v>
      </c>
      <c r="X910" s="423">
        <v>7.5</v>
      </c>
      <c r="Z910" s="423" t="s">
        <v>1057</v>
      </c>
      <c r="AD910" s="423">
        <f>IF(ISNUMBER(MATCH(B910,'FICHA SOLIC'!$AB$26:$AB$376,0)),1,0)</f>
        <v>1</v>
      </c>
      <c r="AE910" s="423" t="str">
        <f t="shared" si="14"/>
        <v>MachalíZU-10</v>
      </c>
    </row>
    <row r="911" spans="1:31" x14ac:dyDescent="0.25">
      <c r="A911" s="423">
        <v>910</v>
      </c>
      <c r="B911" s="423" t="s">
        <v>191</v>
      </c>
      <c r="C911" s="423" t="s">
        <v>2045</v>
      </c>
      <c r="D911" s="973" t="s">
        <v>990</v>
      </c>
      <c r="E911" s="973" t="s">
        <v>991</v>
      </c>
      <c r="F911" s="973" t="s">
        <v>992</v>
      </c>
      <c r="G911" s="973" t="s">
        <v>1997</v>
      </c>
      <c r="H911" s="973" t="s">
        <v>1998</v>
      </c>
      <c r="I911" s="973" t="s">
        <v>1999</v>
      </c>
      <c r="J911" s="973" t="s">
        <v>697</v>
      </c>
      <c r="K911" s="973" t="s">
        <v>995</v>
      </c>
      <c r="L911" s="973" t="s">
        <v>996</v>
      </c>
      <c r="M911" s="973" t="s">
        <v>2000</v>
      </c>
      <c r="N911" s="973" t="s">
        <v>2001</v>
      </c>
      <c r="O911" s="973" t="s">
        <v>1971</v>
      </c>
      <c r="P911" s="973" t="s">
        <v>999</v>
      </c>
      <c r="Q911" s="973" t="s">
        <v>1000</v>
      </c>
      <c r="R911" s="973" t="s">
        <v>1001</v>
      </c>
      <c r="S911" s="973" t="s">
        <v>1002</v>
      </c>
      <c r="T911" s="423">
        <v>150</v>
      </c>
      <c r="V911" s="423">
        <v>0.6</v>
      </c>
      <c r="W911" s="423">
        <v>1.5</v>
      </c>
      <c r="X911" s="423">
        <v>7.5</v>
      </c>
      <c r="Z911" s="423" t="s">
        <v>1057</v>
      </c>
      <c r="AD911" s="423">
        <f>IF(ISNUMBER(MATCH(B911,'FICHA SOLIC'!$AB$26:$AB$376,0)),1,0)</f>
        <v>1</v>
      </c>
      <c r="AE911" s="423" t="str">
        <f t="shared" si="14"/>
        <v>MachalíZU-11</v>
      </c>
    </row>
    <row r="912" spans="1:31" x14ac:dyDescent="0.25">
      <c r="A912" s="423">
        <v>911</v>
      </c>
      <c r="B912" s="423" t="s">
        <v>191</v>
      </c>
      <c r="C912" s="423" t="s">
        <v>2047</v>
      </c>
      <c r="D912" s="973" t="s">
        <v>990</v>
      </c>
      <c r="E912" s="973" t="s">
        <v>991</v>
      </c>
      <c r="F912" s="973" t="s">
        <v>992</v>
      </c>
      <c r="G912" s="973" t="s">
        <v>1997</v>
      </c>
      <c r="H912" s="973" t="s">
        <v>1998</v>
      </c>
      <c r="I912" s="973" t="s">
        <v>1999</v>
      </c>
      <c r="J912" s="973" t="s">
        <v>697</v>
      </c>
      <c r="K912" s="973" t="s">
        <v>995</v>
      </c>
      <c r="L912" s="973" t="s">
        <v>996</v>
      </c>
      <c r="M912" s="973" t="s">
        <v>2000</v>
      </c>
      <c r="N912" s="973" t="s">
        <v>2001</v>
      </c>
      <c r="O912" s="973" t="s">
        <v>1971</v>
      </c>
      <c r="P912" s="973" t="s">
        <v>999</v>
      </c>
      <c r="Q912" s="973" t="s">
        <v>1000</v>
      </c>
      <c r="R912" s="973" t="s">
        <v>1001</v>
      </c>
      <c r="S912" s="973" t="s">
        <v>1002</v>
      </c>
      <c r="T912" s="423">
        <v>300</v>
      </c>
      <c r="V912" s="423">
        <v>0.6</v>
      </c>
      <c r="W912" s="423">
        <v>0.7</v>
      </c>
      <c r="X912" s="423">
        <v>7.5</v>
      </c>
      <c r="Z912" s="423" t="s">
        <v>1058</v>
      </c>
      <c r="AD912" s="423">
        <f>IF(ISNUMBER(MATCH(B912,'FICHA SOLIC'!$AB$26:$AB$376,0)),1,0)</f>
        <v>1</v>
      </c>
      <c r="AE912" s="423" t="str">
        <f t="shared" si="14"/>
        <v>MachalíZU-12</v>
      </c>
    </row>
    <row r="913" spans="1:31" x14ac:dyDescent="0.25">
      <c r="A913" s="423">
        <v>912</v>
      </c>
      <c r="B913" s="423" t="s">
        <v>191</v>
      </c>
      <c r="C913" s="423" t="s">
        <v>1242</v>
      </c>
      <c r="D913" s="973" t="s">
        <v>990</v>
      </c>
      <c r="E913" s="973" t="s">
        <v>991</v>
      </c>
      <c r="F913" s="973" t="s">
        <v>992</v>
      </c>
      <c r="G913" s="973" t="s">
        <v>1997</v>
      </c>
      <c r="H913" s="973" t="s">
        <v>1998</v>
      </c>
      <c r="I913" s="973" t="s">
        <v>1999</v>
      </c>
      <c r="J913" s="973" t="s">
        <v>697</v>
      </c>
      <c r="K913" s="973" t="s">
        <v>995</v>
      </c>
      <c r="L913" s="973" t="s">
        <v>996</v>
      </c>
      <c r="M913" s="973" t="s">
        <v>2000</v>
      </c>
      <c r="N913" s="973" t="s">
        <v>2001</v>
      </c>
      <c r="O913" s="973" t="s">
        <v>1971</v>
      </c>
      <c r="P913" s="973" t="s">
        <v>999</v>
      </c>
      <c r="Q913" s="973" t="s">
        <v>1000</v>
      </c>
      <c r="R913" s="973" t="s">
        <v>1001</v>
      </c>
      <c r="S913" s="973" t="s">
        <v>1002</v>
      </c>
      <c r="T913" s="423">
        <v>100</v>
      </c>
      <c r="V913" s="423">
        <v>0.78</v>
      </c>
      <c r="W913" s="423">
        <v>1.95</v>
      </c>
      <c r="X913" s="423">
        <v>9</v>
      </c>
      <c r="Z913" s="423" t="s">
        <v>1057</v>
      </c>
      <c r="AD913" s="423">
        <f>IF(ISNUMBER(MATCH(B913,'FICHA SOLIC'!$AB$26:$AB$376,0)),1,0)</f>
        <v>1</v>
      </c>
      <c r="AE913" s="423" t="str">
        <f t="shared" si="14"/>
        <v>MachalíZU-2</v>
      </c>
    </row>
    <row r="914" spans="1:31" x14ac:dyDescent="0.25">
      <c r="A914" s="423">
        <v>913</v>
      </c>
      <c r="B914" s="423" t="s">
        <v>191</v>
      </c>
      <c r="C914" s="423" t="s">
        <v>1243</v>
      </c>
      <c r="D914" s="973" t="s">
        <v>990</v>
      </c>
      <c r="E914" s="973" t="s">
        <v>991</v>
      </c>
      <c r="F914" s="973" t="s">
        <v>992</v>
      </c>
      <c r="G914" s="973" t="s">
        <v>1997</v>
      </c>
      <c r="H914" s="973" t="s">
        <v>1998</v>
      </c>
      <c r="I914" s="973" t="s">
        <v>1999</v>
      </c>
      <c r="J914" s="973" t="s">
        <v>697</v>
      </c>
      <c r="K914" s="973" t="s">
        <v>995</v>
      </c>
      <c r="L914" s="973" t="s">
        <v>996</v>
      </c>
      <c r="M914" s="973" t="s">
        <v>2000</v>
      </c>
      <c r="N914" s="973" t="s">
        <v>2001</v>
      </c>
      <c r="O914" s="973" t="s">
        <v>1971</v>
      </c>
      <c r="P914" s="973" t="s">
        <v>999</v>
      </c>
      <c r="Q914" s="973" t="s">
        <v>1000</v>
      </c>
      <c r="R914" s="973" t="s">
        <v>1001</v>
      </c>
      <c r="S914" s="973" t="s">
        <v>1002</v>
      </c>
      <c r="T914" s="423">
        <v>210</v>
      </c>
      <c r="V914" s="423">
        <v>0.78</v>
      </c>
      <c r="W914" s="423">
        <v>1.3</v>
      </c>
      <c r="X914" s="423">
        <v>9</v>
      </c>
      <c r="Z914" s="423" t="s">
        <v>1057</v>
      </c>
      <c r="AD914" s="423">
        <f>IF(ISNUMBER(MATCH(B914,'FICHA SOLIC'!$AB$26:$AB$376,0)),1,0)</f>
        <v>1</v>
      </c>
      <c r="AE914" s="423" t="str">
        <f t="shared" si="14"/>
        <v>MachalíZU-3</v>
      </c>
    </row>
    <row r="915" spans="1:31" x14ac:dyDescent="0.25">
      <c r="A915" s="423">
        <v>914</v>
      </c>
      <c r="B915" s="423" t="s">
        <v>191</v>
      </c>
      <c r="C915" s="423" t="s">
        <v>1244</v>
      </c>
      <c r="D915" s="973" t="s">
        <v>990</v>
      </c>
      <c r="E915" s="973" t="s">
        <v>991</v>
      </c>
      <c r="F915" s="973" t="s">
        <v>992</v>
      </c>
      <c r="G915" s="973" t="s">
        <v>1997</v>
      </c>
      <c r="H915" s="973" t="s">
        <v>1998</v>
      </c>
      <c r="I915" s="973" t="s">
        <v>1999</v>
      </c>
      <c r="J915" s="973" t="s">
        <v>697</v>
      </c>
      <c r="K915" s="973" t="s">
        <v>995</v>
      </c>
      <c r="L915" s="973" t="s">
        <v>996</v>
      </c>
      <c r="M915" s="973" t="s">
        <v>2000</v>
      </c>
      <c r="N915" s="973" t="s">
        <v>2001</v>
      </c>
      <c r="O915" s="973" t="s">
        <v>1971</v>
      </c>
      <c r="P915" s="973" t="s">
        <v>999</v>
      </c>
      <c r="Q915" s="973" t="s">
        <v>1000</v>
      </c>
      <c r="R915" s="973" t="s">
        <v>1001</v>
      </c>
      <c r="S915" s="973" t="s">
        <v>1002</v>
      </c>
      <c r="T915" s="423">
        <v>156</v>
      </c>
      <c r="V915" s="423">
        <v>0.42</v>
      </c>
      <c r="W915" s="423">
        <v>0.7</v>
      </c>
      <c r="X915" s="423">
        <v>6</v>
      </c>
      <c r="Z915" s="423" t="s">
        <v>1057</v>
      </c>
      <c r="AD915" s="423">
        <f>IF(ISNUMBER(MATCH(B915,'FICHA SOLIC'!$AB$26:$AB$376,0)),1,0)</f>
        <v>1</v>
      </c>
      <c r="AE915" s="423" t="str">
        <f t="shared" si="14"/>
        <v>MachalíZU-4</v>
      </c>
    </row>
    <row r="916" spans="1:31" x14ac:dyDescent="0.25">
      <c r="A916" s="423">
        <v>915</v>
      </c>
      <c r="B916" s="423" t="s">
        <v>191</v>
      </c>
      <c r="C916" s="423" t="s">
        <v>1245</v>
      </c>
      <c r="D916" s="973" t="s">
        <v>990</v>
      </c>
      <c r="E916" s="973" t="s">
        <v>991</v>
      </c>
      <c r="F916" s="973" t="s">
        <v>992</v>
      </c>
      <c r="G916" s="973" t="s">
        <v>1997</v>
      </c>
      <c r="H916" s="973" t="s">
        <v>1998</v>
      </c>
      <c r="I916" s="973" t="s">
        <v>1999</v>
      </c>
      <c r="J916" s="973" t="s">
        <v>697</v>
      </c>
      <c r="K916" s="973" t="s">
        <v>995</v>
      </c>
      <c r="L916" s="973" t="s">
        <v>996</v>
      </c>
      <c r="M916" s="973" t="s">
        <v>2000</v>
      </c>
      <c r="N916" s="973" t="s">
        <v>2001</v>
      </c>
      <c r="O916" s="973" t="s">
        <v>1971</v>
      </c>
      <c r="P916" s="973" t="s">
        <v>999</v>
      </c>
      <c r="Q916" s="973" t="s">
        <v>1000</v>
      </c>
      <c r="R916" s="973" t="s">
        <v>1001</v>
      </c>
      <c r="S916" s="973" t="s">
        <v>1002</v>
      </c>
      <c r="T916" s="423">
        <v>300</v>
      </c>
      <c r="V916" s="423">
        <v>0.6</v>
      </c>
      <c r="W916" s="423">
        <v>1</v>
      </c>
      <c r="X916" s="423">
        <v>7.5</v>
      </c>
      <c r="Z916" s="423" t="s">
        <v>1057</v>
      </c>
      <c r="AD916" s="423">
        <f>IF(ISNUMBER(MATCH(B916,'FICHA SOLIC'!$AB$26:$AB$376,0)),1,0)</f>
        <v>1</v>
      </c>
      <c r="AE916" s="423" t="str">
        <f t="shared" si="14"/>
        <v>MachalíZU-5</v>
      </c>
    </row>
    <row r="917" spans="1:31" x14ac:dyDescent="0.25">
      <c r="A917" s="423">
        <v>916</v>
      </c>
      <c r="B917" s="423" t="s">
        <v>191</v>
      </c>
      <c r="C917" s="423" t="s">
        <v>1246</v>
      </c>
      <c r="D917" s="973" t="s">
        <v>990</v>
      </c>
      <c r="E917" s="973" t="s">
        <v>991</v>
      </c>
      <c r="F917" s="973" t="s">
        <v>992</v>
      </c>
      <c r="G917" s="973" t="s">
        <v>1997</v>
      </c>
      <c r="H917" s="973" t="s">
        <v>1998</v>
      </c>
      <c r="I917" s="973" t="s">
        <v>1999</v>
      </c>
      <c r="J917" s="973" t="s">
        <v>697</v>
      </c>
      <c r="K917" s="973" t="s">
        <v>995</v>
      </c>
      <c r="L917" s="973" t="s">
        <v>996</v>
      </c>
      <c r="M917" s="973" t="s">
        <v>2000</v>
      </c>
      <c r="N917" s="973" t="s">
        <v>2001</v>
      </c>
      <c r="O917" s="973" t="s">
        <v>1971</v>
      </c>
      <c r="P917" s="973" t="s">
        <v>999</v>
      </c>
      <c r="Q917" s="973" t="s">
        <v>1000</v>
      </c>
      <c r="R917" s="973" t="s">
        <v>1001</v>
      </c>
      <c r="S917" s="973" t="s">
        <v>1002</v>
      </c>
      <c r="T917" s="423">
        <v>300</v>
      </c>
      <c r="V917" s="423">
        <v>0.6</v>
      </c>
      <c r="W917" s="423">
        <v>1</v>
      </c>
      <c r="X917" s="423">
        <v>7.5</v>
      </c>
      <c r="Z917" s="423" t="s">
        <v>1057</v>
      </c>
      <c r="AD917" s="423">
        <f>IF(ISNUMBER(MATCH(B917,'FICHA SOLIC'!$AB$26:$AB$376,0)),1,0)</f>
        <v>1</v>
      </c>
      <c r="AE917" s="423" t="str">
        <f t="shared" si="14"/>
        <v>MachalíZU-6</v>
      </c>
    </row>
    <row r="918" spans="1:31" x14ac:dyDescent="0.25">
      <c r="A918" s="423">
        <v>917</v>
      </c>
      <c r="B918" s="423" t="s">
        <v>191</v>
      </c>
      <c r="C918" s="423" t="s">
        <v>1247</v>
      </c>
      <c r="D918" s="973" t="s">
        <v>990</v>
      </c>
      <c r="E918" s="973" t="s">
        <v>991</v>
      </c>
      <c r="F918" s="973" t="s">
        <v>992</v>
      </c>
      <c r="G918" s="973" t="s">
        <v>1997</v>
      </c>
      <c r="H918" s="973" t="s">
        <v>1998</v>
      </c>
      <c r="I918" s="973" t="s">
        <v>1999</v>
      </c>
      <c r="J918" s="973" t="s">
        <v>697</v>
      </c>
      <c r="K918" s="973" t="s">
        <v>995</v>
      </c>
      <c r="L918" s="973" t="s">
        <v>996</v>
      </c>
      <c r="M918" s="973" t="s">
        <v>2000</v>
      </c>
      <c r="N918" s="973" t="s">
        <v>2001</v>
      </c>
      <c r="O918" s="973" t="s">
        <v>1971</v>
      </c>
      <c r="P918" s="973" t="s">
        <v>999</v>
      </c>
      <c r="Q918" s="973" t="s">
        <v>1000</v>
      </c>
      <c r="R918" s="973" t="s">
        <v>1001</v>
      </c>
      <c r="S918" s="973" t="s">
        <v>1002</v>
      </c>
      <c r="T918" s="423">
        <v>200</v>
      </c>
      <c r="V918" s="423">
        <v>0.6</v>
      </c>
      <c r="W918" s="423">
        <v>1.5</v>
      </c>
      <c r="X918" s="423">
        <v>7.5</v>
      </c>
      <c r="Z918" s="423" t="s">
        <v>1057</v>
      </c>
      <c r="AD918" s="423">
        <f>IF(ISNUMBER(MATCH(B918,'FICHA SOLIC'!$AB$26:$AB$376,0)),1,0)</f>
        <v>1</v>
      </c>
      <c r="AE918" s="423" t="str">
        <f t="shared" si="14"/>
        <v>MachalíZU-7</v>
      </c>
    </row>
    <row r="919" spans="1:31" x14ac:dyDescent="0.25">
      <c r="A919" s="423">
        <v>918</v>
      </c>
      <c r="B919" s="423" t="s">
        <v>191</v>
      </c>
      <c r="C919" s="423" t="s">
        <v>1248</v>
      </c>
      <c r="D919" s="973" t="s">
        <v>990</v>
      </c>
      <c r="E919" s="973" t="s">
        <v>991</v>
      </c>
      <c r="F919" s="973" t="s">
        <v>992</v>
      </c>
      <c r="G919" s="973" t="s">
        <v>1997</v>
      </c>
      <c r="H919" s="973" t="s">
        <v>1998</v>
      </c>
      <c r="I919" s="973" t="s">
        <v>1999</v>
      </c>
      <c r="J919" s="973" t="s">
        <v>697</v>
      </c>
      <c r="K919" s="973" t="s">
        <v>995</v>
      </c>
      <c r="L919" s="973" t="s">
        <v>996</v>
      </c>
      <c r="M919" s="973" t="s">
        <v>2000</v>
      </c>
      <c r="N919" s="973" t="s">
        <v>2001</v>
      </c>
      <c r="O919" s="973" t="s">
        <v>1971</v>
      </c>
      <c r="P919" s="973" t="s">
        <v>999</v>
      </c>
      <c r="Q919" s="973" t="s">
        <v>1000</v>
      </c>
      <c r="R919" s="973" t="s">
        <v>1001</v>
      </c>
      <c r="S919" s="973" t="s">
        <v>1002</v>
      </c>
      <c r="T919" s="423">
        <v>560</v>
      </c>
      <c r="V919" s="423">
        <v>0.6</v>
      </c>
      <c r="W919" s="423">
        <v>0.7</v>
      </c>
      <c r="X919" s="423">
        <v>7.5</v>
      </c>
      <c r="Z919" s="423" t="s">
        <v>1057</v>
      </c>
      <c r="AD919" s="423">
        <f>IF(ISNUMBER(MATCH(B919,'FICHA SOLIC'!$AB$26:$AB$376,0)),1,0)</f>
        <v>1</v>
      </c>
      <c r="AE919" s="423" t="str">
        <f t="shared" si="14"/>
        <v>MachalíZU-8</v>
      </c>
    </row>
    <row r="920" spans="1:31" x14ac:dyDescent="0.25">
      <c r="A920" s="423">
        <v>919</v>
      </c>
      <c r="B920" s="423" t="s">
        <v>191</v>
      </c>
      <c r="C920" s="423" t="s">
        <v>1249</v>
      </c>
      <c r="D920" s="973" t="s">
        <v>990</v>
      </c>
      <c r="E920" s="973" t="s">
        <v>991</v>
      </c>
      <c r="F920" s="973" t="s">
        <v>992</v>
      </c>
      <c r="G920" s="973" t="s">
        <v>1997</v>
      </c>
      <c r="H920" s="973" t="s">
        <v>1998</v>
      </c>
      <c r="I920" s="973" t="s">
        <v>1999</v>
      </c>
      <c r="J920" s="973" t="s">
        <v>697</v>
      </c>
      <c r="K920" s="973" t="s">
        <v>995</v>
      </c>
      <c r="L920" s="973" t="s">
        <v>996</v>
      </c>
      <c r="M920" s="973" t="s">
        <v>2000</v>
      </c>
      <c r="N920" s="973" t="s">
        <v>2001</v>
      </c>
      <c r="O920" s="973" t="s">
        <v>1971</v>
      </c>
      <c r="P920" s="973" t="s">
        <v>999</v>
      </c>
      <c r="Q920" s="973" t="s">
        <v>1000</v>
      </c>
      <c r="R920" s="973" t="s">
        <v>1001</v>
      </c>
      <c r="S920" s="973" t="s">
        <v>1002</v>
      </c>
      <c r="T920" s="423">
        <v>800</v>
      </c>
      <c r="V920" s="423">
        <v>0.6</v>
      </c>
      <c r="W920" s="423">
        <v>0.7</v>
      </c>
      <c r="X920" s="423">
        <v>7.5</v>
      </c>
      <c r="Z920" s="423" t="s">
        <v>1057</v>
      </c>
      <c r="AD920" s="423">
        <f>IF(ISNUMBER(MATCH(B920,'FICHA SOLIC'!$AB$26:$AB$376,0)),1,0)</f>
        <v>1</v>
      </c>
      <c r="AE920" s="423" t="str">
        <f t="shared" si="14"/>
        <v>MachalíZU-9</v>
      </c>
    </row>
    <row r="921" spans="1:31" x14ac:dyDescent="0.25">
      <c r="A921" s="423">
        <v>920</v>
      </c>
      <c r="B921" s="423" t="s">
        <v>420</v>
      </c>
      <c r="C921" s="423" t="s">
        <v>1165</v>
      </c>
      <c r="D921" s="425" t="s">
        <v>990</v>
      </c>
      <c r="E921" s="425" t="s">
        <v>991</v>
      </c>
      <c r="F921" s="425" t="s">
        <v>992</v>
      </c>
      <c r="G921" s="425" t="s">
        <v>1054</v>
      </c>
      <c r="H921" s="426" t="s">
        <v>699</v>
      </c>
      <c r="I921" s="425" t="s">
        <v>1055</v>
      </c>
      <c r="J921" s="425" t="s">
        <v>697</v>
      </c>
      <c r="K921" s="425" t="s">
        <v>995</v>
      </c>
      <c r="L921" s="425" t="s">
        <v>996</v>
      </c>
      <c r="M921" s="425" t="s">
        <v>997</v>
      </c>
      <c r="N921" s="425" t="s">
        <v>558</v>
      </c>
      <c r="O921" s="425" t="s">
        <v>998</v>
      </c>
      <c r="P921" s="425" t="s">
        <v>999</v>
      </c>
      <c r="Q921" s="425" t="s">
        <v>1000</v>
      </c>
      <c r="R921" s="425" t="s">
        <v>1001</v>
      </c>
      <c r="S921" s="425" t="s">
        <v>1002</v>
      </c>
      <c r="T921" s="434" t="s">
        <v>1176</v>
      </c>
      <c r="U921" s="423" t="s">
        <v>1041</v>
      </c>
      <c r="V921" s="423">
        <v>5</v>
      </c>
      <c r="W921" s="423">
        <v>0.05</v>
      </c>
      <c r="X921" s="434" t="s">
        <v>1176</v>
      </c>
      <c r="Y921" s="423" t="s">
        <v>1041</v>
      </c>
      <c r="Z921" s="423" t="s">
        <v>1004</v>
      </c>
      <c r="AD921" s="423">
        <f>IF(ISNUMBER(MATCH(B921,'FICHA SOLIC'!$AB$26:$AB$376,0)),1,0)</f>
        <v>1</v>
      </c>
      <c r="AE921" s="423" t="str">
        <f t="shared" si="14"/>
        <v>MaculAP</v>
      </c>
    </row>
    <row r="922" spans="1:31" x14ac:dyDescent="0.25">
      <c r="A922" s="423">
        <v>921</v>
      </c>
      <c r="B922" s="423" t="s">
        <v>420</v>
      </c>
      <c r="C922" s="423" t="s">
        <v>1168</v>
      </c>
      <c r="D922" s="425" t="s">
        <v>990</v>
      </c>
      <c r="E922" s="425" t="s">
        <v>991</v>
      </c>
      <c r="F922" s="425" t="s">
        <v>992</v>
      </c>
      <c r="G922" s="425" t="s">
        <v>1054</v>
      </c>
      <c r="H922" s="426" t="s">
        <v>699</v>
      </c>
      <c r="I922" s="425" t="s">
        <v>1055</v>
      </c>
      <c r="J922" s="425" t="s">
        <v>697</v>
      </c>
      <c r="K922" s="425" t="s">
        <v>995</v>
      </c>
      <c r="L922" s="425" t="s">
        <v>996</v>
      </c>
      <c r="M922" s="425" t="s">
        <v>997</v>
      </c>
      <c r="N922" s="425" t="s">
        <v>558</v>
      </c>
      <c r="O922" s="425" t="s">
        <v>998</v>
      </c>
      <c r="P922" s="425" t="s">
        <v>999</v>
      </c>
      <c r="Q922" s="425" t="s">
        <v>1000</v>
      </c>
      <c r="R922" s="425" t="s">
        <v>1001</v>
      </c>
      <c r="S922" s="425" t="s">
        <v>1002</v>
      </c>
      <c r="T922" s="434" t="s">
        <v>1176</v>
      </c>
      <c r="U922" s="423" t="s">
        <v>1041</v>
      </c>
      <c r="V922" s="423">
        <v>5</v>
      </c>
      <c r="W922" s="423">
        <v>0.05</v>
      </c>
      <c r="X922" s="434" t="s">
        <v>1176</v>
      </c>
      <c r="Y922" s="423" t="s">
        <v>1041</v>
      </c>
      <c r="Z922" s="423" t="s">
        <v>1004</v>
      </c>
      <c r="AD922" s="423">
        <f>IF(ISNUMBER(MATCH(B922,'FICHA SOLIC'!$AB$26:$AB$376,0)),1,0)</f>
        <v>1</v>
      </c>
      <c r="AE922" s="423" t="str">
        <f t="shared" si="14"/>
        <v>MaculAV-c</v>
      </c>
    </row>
    <row r="923" spans="1:31" x14ac:dyDescent="0.25">
      <c r="A923" s="423">
        <v>922</v>
      </c>
      <c r="B923" s="423" t="s">
        <v>420</v>
      </c>
      <c r="C923" s="423" t="s">
        <v>1169</v>
      </c>
      <c r="D923" s="425" t="s">
        <v>990</v>
      </c>
      <c r="E923" s="425" t="s">
        <v>991</v>
      </c>
      <c r="F923" s="425" t="s">
        <v>992</v>
      </c>
      <c r="G923" s="425" t="s">
        <v>1054</v>
      </c>
      <c r="H923" s="426" t="s">
        <v>699</v>
      </c>
      <c r="I923" s="425" t="s">
        <v>1055</v>
      </c>
      <c r="J923" s="425" t="s">
        <v>697</v>
      </c>
      <c r="K923" s="425" t="s">
        <v>995</v>
      </c>
      <c r="L923" s="425" t="s">
        <v>996</v>
      </c>
      <c r="M923" s="425" t="s">
        <v>997</v>
      </c>
      <c r="N923" s="425" t="s">
        <v>558</v>
      </c>
      <c r="O923" s="425" t="s">
        <v>998</v>
      </c>
      <c r="P923" s="425" t="s">
        <v>999</v>
      </c>
      <c r="Q923" s="425" t="s">
        <v>1000</v>
      </c>
      <c r="R923" s="425" t="s">
        <v>1001</v>
      </c>
      <c r="S923" s="425" t="s">
        <v>1002</v>
      </c>
      <c r="T923" s="423" t="s">
        <v>1041</v>
      </c>
      <c r="U923" s="423" t="s">
        <v>1041</v>
      </c>
      <c r="V923" s="423" t="s">
        <v>1041</v>
      </c>
      <c r="W923" s="423" t="s">
        <v>1041</v>
      </c>
      <c r="X923" s="423" t="s">
        <v>1041</v>
      </c>
      <c r="Y923" s="423" t="s">
        <v>1041</v>
      </c>
      <c r="Z923" s="423" t="s">
        <v>1041</v>
      </c>
      <c r="AD923" s="423">
        <f>IF(ISNUMBER(MATCH(B923,'FICHA SOLIC'!$AB$26:$AB$376,0)),1,0)</f>
        <v>1</v>
      </c>
      <c r="AE923" s="423" t="str">
        <f t="shared" si="14"/>
        <v>MaculICH</v>
      </c>
    </row>
    <row r="924" spans="1:31" x14ac:dyDescent="0.25">
      <c r="A924" s="423">
        <v>923</v>
      </c>
      <c r="B924" s="423" t="s">
        <v>420</v>
      </c>
      <c r="C924" s="423" t="s">
        <v>1166</v>
      </c>
      <c r="D924" s="425" t="s">
        <v>990</v>
      </c>
      <c r="E924" s="425" t="s">
        <v>991</v>
      </c>
      <c r="F924" s="425" t="s">
        <v>992</v>
      </c>
      <c r="G924" s="425" t="s">
        <v>1054</v>
      </c>
      <c r="H924" s="426" t="s">
        <v>699</v>
      </c>
      <c r="I924" s="425" t="s">
        <v>1055</v>
      </c>
      <c r="J924" s="425" t="s">
        <v>697</v>
      </c>
      <c r="K924" s="425" t="s">
        <v>995</v>
      </c>
      <c r="L924" s="425" t="s">
        <v>996</v>
      </c>
      <c r="M924" s="425" t="s">
        <v>997</v>
      </c>
      <c r="N924" s="425" t="s">
        <v>558</v>
      </c>
      <c r="O924" s="425" t="s">
        <v>998</v>
      </c>
      <c r="P924" s="425" t="s">
        <v>999</v>
      </c>
      <c r="Q924" s="425" t="s">
        <v>1000</v>
      </c>
      <c r="R924" s="425" t="s">
        <v>1001</v>
      </c>
      <c r="S924" s="425" t="s">
        <v>1002</v>
      </c>
      <c r="U924" s="423" t="s">
        <v>1041</v>
      </c>
      <c r="V924" s="423" t="s">
        <v>1041</v>
      </c>
      <c r="W924" s="423" t="s">
        <v>1041</v>
      </c>
      <c r="X924" s="423" t="s">
        <v>1041</v>
      </c>
      <c r="Y924" s="423" t="s">
        <v>1041</v>
      </c>
      <c r="Z924" s="423" t="s">
        <v>1041</v>
      </c>
      <c r="AD924" s="423">
        <f>IF(ISNUMBER(MATCH(B924,'FICHA SOLIC'!$AB$26:$AB$376,0)),1,0)</f>
        <v>1</v>
      </c>
      <c r="AE924" s="423" t="str">
        <f t="shared" si="14"/>
        <v>MaculMN</v>
      </c>
    </row>
    <row r="925" spans="1:31" x14ac:dyDescent="0.25">
      <c r="A925" s="423">
        <v>924</v>
      </c>
      <c r="B925" s="423" t="s">
        <v>420</v>
      </c>
      <c r="C925" s="423" t="s">
        <v>1164</v>
      </c>
      <c r="D925" s="425" t="s">
        <v>990</v>
      </c>
      <c r="E925" s="425" t="s">
        <v>991</v>
      </c>
      <c r="F925" s="425" t="s">
        <v>992</v>
      </c>
      <c r="G925" s="425" t="s">
        <v>1054</v>
      </c>
      <c r="H925" s="426" t="s">
        <v>699</v>
      </c>
      <c r="I925" s="425" t="s">
        <v>1055</v>
      </c>
      <c r="J925" s="425" t="s">
        <v>697</v>
      </c>
      <c r="K925" s="425" t="s">
        <v>995</v>
      </c>
      <c r="L925" s="425" t="s">
        <v>996</v>
      </c>
      <c r="M925" s="425" t="s">
        <v>997</v>
      </c>
      <c r="N925" s="425" t="s">
        <v>558</v>
      </c>
      <c r="O925" s="425" t="s">
        <v>998</v>
      </c>
      <c r="P925" s="425" t="s">
        <v>999</v>
      </c>
      <c r="Q925" s="425" t="s">
        <v>1000</v>
      </c>
      <c r="R925" s="425" t="s">
        <v>1001</v>
      </c>
      <c r="S925" s="425" t="s">
        <v>1002</v>
      </c>
      <c r="T925" s="434" t="s">
        <v>1176</v>
      </c>
      <c r="U925" s="423" t="s">
        <v>1041</v>
      </c>
      <c r="V925" s="423">
        <v>5</v>
      </c>
      <c r="W925" s="423">
        <v>0.05</v>
      </c>
      <c r="X925" s="434" t="s">
        <v>1176</v>
      </c>
      <c r="Y925" s="423" t="s">
        <v>1041</v>
      </c>
      <c r="Z925" s="423" t="s">
        <v>1004</v>
      </c>
      <c r="AD925" s="423">
        <f>IF(ISNUMBER(MATCH(B925,'FICHA SOLIC'!$AB$26:$AB$376,0)),1,0)</f>
        <v>1</v>
      </c>
      <c r="AE925" s="423" t="str">
        <f t="shared" si="14"/>
        <v>MaculPI</v>
      </c>
    </row>
    <row r="926" spans="1:31" x14ac:dyDescent="0.25">
      <c r="A926" s="423">
        <v>925</v>
      </c>
      <c r="B926" s="423" t="s">
        <v>420</v>
      </c>
      <c r="C926" s="423" t="s">
        <v>1163</v>
      </c>
      <c r="D926" s="425" t="s">
        <v>990</v>
      </c>
      <c r="E926" s="425" t="s">
        <v>991</v>
      </c>
      <c r="F926" s="425" t="s">
        <v>992</v>
      </c>
      <c r="G926" s="425" t="s">
        <v>1054</v>
      </c>
      <c r="H926" s="426" t="s">
        <v>699</v>
      </c>
      <c r="I926" s="425" t="s">
        <v>1055</v>
      </c>
      <c r="J926" s="425" t="s">
        <v>697</v>
      </c>
      <c r="K926" s="425" t="s">
        <v>995</v>
      </c>
      <c r="L926" s="425" t="s">
        <v>996</v>
      </c>
      <c r="M926" s="425" t="s">
        <v>997</v>
      </c>
      <c r="N926" s="425" t="s">
        <v>558</v>
      </c>
      <c r="O926" s="425" t="s">
        <v>998</v>
      </c>
      <c r="P926" s="425" t="s">
        <v>999</v>
      </c>
      <c r="Q926" s="425" t="s">
        <v>1000</v>
      </c>
      <c r="R926" s="425" t="s">
        <v>1001</v>
      </c>
      <c r="S926" s="425" t="s">
        <v>1002</v>
      </c>
      <c r="T926" s="423" t="s">
        <v>1025</v>
      </c>
      <c r="U926" s="423" t="s">
        <v>1041</v>
      </c>
      <c r="V926" s="423">
        <v>5</v>
      </c>
      <c r="W926" s="423">
        <v>0.05</v>
      </c>
      <c r="X926" s="423" t="s">
        <v>1173</v>
      </c>
      <c r="Y926" s="423" t="s">
        <v>1041</v>
      </c>
      <c r="Z926" s="423" t="s">
        <v>1004</v>
      </c>
      <c r="AD926" s="423">
        <f>IF(ISNUMBER(MATCH(B926,'FICHA SOLIC'!$AB$26:$AB$376,0)),1,0)</f>
        <v>1</v>
      </c>
      <c r="AE926" s="423" t="str">
        <f t="shared" si="14"/>
        <v>MaculZE-d</v>
      </c>
    </row>
    <row r="927" spans="1:31" x14ac:dyDescent="0.25">
      <c r="A927" s="423">
        <v>926</v>
      </c>
      <c r="B927" s="423" t="s">
        <v>420</v>
      </c>
      <c r="C927" s="423" t="s">
        <v>1167</v>
      </c>
      <c r="D927" s="425" t="s">
        <v>990</v>
      </c>
      <c r="E927" s="425" t="s">
        <v>991</v>
      </c>
      <c r="F927" s="425" t="s">
        <v>992</v>
      </c>
      <c r="G927" s="425" t="s">
        <v>1054</v>
      </c>
      <c r="H927" s="426" t="s">
        <v>699</v>
      </c>
      <c r="I927" s="425" t="s">
        <v>1055</v>
      </c>
      <c r="J927" s="425" t="s">
        <v>697</v>
      </c>
      <c r="K927" s="425" t="s">
        <v>995</v>
      </c>
      <c r="L927" s="425" t="s">
        <v>996</v>
      </c>
      <c r="M927" s="425" t="s">
        <v>997</v>
      </c>
      <c r="N927" s="425" t="s">
        <v>558</v>
      </c>
      <c r="O927" s="425" t="s">
        <v>998</v>
      </c>
      <c r="P927" s="425" t="s">
        <v>999</v>
      </c>
      <c r="Q927" s="425" t="s">
        <v>1000</v>
      </c>
      <c r="R927" s="425" t="s">
        <v>1001</v>
      </c>
      <c r="S927" s="425" t="s">
        <v>1002</v>
      </c>
      <c r="T927" s="423">
        <v>2000</v>
      </c>
      <c r="U927" s="423" t="s">
        <v>1041</v>
      </c>
      <c r="V927" s="423">
        <v>5</v>
      </c>
      <c r="W927" s="423">
        <v>0.05</v>
      </c>
      <c r="X927" s="423" t="s">
        <v>1173</v>
      </c>
      <c r="Y927" s="423" t="s">
        <v>1041</v>
      </c>
      <c r="Z927" s="423" t="s">
        <v>1004</v>
      </c>
      <c r="AD927" s="423">
        <f>IF(ISNUMBER(MATCH(B927,'FICHA SOLIC'!$AB$26:$AB$376,0)),1,0)</f>
        <v>1</v>
      </c>
      <c r="AE927" s="423" t="str">
        <f t="shared" si="14"/>
        <v>MaculZE-dc</v>
      </c>
    </row>
    <row r="928" spans="1:31" x14ac:dyDescent="0.25">
      <c r="A928" s="423">
        <v>927</v>
      </c>
      <c r="B928" s="423" t="s">
        <v>420</v>
      </c>
      <c r="C928" s="423" t="s">
        <v>1162</v>
      </c>
      <c r="D928" s="425" t="s">
        <v>990</v>
      </c>
      <c r="E928" s="425" t="s">
        <v>991</v>
      </c>
      <c r="F928" s="425" t="s">
        <v>992</v>
      </c>
      <c r="G928" s="425" t="s">
        <v>1054</v>
      </c>
      <c r="H928" s="426" t="s">
        <v>699</v>
      </c>
      <c r="I928" s="425" t="s">
        <v>1055</v>
      </c>
      <c r="J928" s="425" t="s">
        <v>697</v>
      </c>
      <c r="K928" s="425" t="s">
        <v>995</v>
      </c>
      <c r="L928" s="425" t="s">
        <v>996</v>
      </c>
      <c r="M928" s="425" t="s">
        <v>997</v>
      </c>
      <c r="N928" s="425" t="s">
        <v>558</v>
      </c>
      <c r="O928" s="425" t="s">
        <v>998</v>
      </c>
      <c r="P928" s="425" t="s">
        <v>999</v>
      </c>
      <c r="Q928" s="425" t="s">
        <v>1000</v>
      </c>
      <c r="R928" s="425" t="s">
        <v>1001</v>
      </c>
      <c r="S928" s="425" t="s">
        <v>1002</v>
      </c>
      <c r="T928" s="423" t="s">
        <v>1025</v>
      </c>
      <c r="U928" s="423" t="s">
        <v>1041</v>
      </c>
      <c r="V928" s="423">
        <v>60</v>
      </c>
      <c r="W928" s="423">
        <v>1</v>
      </c>
      <c r="X928" s="423" t="s">
        <v>1173</v>
      </c>
      <c r="Y928" s="423" t="s">
        <v>1041</v>
      </c>
      <c r="Z928" s="423" t="s">
        <v>1004</v>
      </c>
      <c r="AD928" s="423">
        <f>IF(ISNUMBER(MATCH(B928,'FICHA SOLIC'!$AB$26:$AB$376,0)),1,0)</f>
        <v>1</v>
      </c>
      <c r="AE928" s="423" t="str">
        <f t="shared" si="14"/>
        <v>MaculZE-i</v>
      </c>
    </row>
    <row r="929" spans="1:31" x14ac:dyDescent="0.25">
      <c r="A929" s="423">
        <v>928</v>
      </c>
      <c r="B929" s="423" t="s">
        <v>420</v>
      </c>
      <c r="C929" s="423" t="s">
        <v>1159</v>
      </c>
      <c r="D929" s="425" t="s">
        <v>990</v>
      </c>
      <c r="E929" s="425" t="s">
        <v>991</v>
      </c>
      <c r="F929" s="425" t="s">
        <v>992</v>
      </c>
      <c r="G929" s="425" t="s">
        <v>1054</v>
      </c>
      <c r="H929" s="426" t="s">
        <v>699</v>
      </c>
      <c r="I929" s="425" t="s">
        <v>1055</v>
      </c>
      <c r="J929" s="425" t="s">
        <v>697</v>
      </c>
      <c r="K929" s="425" t="s">
        <v>995</v>
      </c>
      <c r="L929" s="425" t="s">
        <v>996</v>
      </c>
      <c r="M929" s="425" t="s">
        <v>997</v>
      </c>
      <c r="N929" s="425" t="s">
        <v>558</v>
      </c>
      <c r="O929" s="425" t="s">
        <v>998</v>
      </c>
      <c r="P929" s="425" t="s">
        <v>999</v>
      </c>
      <c r="Q929" s="425" t="s">
        <v>1000</v>
      </c>
      <c r="R929" s="425" t="s">
        <v>1001</v>
      </c>
      <c r="S929" s="425" t="s">
        <v>1002</v>
      </c>
      <c r="T929" s="423">
        <v>500</v>
      </c>
      <c r="U929" s="423" t="s">
        <v>1041</v>
      </c>
      <c r="V929" s="423">
        <v>70</v>
      </c>
      <c r="W929" s="423">
        <v>2</v>
      </c>
      <c r="X929" s="423" t="s">
        <v>1173</v>
      </c>
      <c r="Y929" s="423" t="s">
        <v>1041</v>
      </c>
      <c r="Z929" s="423" t="s">
        <v>1174</v>
      </c>
      <c r="AD929" s="423">
        <f>IF(ISNUMBER(MATCH(B929,'FICHA SOLIC'!$AB$26:$AB$376,0)),1,0)</f>
        <v>1</v>
      </c>
      <c r="AE929" s="423" t="str">
        <f t="shared" si="14"/>
        <v>MaculZI-e</v>
      </c>
    </row>
    <row r="930" spans="1:31" x14ac:dyDescent="0.25">
      <c r="A930" s="423">
        <v>929</v>
      </c>
      <c r="B930" s="423" t="s">
        <v>420</v>
      </c>
      <c r="C930" s="423" t="s">
        <v>1160</v>
      </c>
      <c r="D930" s="425" t="s">
        <v>990</v>
      </c>
      <c r="E930" s="425" t="s">
        <v>991</v>
      </c>
      <c r="F930" s="425" t="s">
        <v>992</v>
      </c>
      <c r="G930" s="425" t="s">
        <v>1054</v>
      </c>
      <c r="H930" s="426" t="s">
        <v>699</v>
      </c>
      <c r="I930" s="425" t="s">
        <v>1055</v>
      </c>
      <c r="J930" s="425" t="s">
        <v>697</v>
      </c>
      <c r="K930" s="425" t="s">
        <v>995</v>
      </c>
      <c r="L930" s="425" t="s">
        <v>996</v>
      </c>
      <c r="M930" s="425" t="s">
        <v>997</v>
      </c>
      <c r="N930" s="425" t="s">
        <v>558</v>
      </c>
      <c r="O930" s="425" t="s">
        <v>998</v>
      </c>
      <c r="P930" s="425" t="s">
        <v>999</v>
      </c>
      <c r="Q930" s="425" t="s">
        <v>1000</v>
      </c>
      <c r="R930" s="425" t="s">
        <v>1001</v>
      </c>
      <c r="S930" s="425" t="s">
        <v>1002</v>
      </c>
      <c r="T930" s="423">
        <v>500</v>
      </c>
      <c r="U930" s="423" t="s">
        <v>1041</v>
      </c>
      <c r="V930" s="423">
        <v>70</v>
      </c>
      <c r="W930" s="423">
        <v>2</v>
      </c>
      <c r="X930" s="423" t="s">
        <v>1173</v>
      </c>
      <c r="Y930" s="423" t="s">
        <v>1041</v>
      </c>
      <c r="Z930" s="423" t="s">
        <v>1174</v>
      </c>
      <c r="AD930" s="423">
        <f>IF(ISNUMBER(MATCH(B930,'FICHA SOLIC'!$AB$26:$AB$376,0)),1,0)</f>
        <v>1</v>
      </c>
      <c r="AE930" s="423" t="str">
        <f t="shared" si="14"/>
        <v>MaculZI-i</v>
      </c>
    </row>
    <row r="931" spans="1:31" x14ac:dyDescent="0.25">
      <c r="A931" s="423">
        <v>930</v>
      </c>
      <c r="B931" s="423" t="s">
        <v>420</v>
      </c>
      <c r="C931" s="423" t="s">
        <v>1161</v>
      </c>
      <c r="D931" s="425" t="s">
        <v>990</v>
      </c>
      <c r="E931" s="425" t="s">
        <v>991</v>
      </c>
      <c r="F931" s="425" t="s">
        <v>992</v>
      </c>
      <c r="G931" s="425" t="s">
        <v>1054</v>
      </c>
      <c r="H931" s="426" t="s">
        <v>699</v>
      </c>
      <c r="I931" s="425" t="s">
        <v>1055</v>
      </c>
      <c r="J931" s="425" t="s">
        <v>697</v>
      </c>
      <c r="K931" s="425" t="s">
        <v>995</v>
      </c>
      <c r="L931" s="425" t="s">
        <v>996</v>
      </c>
      <c r="M931" s="425" t="s">
        <v>997</v>
      </c>
      <c r="N931" s="425" t="s">
        <v>558</v>
      </c>
      <c r="O931" s="425" t="s">
        <v>998</v>
      </c>
      <c r="P931" s="425" t="s">
        <v>999</v>
      </c>
      <c r="Q931" s="425" t="s">
        <v>1000</v>
      </c>
      <c r="R931" s="425" t="s">
        <v>1001</v>
      </c>
      <c r="S931" s="425" t="s">
        <v>1002</v>
      </c>
      <c r="T931" s="423">
        <v>1000</v>
      </c>
      <c r="U931" s="423" t="s">
        <v>1041</v>
      </c>
      <c r="V931" s="423">
        <v>55</v>
      </c>
      <c r="W931" s="423">
        <v>2</v>
      </c>
      <c r="X931" s="423" t="s">
        <v>1175</v>
      </c>
      <c r="Y931" s="423" t="s">
        <v>1041</v>
      </c>
      <c r="Z931" s="423" t="s">
        <v>1004</v>
      </c>
      <c r="AD931" s="423">
        <f>IF(ISNUMBER(MATCH(B931,'FICHA SOLIC'!$AB$26:$AB$376,0)),1,0)</f>
        <v>1</v>
      </c>
      <c r="AE931" s="423" t="str">
        <f t="shared" si="14"/>
        <v>MaculZI-m</v>
      </c>
    </row>
    <row r="932" spans="1:31" x14ac:dyDescent="0.25">
      <c r="A932" s="423">
        <v>931</v>
      </c>
      <c r="B932" s="423" t="s">
        <v>420</v>
      </c>
      <c r="C932" s="423" t="s">
        <v>1153</v>
      </c>
      <c r="D932" s="425" t="s">
        <v>990</v>
      </c>
      <c r="E932" s="425" t="s">
        <v>991</v>
      </c>
      <c r="F932" s="425" t="s">
        <v>992</v>
      </c>
      <c r="G932" s="425" t="s">
        <v>1054</v>
      </c>
      <c r="H932" s="426" t="s">
        <v>699</v>
      </c>
      <c r="I932" s="425" t="s">
        <v>1055</v>
      </c>
      <c r="J932" s="425" t="s">
        <v>697</v>
      </c>
      <c r="K932" s="425" t="s">
        <v>995</v>
      </c>
      <c r="L932" s="425" t="s">
        <v>996</v>
      </c>
      <c r="M932" s="425" t="s">
        <v>997</v>
      </c>
      <c r="N932" s="425" t="s">
        <v>558</v>
      </c>
      <c r="O932" s="425" t="s">
        <v>998</v>
      </c>
      <c r="P932" s="425" t="s">
        <v>999</v>
      </c>
      <c r="Q932" s="425" t="s">
        <v>1000</v>
      </c>
      <c r="R932" s="425" t="s">
        <v>1001</v>
      </c>
      <c r="S932" s="425" t="s">
        <v>1002</v>
      </c>
      <c r="T932" s="423">
        <v>500</v>
      </c>
      <c r="U932" s="423" t="s">
        <v>1041</v>
      </c>
      <c r="V932" s="423">
        <v>65</v>
      </c>
      <c r="W932" s="423">
        <v>2.5</v>
      </c>
      <c r="X932" s="423" t="s">
        <v>1152</v>
      </c>
      <c r="Y932" s="423" t="s">
        <v>1041</v>
      </c>
      <c r="Z932" s="423" t="s">
        <v>1004</v>
      </c>
      <c r="AD932" s="423">
        <f>IF(ISNUMBER(MATCH(B932,'FICHA SOLIC'!$AB$26:$AB$376,0)),1,0)</f>
        <v>1</v>
      </c>
      <c r="AE932" s="423" t="str">
        <f t="shared" si="14"/>
        <v>MaculZM-1</v>
      </c>
    </row>
    <row r="933" spans="1:31" x14ac:dyDescent="0.25">
      <c r="A933" s="423">
        <v>932</v>
      </c>
      <c r="B933" s="423" t="s">
        <v>420</v>
      </c>
      <c r="C933" s="423" t="s">
        <v>1154</v>
      </c>
      <c r="D933" s="425" t="s">
        <v>990</v>
      </c>
      <c r="E933" s="425" t="s">
        <v>991</v>
      </c>
      <c r="F933" s="425" t="s">
        <v>992</v>
      </c>
      <c r="G933" s="425" t="s">
        <v>1054</v>
      </c>
      <c r="H933" s="426" t="s">
        <v>699</v>
      </c>
      <c r="I933" s="425" t="s">
        <v>1055</v>
      </c>
      <c r="J933" s="425" t="s">
        <v>697</v>
      </c>
      <c r="K933" s="425" t="s">
        <v>995</v>
      </c>
      <c r="L933" s="425" t="s">
        <v>996</v>
      </c>
      <c r="M933" s="425" t="s">
        <v>997</v>
      </c>
      <c r="N933" s="425" t="s">
        <v>558</v>
      </c>
      <c r="O933" s="425" t="s">
        <v>998</v>
      </c>
      <c r="P933" s="425" t="s">
        <v>999</v>
      </c>
      <c r="Q933" s="425" t="s">
        <v>1000</v>
      </c>
      <c r="R933" s="425" t="s">
        <v>1001</v>
      </c>
      <c r="S933" s="425" t="s">
        <v>1002</v>
      </c>
      <c r="T933" s="423">
        <v>0</v>
      </c>
      <c r="U933" s="423" t="s">
        <v>1041</v>
      </c>
      <c r="V933" s="423">
        <v>60</v>
      </c>
      <c r="W933" s="423">
        <v>2</v>
      </c>
      <c r="X933" s="423" t="s">
        <v>1152</v>
      </c>
      <c r="Y933" s="423" t="s">
        <v>1041</v>
      </c>
      <c r="Z933" s="423" t="s">
        <v>1004</v>
      </c>
      <c r="AD933" s="423">
        <f>IF(ISNUMBER(MATCH(B933,'FICHA SOLIC'!$AB$26:$AB$376,0)),1,0)</f>
        <v>1</v>
      </c>
      <c r="AE933" s="423" t="str">
        <f t="shared" si="14"/>
        <v>MaculZM-2</v>
      </c>
    </row>
    <row r="934" spans="1:31" x14ac:dyDescent="0.25">
      <c r="A934" s="423">
        <v>933</v>
      </c>
      <c r="B934" s="423" t="s">
        <v>420</v>
      </c>
      <c r="C934" s="423" t="s">
        <v>1155</v>
      </c>
      <c r="D934" s="425" t="s">
        <v>990</v>
      </c>
      <c r="E934" s="425" t="s">
        <v>991</v>
      </c>
      <c r="F934" s="425" t="s">
        <v>992</v>
      </c>
      <c r="G934" s="425" t="s">
        <v>1054</v>
      </c>
      <c r="H934" s="426" t="s">
        <v>699</v>
      </c>
      <c r="I934" s="425" t="s">
        <v>1055</v>
      </c>
      <c r="J934" s="425" t="s">
        <v>697</v>
      </c>
      <c r="K934" s="425" t="s">
        <v>995</v>
      </c>
      <c r="L934" s="425" t="s">
        <v>996</v>
      </c>
      <c r="M934" s="425" t="s">
        <v>997</v>
      </c>
      <c r="N934" s="425" t="s">
        <v>558</v>
      </c>
      <c r="O934" s="425" t="s">
        <v>998</v>
      </c>
      <c r="P934" s="425" t="s">
        <v>999</v>
      </c>
      <c r="Q934" s="425" t="s">
        <v>1000</v>
      </c>
      <c r="R934" s="425" t="s">
        <v>1001</v>
      </c>
      <c r="S934" s="425" t="s">
        <v>1002</v>
      </c>
      <c r="T934" s="423">
        <v>1000</v>
      </c>
      <c r="U934" s="423" t="s">
        <v>1041</v>
      </c>
      <c r="V934" s="423">
        <v>60</v>
      </c>
      <c r="W934" s="423">
        <v>2</v>
      </c>
      <c r="X934" s="423" t="s">
        <v>1152</v>
      </c>
      <c r="Y934" s="423" t="s">
        <v>1041</v>
      </c>
      <c r="Z934" s="423" t="s">
        <v>1004</v>
      </c>
      <c r="AD934" s="423">
        <f>IF(ISNUMBER(MATCH(B934,'FICHA SOLIC'!$AB$26:$AB$376,0)),1,0)</f>
        <v>1</v>
      </c>
      <c r="AE934" s="423" t="str">
        <f t="shared" si="14"/>
        <v>MaculZM-3</v>
      </c>
    </row>
    <row r="935" spans="1:31" x14ac:dyDescent="0.25">
      <c r="A935" s="423">
        <v>934</v>
      </c>
      <c r="B935" s="423" t="s">
        <v>420</v>
      </c>
      <c r="C935" s="423" t="s">
        <v>1156</v>
      </c>
      <c r="D935" s="425" t="s">
        <v>990</v>
      </c>
      <c r="E935" s="425" t="s">
        <v>991</v>
      </c>
      <c r="F935" s="425" t="s">
        <v>992</v>
      </c>
      <c r="G935" s="425" t="s">
        <v>1054</v>
      </c>
      <c r="H935" s="426" t="s">
        <v>699</v>
      </c>
      <c r="I935" s="425" t="s">
        <v>1055</v>
      </c>
      <c r="J935" s="425" t="s">
        <v>697</v>
      </c>
      <c r="K935" s="425" t="s">
        <v>995</v>
      </c>
      <c r="L935" s="425" t="s">
        <v>996</v>
      </c>
      <c r="M935" s="425" t="s">
        <v>997</v>
      </c>
      <c r="N935" s="425" t="s">
        <v>558</v>
      </c>
      <c r="O935" s="425" t="s">
        <v>998</v>
      </c>
      <c r="P935" s="425" t="s">
        <v>999</v>
      </c>
      <c r="Q935" s="425" t="s">
        <v>1000</v>
      </c>
      <c r="R935" s="425" t="s">
        <v>1001</v>
      </c>
      <c r="S935" s="425" t="s">
        <v>1002</v>
      </c>
      <c r="T935" s="423">
        <v>500</v>
      </c>
      <c r="U935" s="423" t="s">
        <v>1041</v>
      </c>
      <c r="V935" s="423">
        <v>55</v>
      </c>
      <c r="W935" s="423">
        <v>20</v>
      </c>
      <c r="X935" s="423" t="s">
        <v>1170</v>
      </c>
      <c r="Y935" s="423" t="s">
        <v>1041</v>
      </c>
      <c r="Z935" s="423" t="s">
        <v>1004</v>
      </c>
      <c r="AD935" s="423">
        <f>IF(ISNUMBER(MATCH(B935,'FICHA SOLIC'!$AB$26:$AB$376,0)),1,0)</f>
        <v>1</v>
      </c>
      <c r="AE935" s="423" t="str">
        <f t="shared" si="14"/>
        <v>MaculZM-4</v>
      </c>
    </row>
    <row r="936" spans="1:31" x14ac:dyDescent="0.25">
      <c r="A936" s="423">
        <v>935</v>
      </c>
      <c r="B936" s="423" t="s">
        <v>420</v>
      </c>
      <c r="C936" s="423" t="s">
        <v>1157</v>
      </c>
      <c r="D936" s="425" t="s">
        <v>990</v>
      </c>
      <c r="E936" s="425" t="s">
        <v>991</v>
      </c>
      <c r="F936" s="425" t="s">
        <v>992</v>
      </c>
      <c r="G936" s="425" t="s">
        <v>1054</v>
      </c>
      <c r="H936" s="426" t="s">
        <v>699</v>
      </c>
      <c r="I936" s="425" t="s">
        <v>1055</v>
      </c>
      <c r="J936" s="425" t="s">
        <v>697</v>
      </c>
      <c r="K936" s="425" t="s">
        <v>995</v>
      </c>
      <c r="L936" s="425" t="s">
        <v>996</v>
      </c>
      <c r="M936" s="425" t="s">
        <v>997</v>
      </c>
      <c r="N936" s="425" t="s">
        <v>558</v>
      </c>
      <c r="O936" s="425" t="s">
        <v>998</v>
      </c>
      <c r="P936" s="425" t="s">
        <v>999</v>
      </c>
      <c r="Q936" s="425" t="s">
        <v>1000</v>
      </c>
      <c r="R936" s="425" t="s">
        <v>1001</v>
      </c>
      <c r="S936" s="425" t="s">
        <v>1002</v>
      </c>
      <c r="T936" s="423">
        <v>500</v>
      </c>
      <c r="U936" s="423" t="s">
        <v>1041</v>
      </c>
      <c r="V936" s="423">
        <v>70</v>
      </c>
      <c r="W936" s="423">
        <v>1.5</v>
      </c>
      <c r="X936" s="423" t="s">
        <v>1170</v>
      </c>
      <c r="Y936" s="423" t="s">
        <v>1041</v>
      </c>
      <c r="Z936" s="423" t="s">
        <v>1171</v>
      </c>
      <c r="AD936" s="423">
        <f>IF(ISNUMBER(MATCH(B936,'FICHA SOLIC'!$AB$26:$AB$376,0)),1,0)</f>
        <v>1</v>
      </c>
      <c r="AE936" s="423" t="str">
        <f t="shared" si="14"/>
        <v>MaculZM-5</v>
      </c>
    </row>
    <row r="937" spans="1:31" x14ac:dyDescent="0.25">
      <c r="A937" s="423">
        <v>936</v>
      </c>
      <c r="B937" s="423" t="s">
        <v>420</v>
      </c>
      <c r="C937" s="423" t="s">
        <v>1158</v>
      </c>
      <c r="D937" s="425" t="s">
        <v>990</v>
      </c>
      <c r="E937" s="425" t="s">
        <v>991</v>
      </c>
      <c r="F937" s="425" t="s">
        <v>992</v>
      </c>
      <c r="G937" s="425" t="s">
        <v>1054</v>
      </c>
      <c r="H937" s="426" t="s">
        <v>699</v>
      </c>
      <c r="I937" s="425" t="s">
        <v>1055</v>
      </c>
      <c r="J937" s="425" t="s">
        <v>697</v>
      </c>
      <c r="K937" s="425" t="s">
        <v>995</v>
      </c>
      <c r="L937" s="425" t="s">
        <v>996</v>
      </c>
      <c r="M937" s="425" t="s">
        <v>997</v>
      </c>
      <c r="N937" s="425" t="s">
        <v>558</v>
      </c>
      <c r="O937" s="425" t="s">
        <v>998</v>
      </c>
      <c r="P937" s="425" t="s">
        <v>999</v>
      </c>
      <c r="Q937" s="425" t="s">
        <v>1000</v>
      </c>
      <c r="R937" s="425" t="s">
        <v>1001</v>
      </c>
      <c r="S937" s="425" t="s">
        <v>1002</v>
      </c>
      <c r="T937" s="423">
        <v>160</v>
      </c>
      <c r="U937" s="423" t="s">
        <v>1041</v>
      </c>
      <c r="V937" s="423">
        <v>60</v>
      </c>
      <c r="W937" s="423">
        <v>1</v>
      </c>
      <c r="X937" s="423" t="s">
        <v>1172</v>
      </c>
      <c r="Y937" s="423" t="s">
        <v>1041</v>
      </c>
      <c r="Z937" s="423" t="s">
        <v>1171</v>
      </c>
      <c r="AD937" s="423">
        <f>IF(ISNUMBER(MATCH(B937,'FICHA SOLIC'!$AB$26:$AB$376,0)),1,0)</f>
        <v>1</v>
      </c>
      <c r="AE937" s="423" t="str">
        <f t="shared" si="14"/>
        <v>MaculZR-6</v>
      </c>
    </row>
    <row r="938" spans="1:31" x14ac:dyDescent="0.25">
      <c r="A938" s="423">
        <v>937</v>
      </c>
      <c r="B938" s="423" t="s">
        <v>344</v>
      </c>
      <c r="C938" s="423" t="s">
        <v>1041</v>
      </c>
      <c r="D938" s="973" t="s">
        <v>990</v>
      </c>
      <c r="E938" s="973" t="s">
        <v>991</v>
      </c>
      <c r="F938" s="973" t="s">
        <v>992</v>
      </c>
      <c r="G938" s="973" t="s">
        <v>1997</v>
      </c>
      <c r="H938" s="973" t="s">
        <v>1998</v>
      </c>
      <c r="I938" s="973" t="s">
        <v>1999</v>
      </c>
      <c r="J938" s="973" t="s">
        <v>697</v>
      </c>
      <c r="K938" s="973" t="s">
        <v>995</v>
      </c>
      <c r="L938" s="973" t="s">
        <v>996</v>
      </c>
      <c r="M938" s="973" t="s">
        <v>2000</v>
      </c>
      <c r="N938" s="973" t="s">
        <v>2001</v>
      </c>
      <c r="O938" s="973" t="s">
        <v>1971</v>
      </c>
      <c r="P938" s="973" t="s">
        <v>999</v>
      </c>
      <c r="Q938" s="973" t="s">
        <v>1000</v>
      </c>
      <c r="R938" s="973" t="s">
        <v>1001</v>
      </c>
      <c r="S938" s="973" t="s">
        <v>1002</v>
      </c>
      <c r="T938" s="423" t="s">
        <v>1041</v>
      </c>
      <c r="U938" s="423" t="s">
        <v>1041</v>
      </c>
      <c r="V938" s="423" t="s">
        <v>1041</v>
      </c>
      <c r="W938" s="423" t="s">
        <v>1041</v>
      </c>
      <c r="X938" s="423" t="s">
        <v>1041</v>
      </c>
      <c r="Y938" s="423" t="s">
        <v>1041</v>
      </c>
      <c r="Z938" s="423" t="s">
        <v>1041</v>
      </c>
      <c r="AD938" s="423">
        <f>IF(ISNUMBER(MATCH(B938,'FICHA SOLIC'!$AB$26:$AB$376,0)),1,0)</f>
        <v>1</v>
      </c>
      <c r="AE938" s="423" t="str">
        <f t="shared" si="14"/>
        <v>MáfilOGUC</v>
      </c>
    </row>
    <row r="939" spans="1:31" x14ac:dyDescent="0.25">
      <c r="A939" s="423">
        <v>938</v>
      </c>
      <c r="B939" s="423" t="s">
        <v>421</v>
      </c>
      <c r="C939" s="423" t="s">
        <v>1169</v>
      </c>
      <c r="D939" s="425" t="s">
        <v>990</v>
      </c>
      <c r="E939" s="425" t="s">
        <v>991</v>
      </c>
      <c r="F939" s="425" t="s">
        <v>992</v>
      </c>
      <c r="G939" s="425" t="s">
        <v>1054</v>
      </c>
      <c r="H939" s="426" t="s">
        <v>699</v>
      </c>
      <c r="I939" s="425" t="s">
        <v>1055</v>
      </c>
      <c r="J939" s="425" t="s">
        <v>697</v>
      </c>
      <c r="K939" s="425" t="s">
        <v>995</v>
      </c>
      <c r="L939" s="425" t="s">
        <v>996</v>
      </c>
      <c r="M939" s="425" t="s">
        <v>997</v>
      </c>
      <c r="N939" s="425" t="s">
        <v>558</v>
      </c>
      <c r="O939" s="425" t="s">
        <v>998</v>
      </c>
      <c r="P939" s="425" t="s">
        <v>999</v>
      </c>
      <c r="Q939" s="425" t="s">
        <v>1000</v>
      </c>
      <c r="R939" s="425" t="s">
        <v>1001</v>
      </c>
      <c r="S939" s="425" t="s">
        <v>1002</v>
      </c>
      <c r="T939" s="423" t="s">
        <v>1025</v>
      </c>
      <c r="U939" s="423" t="s">
        <v>1041</v>
      </c>
      <c r="V939" s="423">
        <v>70</v>
      </c>
      <c r="W939" s="423">
        <v>1.2</v>
      </c>
      <c r="X939" s="423">
        <v>10.5</v>
      </c>
      <c r="Y939" s="423">
        <v>3</v>
      </c>
      <c r="Z939" s="423" t="s">
        <v>1058</v>
      </c>
      <c r="AD939" s="423">
        <f>IF(ISNUMBER(MATCH(B939,'FICHA SOLIC'!$AB$26:$AB$376,0)),1,0)</f>
        <v>1</v>
      </c>
      <c r="AE939" s="423" t="str">
        <f t="shared" si="14"/>
        <v>MaipúICH</v>
      </c>
    </row>
    <row r="940" spans="1:31" x14ac:dyDescent="0.25">
      <c r="A940" s="423">
        <v>939</v>
      </c>
      <c r="B940" s="423" t="s">
        <v>421</v>
      </c>
      <c r="C940" s="423" t="s">
        <v>1131</v>
      </c>
      <c r="D940" s="425" t="s">
        <v>990</v>
      </c>
      <c r="E940" s="425" t="s">
        <v>991</v>
      </c>
      <c r="F940" s="425" t="s">
        <v>992</v>
      </c>
      <c r="G940" s="425" t="s">
        <v>1054</v>
      </c>
      <c r="H940" s="426" t="s">
        <v>699</v>
      </c>
      <c r="I940" s="425" t="s">
        <v>1055</v>
      </c>
      <c r="J940" s="425" t="s">
        <v>697</v>
      </c>
      <c r="K940" s="425" t="s">
        <v>995</v>
      </c>
      <c r="L940" s="425" t="s">
        <v>996</v>
      </c>
      <c r="M940" s="425" t="s">
        <v>997</v>
      </c>
      <c r="N940" s="425" t="s">
        <v>558</v>
      </c>
      <c r="O940" s="425" t="s">
        <v>998</v>
      </c>
      <c r="P940" s="425" t="s">
        <v>999</v>
      </c>
      <c r="Q940" s="425" t="s">
        <v>1000</v>
      </c>
      <c r="R940" s="425" t="s">
        <v>1001</v>
      </c>
      <c r="S940" s="425" t="s">
        <v>1002</v>
      </c>
      <c r="T940" s="423">
        <v>1500</v>
      </c>
      <c r="U940" s="423" t="s">
        <v>1041</v>
      </c>
      <c r="V940" s="423">
        <v>70</v>
      </c>
      <c r="W940" s="423">
        <v>1.5</v>
      </c>
      <c r="X940" s="423">
        <v>14</v>
      </c>
      <c r="Z940" s="423" t="s">
        <v>1058</v>
      </c>
      <c r="AD940" s="423">
        <f>IF(ISNUMBER(MATCH(B940,'FICHA SOLIC'!$AB$26:$AB$376,0)),1,0)</f>
        <v>1</v>
      </c>
      <c r="AE940" s="423" t="str">
        <f t="shared" si="14"/>
        <v>MaipúZ-1</v>
      </c>
    </row>
    <row r="941" spans="1:31" x14ac:dyDescent="0.25">
      <c r="A941" s="423">
        <v>940</v>
      </c>
      <c r="B941" s="423" t="s">
        <v>421</v>
      </c>
      <c r="C941" s="423" t="s">
        <v>1134</v>
      </c>
      <c r="D941" s="425" t="s">
        <v>990</v>
      </c>
      <c r="E941" s="425" t="s">
        <v>991</v>
      </c>
      <c r="F941" s="425" t="s">
        <v>992</v>
      </c>
      <c r="G941" s="425" t="s">
        <v>1054</v>
      </c>
      <c r="H941" s="426" t="s">
        <v>699</v>
      </c>
      <c r="I941" s="425" t="s">
        <v>1055</v>
      </c>
      <c r="J941" s="425" t="s">
        <v>697</v>
      </c>
      <c r="K941" s="425" t="s">
        <v>995</v>
      </c>
      <c r="L941" s="425" t="s">
        <v>996</v>
      </c>
      <c r="M941" s="425" t="s">
        <v>997</v>
      </c>
      <c r="N941" s="425" t="s">
        <v>558</v>
      </c>
      <c r="O941" s="425" t="s">
        <v>998</v>
      </c>
      <c r="P941" s="425" t="s">
        <v>999</v>
      </c>
      <c r="Q941" s="425" t="s">
        <v>1000</v>
      </c>
      <c r="R941" s="425" t="s">
        <v>1001</v>
      </c>
      <c r="S941" s="425" t="s">
        <v>1002</v>
      </c>
      <c r="T941" s="423">
        <v>1500</v>
      </c>
      <c r="U941" s="423" t="s">
        <v>1041</v>
      </c>
      <c r="V941" s="423">
        <v>70</v>
      </c>
      <c r="W941" s="423">
        <v>2</v>
      </c>
      <c r="X941" s="423" t="s">
        <v>1447</v>
      </c>
      <c r="Z941" s="423" t="s">
        <v>1058</v>
      </c>
      <c r="AD941" s="423">
        <f>IF(ISNUMBER(MATCH(B941,'FICHA SOLIC'!$AB$26:$AB$376,0)),1,0)</f>
        <v>1</v>
      </c>
      <c r="AE941" s="423" t="str">
        <f t="shared" si="14"/>
        <v>MaipúZ-2</v>
      </c>
    </row>
    <row r="942" spans="1:31" x14ac:dyDescent="0.25">
      <c r="A942" s="423">
        <v>941</v>
      </c>
      <c r="B942" s="423" t="s">
        <v>421</v>
      </c>
      <c r="C942" s="423" t="s">
        <v>1137</v>
      </c>
      <c r="D942" s="425" t="s">
        <v>990</v>
      </c>
      <c r="E942" s="425" t="s">
        <v>991</v>
      </c>
      <c r="F942" s="425" t="s">
        <v>992</v>
      </c>
      <c r="G942" s="425" t="s">
        <v>1054</v>
      </c>
      <c r="H942" s="426" t="s">
        <v>699</v>
      </c>
      <c r="I942" s="425" t="s">
        <v>1055</v>
      </c>
      <c r="J942" s="425" t="s">
        <v>697</v>
      </c>
      <c r="K942" s="425" t="s">
        <v>995</v>
      </c>
      <c r="L942" s="425" t="s">
        <v>996</v>
      </c>
      <c r="M942" s="425" t="s">
        <v>997</v>
      </c>
      <c r="N942" s="425" t="s">
        <v>558</v>
      </c>
      <c r="O942" s="425" t="s">
        <v>998</v>
      </c>
      <c r="P942" s="425" t="s">
        <v>999</v>
      </c>
      <c r="Q942" s="425" t="s">
        <v>1000</v>
      </c>
      <c r="R942" s="425" t="s">
        <v>1001</v>
      </c>
      <c r="S942" s="425" t="s">
        <v>1002</v>
      </c>
      <c r="T942" s="423">
        <v>100</v>
      </c>
      <c r="U942" s="423" t="s">
        <v>1041</v>
      </c>
      <c r="V942" s="423">
        <v>40</v>
      </c>
      <c r="W942" s="423">
        <v>2.5</v>
      </c>
      <c r="X942" s="423" t="s">
        <v>1447</v>
      </c>
      <c r="Z942" s="423" t="s">
        <v>1058</v>
      </c>
      <c r="AD942" s="423">
        <f>IF(ISNUMBER(MATCH(B942,'FICHA SOLIC'!$AB$26:$AB$376,0)),1,0)</f>
        <v>1</v>
      </c>
      <c r="AE942" s="423" t="str">
        <f t="shared" si="14"/>
        <v>MaipúZ-3</v>
      </c>
    </row>
    <row r="943" spans="1:31" x14ac:dyDescent="0.25">
      <c r="A943" s="423">
        <v>942</v>
      </c>
      <c r="B943" s="423" t="s">
        <v>421</v>
      </c>
      <c r="C943" s="423" t="s">
        <v>1460</v>
      </c>
      <c r="D943" s="425" t="s">
        <v>990</v>
      </c>
      <c r="E943" s="425" t="s">
        <v>991</v>
      </c>
      <c r="F943" s="425" t="s">
        <v>992</v>
      </c>
      <c r="G943" s="425" t="s">
        <v>1054</v>
      </c>
      <c r="H943" s="426" t="s">
        <v>699</v>
      </c>
      <c r="I943" s="425" t="s">
        <v>1055</v>
      </c>
      <c r="J943" s="425" t="s">
        <v>697</v>
      </c>
      <c r="K943" s="425" t="s">
        <v>995</v>
      </c>
      <c r="L943" s="425" t="s">
        <v>996</v>
      </c>
      <c r="M943" s="425" t="s">
        <v>997</v>
      </c>
      <c r="N943" s="425" t="s">
        <v>558</v>
      </c>
      <c r="O943" s="425" t="s">
        <v>998</v>
      </c>
      <c r="P943" s="425" t="s">
        <v>999</v>
      </c>
      <c r="Q943" s="425" t="s">
        <v>1000</v>
      </c>
      <c r="R943" s="425" t="s">
        <v>1001</v>
      </c>
      <c r="S943" s="425" t="s">
        <v>1002</v>
      </c>
      <c r="T943" s="423">
        <v>1500</v>
      </c>
      <c r="U943" s="423" t="s">
        <v>1041</v>
      </c>
      <c r="V943" s="423">
        <v>40</v>
      </c>
      <c r="W943" s="423">
        <v>2.5</v>
      </c>
      <c r="X943" s="423">
        <v>24</v>
      </c>
      <c r="Y943" s="423">
        <v>5</v>
      </c>
      <c r="Z943" s="423" t="s">
        <v>1057</v>
      </c>
      <c r="AD943" s="423">
        <f>IF(ISNUMBER(MATCH(B943,'FICHA SOLIC'!$AB$26:$AB$376,0)),1,0)</f>
        <v>1</v>
      </c>
      <c r="AE943" s="423" t="str">
        <f t="shared" si="14"/>
        <v>MaipúZC-1</v>
      </c>
    </row>
    <row r="944" spans="1:31" x14ac:dyDescent="0.25">
      <c r="A944" s="423">
        <v>943</v>
      </c>
      <c r="B944" s="423" t="s">
        <v>421</v>
      </c>
      <c r="C944" s="423" t="s">
        <v>1461</v>
      </c>
      <c r="D944" s="425" t="s">
        <v>990</v>
      </c>
      <c r="E944" s="425" t="s">
        <v>991</v>
      </c>
      <c r="F944" s="425" t="s">
        <v>992</v>
      </c>
      <c r="G944" s="425" t="s">
        <v>1054</v>
      </c>
      <c r="H944" s="426" t="s">
        <v>699</v>
      </c>
      <c r="I944" s="425" t="s">
        <v>1055</v>
      </c>
      <c r="J944" s="425" t="s">
        <v>697</v>
      </c>
      <c r="K944" s="425" t="s">
        <v>995</v>
      </c>
      <c r="L944" s="425" t="s">
        <v>996</v>
      </c>
      <c r="M944" s="425" t="s">
        <v>997</v>
      </c>
      <c r="N944" s="425" t="s">
        <v>558</v>
      </c>
      <c r="O944" s="425" t="s">
        <v>998</v>
      </c>
      <c r="P944" s="425" t="s">
        <v>999</v>
      </c>
      <c r="Q944" s="425" t="s">
        <v>1000</v>
      </c>
      <c r="R944" s="425" t="s">
        <v>1001</v>
      </c>
      <c r="S944" s="425" t="s">
        <v>1002</v>
      </c>
      <c r="T944" s="423">
        <v>500</v>
      </c>
      <c r="U944" s="423" t="s">
        <v>1041</v>
      </c>
      <c r="V944" s="423">
        <v>100</v>
      </c>
      <c r="W944" s="423">
        <v>3</v>
      </c>
      <c r="X944" s="423">
        <v>18</v>
      </c>
      <c r="Y944" s="423">
        <v>5</v>
      </c>
      <c r="Z944" s="423" t="s">
        <v>1096</v>
      </c>
      <c r="AD944" s="423">
        <f>IF(ISNUMBER(MATCH(B944,'FICHA SOLIC'!$AB$26:$AB$376,0)),1,0)</f>
        <v>1</v>
      </c>
      <c r="AE944" s="423" t="str">
        <f t="shared" si="14"/>
        <v>MaipúZC-2</v>
      </c>
    </row>
    <row r="945" spans="1:31" x14ac:dyDescent="0.25">
      <c r="A945" s="423">
        <v>944</v>
      </c>
      <c r="B945" s="423" t="s">
        <v>421</v>
      </c>
      <c r="C945" s="423" t="s">
        <v>1462</v>
      </c>
      <c r="D945" s="425" t="s">
        <v>990</v>
      </c>
      <c r="E945" s="425" t="s">
        <v>991</v>
      </c>
      <c r="F945" s="425" t="s">
        <v>992</v>
      </c>
      <c r="G945" s="425" t="s">
        <v>1054</v>
      </c>
      <c r="H945" s="426" t="s">
        <v>699</v>
      </c>
      <c r="I945" s="425" t="s">
        <v>1055</v>
      </c>
      <c r="J945" s="425" t="s">
        <v>697</v>
      </c>
      <c r="K945" s="425" t="s">
        <v>995</v>
      </c>
      <c r="L945" s="425" t="s">
        <v>996</v>
      </c>
      <c r="M945" s="425" t="s">
        <v>997</v>
      </c>
      <c r="N945" s="425" t="s">
        <v>558</v>
      </c>
      <c r="O945" s="425" t="s">
        <v>998</v>
      </c>
      <c r="P945" s="425" t="s">
        <v>999</v>
      </c>
      <c r="Q945" s="425" t="s">
        <v>1000</v>
      </c>
      <c r="R945" s="425" t="s">
        <v>1001</v>
      </c>
      <c r="S945" s="425" t="s">
        <v>1002</v>
      </c>
      <c r="T945" s="423">
        <v>250</v>
      </c>
      <c r="U945" s="423" t="s">
        <v>1041</v>
      </c>
      <c r="V945" s="423">
        <v>70</v>
      </c>
      <c r="W945" s="423">
        <v>1</v>
      </c>
      <c r="X945" s="423">
        <v>9</v>
      </c>
      <c r="Y945" s="423" t="s">
        <v>1041</v>
      </c>
      <c r="Z945" s="423" t="s">
        <v>1059</v>
      </c>
      <c r="AD945" s="423">
        <f>IF(ISNUMBER(MATCH(B945,'FICHA SOLIC'!$AB$26:$AB$376,0)),1,0)</f>
        <v>1</v>
      </c>
      <c r="AE945" s="423" t="str">
        <f t="shared" si="14"/>
        <v>MaipúZC-3</v>
      </c>
    </row>
    <row r="946" spans="1:31" x14ac:dyDescent="0.25">
      <c r="A946" s="423">
        <v>945</v>
      </c>
      <c r="B946" s="423" t="s">
        <v>421</v>
      </c>
      <c r="C946" s="423" t="s">
        <v>1463</v>
      </c>
      <c r="D946" s="425" t="s">
        <v>990</v>
      </c>
      <c r="E946" s="425" t="s">
        <v>991</v>
      </c>
      <c r="F946" s="425" t="s">
        <v>992</v>
      </c>
      <c r="G946" s="425" t="s">
        <v>1054</v>
      </c>
      <c r="H946" s="426" t="s">
        <v>699</v>
      </c>
      <c r="I946" s="425" t="s">
        <v>1055</v>
      </c>
      <c r="J946" s="425" t="s">
        <v>697</v>
      </c>
      <c r="K946" s="425" t="s">
        <v>995</v>
      </c>
      <c r="L946" s="425" t="s">
        <v>996</v>
      </c>
      <c r="M946" s="425" t="s">
        <v>997</v>
      </c>
      <c r="N946" s="425" t="s">
        <v>558</v>
      </c>
      <c r="O946" s="425" t="s">
        <v>998</v>
      </c>
      <c r="P946" s="425" t="s">
        <v>999</v>
      </c>
      <c r="Q946" s="425" t="s">
        <v>1000</v>
      </c>
      <c r="R946" s="425" t="s">
        <v>1001</v>
      </c>
      <c r="S946" s="425" t="s">
        <v>1002</v>
      </c>
      <c r="T946" s="423">
        <v>200</v>
      </c>
      <c r="U946" s="423" t="s">
        <v>1041</v>
      </c>
      <c r="V946" s="423">
        <v>45</v>
      </c>
      <c r="W946" s="423">
        <v>1</v>
      </c>
      <c r="X946" s="423">
        <v>9</v>
      </c>
      <c r="Y946" s="423" t="s">
        <v>1041</v>
      </c>
      <c r="Z946" s="423" t="s">
        <v>1057</v>
      </c>
      <c r="AD946" s="423">
        <f>IF(ISNUMBER(MATCH(B946,'FICHA SOLIC'!$AB$26:$AB$376,0)),1,0)</f>
        <v>1</v>
      </c>
      <c r="AE946" s="423" t="str">
        <f t="shared" si="14"/>
        <v>MaipúZC-4</v>
      </c>
    </row>
    <row r="947" spans="1:31" x14ac:dyDescent="0.25">
      <c r="A947" s="423">
        <v>946</v>
      </c>
      <c r="B947" s="423" t="s">
        <v>421</v>
      </c>
      <c r="C947" s="423" t="s">
        <v>1456</v>
      </c>
      <c r="D947" s="425" t="s">
        <v>990</v>
      </c>
      <c r="E947" s="425" t="s">
        <v>991</v>
      </c>
      <c r="F947" s="425" t="s">
        <v>992</v>
      </c>
      <c r="G947" s="425" t="s">
        <v>1054</v>
      </c>
      <c r="H947" s="426" t="s">
        <v>699</v>
      </c>
      <c r="I947" s="425" t="s">
        <v>1055</v>
      </c>
      <c r="J947" s="425" t="s">
        <v>697</v>
      </c>
      <c r="K947" s="425" t="s">
        <v>995</v>
      </c>
      <c r="L947" s="425" t="s">
        <v>996</v>
      </c>
      <c r="M947" s="425" t="s">
        <v>997</v>
      </c>
      <c r="N947" s="425" t="s">
        <v>558</v>
      </c>
      <c r="O947" s="425" t="s">
        <v>998</v>
      </c>
      <c r="P947" s="425" t="s">
        <v>999</v>
      </c>
      <c r="Q947" s="425" t="s">
        <v>1000</v>
      </c>
      <c r="R947" s="425" t="s">
        <v>1001</v>
      </c>
      <c r="S947" s="425" t="s">
        <v>1002</v>
      </c>
      <c r="T947" s="423" t="s">
        <v>1025</v>
      </c>
      <c r="U947" s="423" t="s">
        <v>1041</v>
      </c>
      <c r="V947" s="423">
        <v>5</v>
      </c>
      <c r="W947" s="423">
        <v>0.05</v>
      </c>
      <c r="X947" s="423">
        <v>3</v>
      </c>
      <c r="Y947" s="423">
        <v>3</v>
      </c>
      <c r="Z947" s="423" t="s">
        <v>1058</v>
      </c>
      <c r="AD947" s="423">
        <f>IF(ISNUMBER(MATCH(B947,'FICHA SOLIC'!$AB$26:$AB$376,0)),1,0)</f>
        <v>1</v>
      </c>
      <c r="AE947" s="423" t="str">
        <f t="shared" si="14"/>
        <v>MaipúZCH</v>
      </c>
    </row>
    <row r="948" spans="1:31" x14ac:dyDescent="0.25">
      <c r="A948" s="423">
        <v>947</v>
      </c>
      <c r="B948" s="423" t="s">
        <v>421</v>
      </c>
      <c r="C948" s="423" t="s">
        <v>1454</v>
      </c>
      <c r="D948" s="425" t="s">
        <v>990</v>
      </c>
      <c r="E948" s="425" t="s">
        <v>991</v>
      </c>
      <c r="F948" s="425" t="s">
        <v>992</v>
      </c>
      <c r="G948" s="425" t="s">
        <v>1054</v>
      </c>
      <c r="H948" s="426" t="s">
        <v>699</v>
      </c>
      <c r="I948" s="425" t="s">
        <v>1055</v>
      </c>
      <c r="J948" s="425" t="s">
        <v>697</v>
      </c>
      <c r="K948" s="425" t="s">
        <v>995</v>
      </c>
      <c r="L948" s="425" t="s">
        <v>996</v>
      </c>
      <c r="M948" s="425" t="s">
        <v>997</v>
      </c>
      <c r="N948" s="425" t="s">
        <v>558</v>
      </c>
      <c r="O948" s="425" t="s">
        <v>998</v>
      </c>
      <c r="P948" s="425" t="s">
        <v>999</v>
      </c>
      <c r="Q948" s="425" t="s">
        <v>1000</v>
      </c>
      <c r="R948" s="425" t="s">
        <v>1001</v>
      </c>
      <c r="S948" s="425" t="s">
        <v>1002</v>
      </c>
      <c r="T948" s="423" t="s">
        <v>1025</v>
      </c>
      <c r="U948" s="423" t="s">
        <v>1041</v>
      </c>
      <c r="V948" s="423">
        <v>40</v>
      </c>
      <c r="W948" s="423">
        <v>1</v>
      </c>
      <c r="X948" s="423" t="s">
        <v>1485</v>
      </c>
      <c r="Y948" s="423">
        <v>5</v>
      </c>
      <c r="Z948" s="423" t="s">
        <v>1058</v>
      </c>
      <c r="AD948" s="423">
        <f>IF(ISNUMBER(MATCH(B948,'FICHA SOLIC'!$AB$26:$AB$376,0)),1,0)</f>
        <v>1</v>
      </c>
      <c r="AE948" s="423" t="str">
        <f t="shared" si="14"/>
        <v>MaipúZE-1</v>
      </c>
    </row>
    <row r="949" spans="1:31" x14ac:dyDescent="0.25">
      <c r="A949" s="423">
        <v>948</v>
      </c>
      <c r="B949" s="423" t="s">
        <v>421</v>
      </c>
      <c r="C949" s="423" t="s">
        <v>1482</v>
      </c>
      <c r="D949" s="425" t="s">
        <v>990</v>
      </c>
      <c r="E949" s="425" t="s">
        <v>991</v>
      </c>
      <c r="F949" s="425" t="s">
        <v>992</v>
      </c>
      <c r="G949" s="425" t="s">
        <v>1054</v>
      </c>
      <c r="H949" s="426" t="s">
        <v>699</v>
      </c>
      <c r="I949" s="425" t="s">
        <v>1055</v>
      </c>
      <c r="J949" s="425" t="s">
        <v>697</v>
      </c>
      <c r="K949" s="425" t="s">
        <v>995</v>
      </c>
      <c r="L949" s="425" t="s">
        <v>996</v>
      </c>
      <c r="M949" s="425" t="s">
        <v>997</v>
      </c>
      <c r="N949" s="425" t="s">
        <v>558</v>
      </c>
      <c r="O949" s="425" t="s">
        <v>998</v>
      </c>
      <c r="P949" s="425" t="s">
        <v>999</v>
      </c>
      <c r="Q949" s="425" t="s">
        <v>1000</v>
      </c>
      <c r="R949" s="425" t="s">
        <v>1001</v>
      </c>
      <c r="S949" s="425" t="s">
        <v>1002</v>
      </c>
      <c r="T949" s="423" t="s">
        <v>1041</v>
      </c>
      <c r="U949" s="423" t="s">
        <v>1041</v>
      </c>
      <c r="V949" s="423">
        <v>5</v>
      </c>
      <c r="W949" s="423">
        <v>0.05</v>
      </c>
      <c r="X949" s="423">
        <v>10</v>
      </c>
      <c r="Y949" s="423" t="s">
        <v>1041</v>
      </c>
      <c r="Z949" s="423" t="s">
        <v>1058</v>
      </c>
      <c r="AD949" s="423">
        <f>IF(ISNUMBER(MATCH(B949,'FICHA SOLIC'!$AB$26:$AB$376,0)),1,0)</f>
        <v>1</v>
      </c>
      <c r="AE949" s="423" t="str">
        <f t="shared" si="14"/>
        <v>MaipúZE-10</v>
      </c>
    </row>
    <row r="950" spans="1:31" x14ac:dyDescent="0.25">
      <c r="A950" s="423">
        <v>949</v>
      </c>
      <c r="B950" s="423" t="s">
        <v>421</v>
      </c>
      <c r="C950" s="423" t="s">
        <v>1483</v>
      </c>
      <c r="D950" s="425" t="s">
        <v>990</v>
      </c>
      <c r="E950" s="425" t="s">
        <v>991</v>
      </c>
      <c r="F950" s="425" t="s">
        <v>992</v>
      </c>
      <c r="G950" s="425" t="s">
        <v>1054</v>
      </c>
      <c r="H950" s="426" t="s">
        <v>699</v>
      </c>
      <c r="I950" s="425" t="s">
        <v>1055</v>
      </c>
      <c r="J950" s="425" t="s">
        <v>697</v>
      </c>
      <c r="K950" s="425" t="s">
        <v>995</v>
      </c>
      <c r="L950" s="425" t="s">
        <v>996</v>
      </c>
      <c r="M950" s="425" t="s">
        <v>997</v>
      </c>
      <c r="N950" s="425" t="s">
        <v>558</v>
      </c>
      <c r="O950" s="425" t="s">
        <v>998</v>
      </c>
      <c r="P950" s="425" t="s">
        <v>999</v>
      </c>
      <c r="Q950" s="425" t="s">
        <v>1000</v>
      </c>
      <c r="R950" s="425" t="s">
        <v>1001</v>
      </c>
      <c r="S950" s="425" t="s">
        <v>1002</v>
      </c>
      <c r="T950" s="423" t="s">
        <v>1041</v>
      </c>
      <c r="U950" s="423" t="s">
        <v>1041</v>
      </c>
      <c r="V950" s="423" t="s">
        <v>1041</v>
      </c>
      <c r="W950" s="423" t="s">
        <v>1041</v>
      </c>
      <c r="X950" s="423" t="s">
        <v>1041</v>
      </c>
      <c r="Y950" s="423" t="s">
        <v>1041</v>
      </c>
      <c r="Z950" s="423" t="s">
        <v>1041</v>
      </c>
      <c r="AD950" s="423">
        <f>IF(ISNUMBER(MATCH(B950,'FICHA SOLIC'!$AB$26:$AB$376,0)),1,0)</f>
        <v>1</v>
      </c>
      <c r="AE950" s="423" t="str">
        <f t="shared" si="14"/>
        <v>MaipúZE-11</v>
      </c>
    </row>
    <row r="951" spans="1:31" x14ac:dyDescent="0.25">
      <c r="A951" s="423">
        <v>950</v>
      </c>
      <c r="B951" s="423" t="s">
        <v>421</v>
      </c>
      <c r="C951" s="423" t="s">
        <v>1474</v>
      </c>
      <c r="D951" s="425" t="s">
        <v>990</v>
      </c>
      <c r="E951" s="425" t="s">
        <v>991</v>
      </c>
      <c r="F951" s="425" t="s">
        <v>992</v>
      </c>
      <c r="G951" s="425" t="s">
        <v>1054</v>
      </c>
      <c r="H951" s="426" t="s">
        <v>699</v>
      </c>
      <c r="I951" s="425" t="s">
        <v>1055</v>
      </c>
      <c r="J951" s="425" t="s">
        <v>697</v>
      </c>
      <c r="K951" s="425" t="s">
        <v>995</v>
      </c>
      <c r="L951" s="425" t="s">
        <v>996</v>
      </c>
      <c r="M951" s="425" t="s">
        <v>997</v>
      </c>
      <c r="N951" s="425" t="s">
        <v>558</v>
      </c>
      <c r="O951" s="425" t="s">
        <v>998</v>
      </c>
      <c r="P951" s="425" t="s">
        <v>999</v>
      </c>
      <c r="Q951" s="425" t="s">
        <v>1000</v>
      </c>
      <c r="R951" s="425" t="s">
        <v>1001</v>
      </c>
      <c r="S951" s="425" t="s">
        <v>1002</v>
      </c>
      <c r="T951" s="423" t="s">
        <v>1025</v>
      </c>
      <c r="U951" s="423" t="s">
        <v>1041</v>
      </c>
      <c r="V951" s="423">
        <v>70</v>
      </c>
      <c r="W951" s="423">
        <v>0.2</v>
      </c>
      <c r="X951" s="423">
        <v>15</v>
      </c>
      <c r="Y951" s="423">
        <v>5</v>
      </c>
      <c r="Z951" s="423" t="s">
        <v>1058</v>
      </c>
      <c r="AD951" s="423">
        <f>IF(ISNUMBER(MATCH(B951,'FICHA SOLIC'!$AB$26:$AB$376,0)),1,0)</f>
        <v>1</v>
      </c>
      <c r="AE951" s="423" t="str">
        <f t="shared" si="14"/>
        <v>MaipúZE-2</v>
      </c>
    </row>
    <row r="952" spans="1:31" x14ac:dyDescent="0.25">
      <c r="A952" s="423">
        <v>951</v>
      </c>
      <c r="B952" s="423" t="s">
        <v>421</v>
      </c>
      <c r="C952" s="423" t="s">
        <v>1475</v>
      </c>
      <c r="D952" s="425" t="s">
        <v>990</v>
      </c>
      <c r="E952" s="425" t="s">
        <v>991</v>
      </c>
      <c r="F952" s="425" t="s">
        <v>992</v>
      </c>
      <c r="G952" s="425" t="s">
        <v>1054</v>
      </c>
      <c r="H952" s="426" t="s">
        <v>699</v>
      </c>
      <c r="I952" s="425" t="s">
        <v>1055</v>
      </c>
      <c r="J952" s="425" t="s">
        <v>697</v>
      </c>
      <c r="K952" s="425" t="s">
        <v>995</v>
      </c>
      <c r="L952" s="425" t="s">
        <v>996</v>
      </c>
      <c r="M952" s="425" t="s">
        <v>997</v>
      </c>
      <c r="N952" s="425" t="s">
        <v>558</v>
      </c>
      <c r="O952" s="425" t="s">
        <v>998</v>
      </c>
      <c r="P952" s="425" t="s">
        <v>999</v>
      </c>
      <c r="Q952" s="425" t="s">
        <v>1000</v>
      </c>
      <c r="R952" s="425" t="s">
        <v>1001</v>
      </c>
      <c r="S952" s="425" t="s">
        <v>1002</v>
      </c>
      <c r="T952" s="434" t="s">
        <v>603</v>
      </c>
      <c r="U952" s="423" t="s">
        <v>1041</v>
      </c>
      <c r="V952" s="423">
        <v>5</v>
      </c>
      <c r="W952" s="423">
        <v>0.05</v>
      </c>
      <c r="X952" s="423">
        <v>15</v>
      </c>
      <c r="Y952" s="423">
        <v>5</v>
      </c>
      <c r="Z952" s="423" t="s">
        <v>1058</v>
      </c>
      <c r="AD952" s="423">
        <f>IF(ISNUMBER(MATCH(B952,'FICHA SOLIC'!$AB$26:$AB$376,0)),1,0)</f>
        <v>1</v>
      </c>
      <c r="AE952" s="423" t="str">
        <f t="shared" si="14"/>
        <v>MaipúZE-3</v>
      </c>
    </row>
    <row r="953" spans="1:31" x14ac:dyDescent="0.25">
      <c r="A953" s="423">
        <v>952</v>
      </c>
      <c r="B953" s="423" t="s">
        <v>421</v>
      </c>
      <c r="C953" s="423" t="s">
        <v>1476</v>
      </c>
      <c r="D953" s="425" t="s">
        <v>990</v>
      </c>
      <c r="E953" s="425" t="s">
        <v>991</v>
      </c>
      <c r="F953" s="425" t="s">
        <v>992</v>
      </c>
      <c r="G953" s="425" t="s">
        <v>1054</v>
      </c>
      <c r="H953" s="426" t="s">
        <v>699</v>
      </c>
      <c r="I953" s="425" t="s">
        <v>1055</v>
      </c>
      <c r="J953" s="425" t="s">
        <v>697</v>
      </c>
      <c r="K953" s="425" t="s">
        <v>995</v>
      </c>
      <c r="L953" s="425" t="s">
        <v>996</v>
      </c>
      <c r="M953" s="425" t="s">
        <v>997</v>
      </c>
      <c r="N953" s="425" t="s">
        <v>558</v>
      </c>
      <c r="O953" s="425" t="s">
        <v>998</v>
      </c>
      <c r="P953" s="425" t="s">
        <v>999</v>
      </c>
      <c r="Q953" s="425" t="s">
        <v>1000</v>
      </c>
      <c r="R953" s="425" t="s">
        <v>1001</v>
      </c>
      <c r="S953" s="425" t="s">
        <v>1002</v>
      </c>
      <c r="T953" s="423" t="s">
        <v>1041</v>
      </c>
      <c r="U953" s="423" t="s">
        <v>1041</v>
      </c>
      <c r="V953" s="423" t="s">
        <v>1041</v>
      </c>
      <c r="W953" s="423" t="s">
        <v>1041</v>
      </c>
      <c r="X953" s="423" t="s">
        <v>1041</v>
      </c>
      <c r="Y953" s="423" t="s">
        <v>1041</v>
      </c>
      <c r="Z953" s="423" t="s">
        <v>1041</v>
      </c>
      <c r="AD953" s="423">
        <f>IF(ISNUMBER(MATCH(B953,'FICHA SOLIC'!$AB$26:$AB$376,0)),1,0)</f>
        <v>1</v>
      </c>
      <c r="AE953" s="423" t="str">
        <f t="shared" si="14"/>
        <v>MaipúZE-4</v>
      </c>
    </row>
    <row r="954" spans="1:31" x14ac:dyDescent="0.25">
      <c r="A954" s="423">
        <v>953</v>
      </c>
      <c r="B954" s="423" t="s">
        <v>421</v>
      </c>
      <c r="C954" s="423" t="s">
        <v>1477</v>
      </c>
      <c r="D954" s="425" t="s">
        <v>990</v>
      </c>
      <c r="E954" s="425" t="s">
        <v>991</v>
      </c>
      <c r="F954" s="425" t="s">
        <v>992</v>
      </c>
      <c r="G954" s="425" t="s">
        <v>1054</v>
      </c>
      <c r="H954" s="426" t="s">
        <v>699</v>
      </c>
      <c r="I954" s="425" t="s">
        <v>1055</v>
      </c>
      <c r="J954" s="425" t="s">
        <v>697</v>
      </c>
      <c r="K954" s="425" t="s">
        <v>995</v>
      </c>
      <c r="L954" s="425" t="s">
        <v>996</v>
      </c>
      <c r="M954" s="425" t="s">
        <v>997</v>
      </c>
      <c r="N954" s="425" t="s">
        <v>558</v>
      </c>
      <c r="O954" s="425" t="s">
        <v>998</v>
      </c>
      <c r="P954" s="425" t="s">
        <v>999</v>
      </c>
      <c r="Q954" s="425" t="s">
        <v>1000</v>
      </c>
      <c r="R954" s="425" t="s">
        <v>1001</v>
      </c>
      <c r="S954" s="425" t="s">
        <v>1002</v>
      </c>
      <c r="T954" s="423">
        <v>250</v>
      </c>
      <c r="U954" s="423" t="s">
        <v>1041</v>
      </c>
      <c r="V954" s="423">
        <v>50</v>
      </c>
      <c r="W954" s="423" t="s">
        <v>1484</v>
      </c>
      <c r="X954" s="423" t="s">
        <v>1484</v>
      </c>
      <c r="Z954" s="423" t="s">
        <v>1057</v>
      </c>
      <c r="AD954" s="423">
        <f>IF(ISNUMBER(MATCH(B954,'FICHA SOLIC'!$AB$26:$AB$376,0)),1,0)</f>
        <v>1</v>
      </c>
      <c r="AE954" s="423" t="str">
        <f t="shared" si="14"/>
        <v>MaipúZE-5</v>
      </c>
    </row>
    <row r="955" spans="1:31" x14ac:dyDescent="0.25">
      <c r="A955" s="423">
        <v>954</v>
      </c>
      <c r="B955" s="423" t="s">
        <v>421</v>
      </c>
      <c r="C955" s="423" t="s">
        <v>1478</v>
      </c>
      <c r="D955" s="425" t="s">
        <v>990</v>
      </c>
      <c r="E955" s="425" t="s">
        <v>991</v>
      </c>
      <c r="F955" s="425" t="s">
        <v>992</v>
      </c>
      <c r="G955" s="425" t="s">
        <v>1054</v>
      </c>
      <c r="H955" s="426" t="s">
        <v>699</v>
      </c>
      <c r="I955" s="425" t="s">
        <v>1055</v>
      </c>
      <c r="J955" s="425" t="s">
        <v>697</v>
      </c>
      <c r="K955" s="425" t="s">
        <v>995</v>
      </c>
      <c r="L955" s="425" t="s">
        <v>996</v>
      </c>
      <c r="M955" s="425" t="s">
        <v>997</v>
      </c>
      <c r="N955" s="425" t="s">
        <v>558</v>
      </c>
      <c r="O955" s="425" t="s">
        <v>998</v>
      </c>
      <c r="P955" s="425" t="s">
        <v>999</v>
      </c>
      <c r="Q955" s="425" t="s">
        <v>1000</v>
      </c>
      <c r="R955" s="425" t="s">
        <v>1001</v>
      </c>
      <c r="S955" s="425" t="s">
        <v>1002</v>
      </c>
      <c r="T955" s="423">
        <v>500</v>
      </c>
      <c r="U955" s="423" t="s">
        <v>1041</v>
      </c>
      <c r="V955" s="423">
        <v>70</v>
      </c>
      <c r="W955" s="423" t="s">
        <v>1484</v>
      </c>
      <c r="X955" s="423" t="s">
        <v>1484</v>
      </c>
      <c r="Y955" s="434" t="s">
        <v>603</v>
      </c>
      <c r="Z955" s="423" t="s">
        <v>1059</v>
      </c>
      <c r="AD955" s="423">
        <f>IF(ISNUMBER(MATCH(B955,'FICHA SOLIC'!$AB$26:$AB$376,0)),1,0)</f>
        <v>1</v>
      </c>
      <c r="AE955" s="423" t="str">
        <f t="shared" si="14"/>
        <v>MaipúZE-6</v>
      </c>
    </row>
    <row r="956" spans="1:31" x14ac:dyDescent="0.25">
      <c r="A956" s="423">
        <v>955</v>
      </c>
      <c r="B956" s="423" t="s">
        <v>421</v>
      </c>
      <c r="C956" s="423" t="s">
        <v>1479</v>
      </c>
      <c r="D956" s="425" t="s">
        <v>990</v>
      </c>
      <c r="E956" s="425" t="s">
        <v>991</v>
      </c>
      <c r="F956" s="425" t="s">
        <v>992</v>
      </c>
      <c r="G956" s="425" t="s">
        <v>1054</v>
      </c>
      <c r="H956" s="426" t="s">
        <v>699</v>
      </c>
      <c r="I956" s="425" t="s">
        <v>1055</v>
      </c>
      <c r="J956" s="425" t="s">
        <v>697</v>
      </c>
      <c r="K956" s="425" t="s">
        <v>995</v>
      </c>
      <c r="L956" s="425" t="s">
        <v>996</v>
      </c>
      <c r="M956" s="425" t="s">
        <v>997</v>
      </c>
      <c r="N956" s="425" t="s">
        <v>558</v>
      </c>
      <c r="O956" s="425" t="s">
        <v>998</v>
      </c>
      <c r="P956" s="425" t="s">
        <v>999</v>
      </c>
      <c r="Q956" s="425" t="s">
        <v>1000</v>
      </c>
      <c r="R956" s="425" t="s">
        <v>1001</v>
      </c>
      <c r="S956" s="425" t="s">
        <v>1002</v>
      </c>
      <c r="T956" s="423" t="s">
        <v>1041</v>
      </c>
      <c r="U956" s="423" t="s">
        <v>1041</v>
      </c>
      <c r="V956" s="423" t="s">
        <v>1041</v>
      </c>
      <c r="W956" s="423" t="s">
        <v>1041</v>
      </c>
      <c r="X956" s="423" t="s">
        <v>1041</v>
      </c>
      <c r="Y956" s="423" t="s">
        <v>1041</v>
      </c>
      <c r="Z956" s="423" t="s">
        <v>1041</v>
      </c>
      <c r="AD956" s="423">
        <f>IF(ISNUMBER(MATCH(B956,'FICHA SOLIC'!$AB$26:$AB$376,0)),1,0)</f>
        <v>1</v>
      </c>
      <c r="AE956" s="423" t="str">
        <f t="shared" si="14"/>
        <v>MaipúZE-7</v>
      </c>
    </row>
    <row r="957" spans="1:31" x14ac:dyDescent="0.25">
      <c r="A957" s="423">
        <v>956</v>
      </c>
      <c r="B957" s="423" t="s">
        <v>421</v>
      </c>
      <c r="C957" s="423" t="s">
        <v>1480</v>
      </c>
      <c r="D957" s="425" t="s">
        <v>990</v>
      </c>
      <c r="E957" s="425" t="s">
        <v>991</v>
      </c>
      <c r="F957" s="425" t="s">
        <v>992</v>
      </c>
      <c r="G957" s="425" t="s">
        <v>1054</v>
      </c>
      <c r="H957" s="426" t="s">
        <v>699</v>
      </c>
      <c r="I957" s="425" t="s">
        <v>1055</v>
      </c>
      <c r="J957" s="425" t="s">
        <v>697</v>
      </c>
      <c r="K957" s="425" t="s">
        <v>995</v>
      </c>
      <c r="L957" s="425" t="s">
        <v>996</v>
      </c>
      <c r="M957" s="425" t="s">
        <v>997</v>
      </c>
      <c r="N957" s="425" t="s">
        <v>558</v>
      </c>
      <c r="O957" s="425" t="s">
        <v>998</v>
      </c>
      <c r="P957" s="425" t="s">
        <v>999</v>
      </c>
      <c r="Q957" s="425" t="s">
        <v>1000</v>
      </c>
      <c r="R957" s="425" t="s">
        <v>1001</v>
      </c>
      <c r="S957" s="425" t="s">
        <v>1002</v>
      </c>
      <c r="T957" s="423" t="s">
        <v>1041</v>
      </c>
      <c r="U957" s="423" t="s">
        <v>1041</v>
      </c>
      <c r="V957" s="423" t="s">
        <v>1041</v>
      </c>
      <c r="W957" s="423" t="s">
        <v>1041</v>
      </c>
      <c r="X957" s="423" t="s">
        <v>1041</v>
      </c>
      <c r="Y957" s="423" t="s">
        <v>1041</v>
      </c>
      <c r="Z957" s="423" t="s">
        <v>1041</v>
      </c>
      <c r="AD957" s="423">
        <f>IF(ISNUMBER(MATCH(B957,'FICHA SOLIC'!$AB$26:$AB$376,0)),1,0)</f>
        <v>1</v>
      </c>
      <c r="AE957" s="423" t="str">
        <f t="shared" si="14"/>
        <v>MaipúZE-8</v>
      </c>
    </row>
    <row r="958" spans="1:31" x14ac:dyDescent="0.25">
      <c r="A958" s="423">
        <v>957</v>
      </c>
      <c r="B958" s="423" t="s">
        <v>421</v>
      </c>
      <c r="C958" s="423" t="s">
        <v>1481</v>
      </c>
      <c r="D958" s="425" t="s">
        <v>990</v>
      </c>
      <c r="E958" s="425" t="s">
        <v>991</v>
      </c>
      <c r="F958" s="425" t="s">
        <v>992</v>
      </c>
      <c r="G958" s="425" t="s">
        <v>1054</v>
      </c>
      <c r="H958" s="426" t="s">
        <v>699</v>
      </c>
      <c r="I958" s="425" t="s">
        <v>1055</v>
      </c>
      <c r="J958" s="425" t="s">
        <v>697</v>
      </c>
      <c r="K958" s="425" t="s">
        <v>995</v>
      </c>
      <c r="L958" s="425" t="s">
        <v>996</v>
      </c>
      <c r="M958" s="425" t="s">
        <v>997</v>
      </c>
      <c r="N958" s="425" t="s">
        <v>558</v>
      </c>
      <c r="O958" s="425" t="s">
        <v>998</v>
      </c>
      <c r="P958" s="425" t="s">
        <v>999</v>
      </c>
      <c r="Q958" s="425" t="s">
        <v>1000</v>
      </c>
      <c r="R958" s="425" t="s">
        <v>1001</v>
      </c>
      <c r="S958" s="425" t="s">
        <v>1002</v>
      </c>
      <c r="T958" s="423" t="s">
        <v>1041</v>
      </c>
      <c r="U958" s="423" t="s">
        <v>1041</v>
      </c>
      <c r="V958" s="423" t="s">
        <v>1041</v>
      </c>
      <c r="W958" s="423" t="s">
        <v>1041</v>
      </c>
      <c r="X958" s="423" t="s">
        <v>1041</v>
      </c>
      <c r="Y958" s="423" t="s">
        <v>1041</v>
      </c>
      <c r="Z958" s="423" t="s">
        <v>1041</v>
      </c>
      <c r="AD958" s="423">
        <f>IF(ISNUMBER(MATCH(B958,'FICHA SOLIC'!$AB$26:$AB$376,0)),1,0)</f>
        <v>1</v>
      </c>
      <c r="AE958" s="423" t="str">
        <f t="shared" si="14"/>
        <v>MaipúZE-9</v>
      </c>
    </row>
    <row r="959" spans="1:31" x14ac:dyDescent="0.25">
      <c r="A959" s="423">
        <v>958</v>
      </c>
      <c r="B959" s="423" t="s">
        <v>421</v>
      </c>
      <c r="C959" s="423" t="s">
        <v>1464</v>
      </c>
      <c r="D959" s="425" t="s">
        <v>990</v>
      </c>
      <c r="E959" s="425" t="s">
        <v>991</v>
      </c>
      <c r="F959" s="425" t="s">
        <v>992</v>
      </c>
      <c r="G959" s="425" t="s">
        <v>1054</v>
      </c>
      <c r="H959" s="426" t="s">
        <v>699</v>
      </c>
      <c r="I959" s="425" t="s">
        <v>1055</v>
      </c>
      <c r="J959" s="425" t="s">
        <v>697</v>
      </c>
      <c r="K959" s="425" t="s">
        <v>995</v>
      </c>
      <c r="L959" s="425" t="s">
        <v>996</v>
      </c>
      <c r="M959" s="425" t="s">
        <v>997</v>
      </c>
      <c r="N959" s="425" t="s">
        <v>558</v>
      </c>
      <c r="O959" s="425" t="s">
        <v>998</v>
      </c>
      <c r="P959" s="425" t="s">
        <v>999</v>
      </c>
      <c r="Q959" s="425" t="s">
        <v>1000</v>
      </c>
      <c r="R959" s="425" t="s">
        <v>1001</v>
      </c>
      <c r="S959" s="425" t="s">
        <v>1002</v>
      </c>
      <c r="T959" s="423">
        <v>2500</v>
      </c>
      <c r="U959" s="423" t="s">
        <v>1041</v>
      </c>
      <c r="V959" s="423">
        <v>20</v>
      </c>
      <c r="W959" s="423">
        <v>0.4</v>
      </c>
      <c r="X959" s="423">
        <v>10.5</v>
      </c>
      <c r="Y959" s="423">
        <v>5</v>
      </c>
      <c r="Z959" s="423" t="s">
        <v>1058</v>
      </c>
      <c r="AD959" s="423">
        <f>IF(ISNUMBER(MATCH(B959,'FICHA SOLIC'!$AB$26:$AB$376,0)),1,0)</f>
        <v>1</v>
      </c>
      <c r="AE959" s="423" t="str">
        <f t="shared" si="14"/>
        <v>MaipúZH-1</v>
      </c>
    </row>
    <row r="960" spans="1:31" x14ac:dyDescent="0.25">
      <c r="A960" s="423">
        <v>959</v>
      </c>
      <c r="B960" s="423" t="s">
        <v>421</v>
      </c>
      <c r="C960" s="423" t="s">
        <v>1473</v>
      </c>
      <c r="D960" s="425" t="s">
        <v>990</v>
      </c>
      <c r="E960" s="425" t="s">
        <v>991</v>
      </c>
      <c r="F960" s="425" t="s">
        <v>992</v>
      </c>
      <c r="G960" s="425" t="s">
        <v>1054</v>
      </c>
      <c r="H960" s="426" t="s">
        <v>699</v>
      </c>
      <c r="I960" s="425" t="s">
        <v>1055</v>
      </c>
      <c r="J960" s="425" t="s">
        <v>697</v>
      </c>
      <c r="K960" s="425" t="s">
        <v>995</v>
      </c>
      <c r="L960" s="425" t="s">
        <v>996</v>
      </c>
      <c r="M960" s="425" t="s">
        <v>997</v>
      </c>
      <c r="N960" s="425" t="s">
        <v>558</v>
      </c>
      <c r="O960" s="425" t="s">
        <v>998</v>
      </c>
      <c r="P960" s="425" t="s">
        <v>999</v>
      </c>
      <c r="Q960" s="425" t="s">
        <v>1000</v>
      </c>
      <c r="R960" s="425" t="s">
        <v>1001</v>
      </c>
      <c r="S960" s="425" t="s">
        <v>1002</v>
      </c>
      <c r="T960" s="423">
        <v>250</v>
      </c>
      <c r="U960" s="423">
        <v>50</v>
      </c>
      <c r="V960" s="423">
        <v>1</v>
      </c>
      <c r="W960" s="423">
        <v>9</v>
      </c>
      <c r="X960" s="423">
        <v>9</v>
      </c>
      <c r="Y960" s="423" t="s">
        <v>1041</v>
      </c>
      <c r="Z960" s="423" t="s">
        <v>1057</v>
      </c>
      <c r="AD960" s="423">
        <f>IF(ISNUMBER(MATCH(B960,'FICHA SOLIC'!$AB$26:$AB$376,0)),1,0)</f>
        <v>1</v>
      </c>
      <c r="AE960" s="423" t="str">
        <f t="shared" si="14"/>
        <v>MaipúZH-10</v>
      </c>
    </row>
    <row r="961" spans="1:31" x14ac:dyDescent="0.25">
      <c r="A961" s="423">
        <v>960</v>
      </c>
      <c r="B961" s="423" t="s">
        <v>421</v>
      </c>
      <c r="C961" s="423" t="s">
        <v>1465</v>
      </c>
      <c r="D961" s="425" t="s">
        <v>990</v>
      </c>
      <c r="E961" s="425" t="s">
        <v>991</v>
      </c>
      <c r="F961" s="425" t="s">
        <v>992</v>
      </c>
      <c r="G961" s="425" t="s">
        <v>1054</v>
      </c>
      <c r="H961" s="426" t="s">
        <v>699</v>
      </c>
      <c r="I961" s="425" t="s">
        <v>1055</v>
      </c>
      <c r="J961" s="425" t="s">
        <v>697</v>
      </c>
      <c r="K961" s="425" t="s">
        <v>995</v>
      </c>
      <c r="L961" s="425" t="s">
        <v>996</v>
      </c>
      <c r="M961" s="425" t="s">
        <v>997</v>
      </c>
      <c r="N961" s="425" t="s">
        <v>558</v>
      </c>
      <c r="O961" s="425" t="s">
        <v>998</v>
      </c>
      <c r="P961" s="425" t="s">
        <v>999</v>
      </c>
      <c r="Q961" s="425" t="s">
        <v>1000</v>
      </c>
      <c r="R961" s="425" t="s">
        <v>1001</v>
      </c>
      <c r="S961" s="425" t="s">
        <v>1002</v>
      </c>
      <c r="T961" s="423">
        <v>250</v>
      </c>
      <c r="U961" s="423" t="s">
        <v>1041</v>
      </c>
      <c r="V961" s="423">
        <v>50</v>
      </c>
      <c r="W961" s="423">
        <v>1</v>
      </c>
      <c r="X961" s="423">
        <v>9</v>
      </c>
      <c r="Y961" s="423" t="s">
        <v>1041</v>
      </c>
      <c r="Z961" s="423" t="s">
        <v>1057</v>
      </c>
      <c r="AD961" s="423">
        <f>IF(ISNUMBER(MATCH(B961,'FICHA SOLIC'!$AB$26:$AB$376,0)),1,0)</f>
        <v>1</v>
      </c>
      <c r="AE961" s="423" t="str">
        <f t="shared" si="14"/>
        <v>MaipúZH-2</v>
      </c>
    </row>
    <row r="962" spans="1:31" x14ac:dyDescent="0.25">
      <c r="A962" s="423">
        <v>961</v>
      </c>
      <c r="B962" s="423" t="s">
        <v>421</v>
      </c>
      <c r="C962" s="423" t="s">
        <v>1466</v>
      </c>
      <c r="D962" s="425" t="s">
        <v>990</v>
      </c>
      <c r="E962" s="425" t="s">
        <v>991</v>
      </c>
      <c r="F962" s="425" t="s">
        <v>992</v>
      </c>
      <c r="G962" s="425" t="s">
        <v>1054</v>
      </c>
      <c r="H962" s="426" t="s">
        <v>699</v>
      </c>
      <c r="I962" s="425" t="s">
        <v>1055</v>
      </c>
      <c r="J962" s="425" t="s">
        <v>697</v>
      </c>
      <c r="K962" s="425" t="s">
        <v>995</v>
      </c>
      <c r="L962" s="425" t="s">
        <v>996</v>
      </c>
      <c r="M962" s="425" t="s">
        <v>997</v>
      </c>
      <c r="N962" s="425" t="s">
        <v>558</v>
      </c>
      <c r="O962" s="425" t="s">
        <v>998</v>
      </c>
      <c r="P962" s="425" t="s">
        <v>999</v>
      </c>
      <c r="Q962" s="425" t="s">
        <v>1000</v>
      </c>
      <c r="R962" s="425" t="s">
        <v>1001</v>
      </c>
      <c r="S962" s="425" t="s">
        <v>1002</v>
      </c>
      <c r="T962" s="423">
        <v>180</v>
      </c>
      <c r="U962" s="423" t="s">
        <v>1041</v>
      </c>
      <c r="V962" s="423">
        <v>65</v>
      </c>
      <c r="W962" s="423">
        <v>0.8</v>
      </c>
      <c r="X962" s="423">
        <v>9</v>
      </c>
      <c r="Y962" s="423" t="s">
        <v>1041</v>
      </c>
      <c r="Z962" s="423" t="s">
        <v>1057</v>
      </c>
      <c r="AD962" s="423">
        <f>IF(ISNUMBER(MATCH(B962,'FICHA SOLIC'!$AB$26:$AB$376,0)),1,0)</f>
        <v>1</v>
      </c>
      <c r="AE962" s="423" t="str">
        <f t="shared" si="14"/>
        <v>MaipúZH-3</v>
      </c>
    </row>
    <row r="963" spans="1:31" x14ac:dyDescent="0.25">
      <c r="A963" s="423">
        <v>962</v>
      </c>
      <c r="B963" s="423" t="s">
        <v>421</v>
      </c>
      <c r="C963" s="423" t="s">
        <v>1467</v>
      </c>
      <c r="D963" s="425" t="s">
        <v>990</v>
      </c>
      <c r="E963" s="425" t="s">
        <v>991</v>
      </c>
      <c r="F963" s="425" t="s">
        <v>992</v>
      </c>
      <c r="G963" s="425" t="s">
        <v>1054</v>
      </c>
      <c r="H963" s="426" t="s">
        <v>699</v>
      </c>
      <c r="I963" s="425" t="s">
        <v>1055</v>
      </c>
      <c r="J963" s="425" t="s">
        <v>697</v>
      </c>
      <c r="K963" s="425" t="s">
        <v>995</v>
      </c>
      <c r="L963" s="425" t="s">
        <v>996</v>
      </c>
      <c r="M963" s="425" t="s">
        <v>997</v>
      </c>
      <c r="N963" s="425" t="s">
        <v>558</v>
      </c>
      <c r="O963" s="425" t="s">
        <v>998</v>
      </c>
      <c r="P963" s="425" t="s">
        <v>999</v>
      </c>
      <c r="Q963" s="425" t="s">
        <v>1000</v>
      </c>
      <c r="R963" s="425" t="s">
        <v>1001</v>
      </c>
      <c r="S963" s="425" t="s">
        <v>1002</v>
      </c>
      <c r="T963" s="423">
        <v>200</v>
      </c>
      <c r="U963" s="423" t="s">
        <v>1041</v>
      </c>
      <c r="V963" s="423">
        <v>70</v>
      </c>
      <c r="W963" s="423">
        <v>1</v>
      </c>
      <c r="X963" s="423">
        <v>9</v>
      </c>
      <c r="Y963" s="423" t="s">
        <v>1041</v>
      </c>
      <c r="Z963" s="423" t="s">
        <v>1057</v>
      </c>
      <c r="AD963" s="423">
        <f>IF(ISNUMBER(MATCH(B963,'FICHA SOLIC'!$AB$26:$AB$376,0)),1,0)</f>
        <v>1</v>
      </c>
      <c r="AE963" s="423" t="str">
        <f t="shared" ref="AE963:AE1026" si="15">B963&amp;C963</f>
        <v>MaipúZH-4</v>
      </c>
    </row>
    <row r="964" spans="1:31" x14ac:dyDescent="0.25">
      <c r="A964" s="423">
        <v>963</v>
      </c>
      <c r="B964" s="423" t="s">
        <v>421</v>
      </c>
      <c r="C964" s="423" t="s">
        <v>1468</v>
      </c>
      <c r="D964" s="425" t="s">
        <v>990</v>
      </c>
      <c r="E964" s="425" t="s">
        <v>991</v>
      </c>
      <c r="F964" s="425" t="s">
        <v>992</v>
      </c>
      <c r="G964" s="425" t="s">
        <v>1054</v>
      </c>
      <c r="H964" s="426" t="s">
        <v>699</v>
      </c>
      <c r="I964" s="425" t="s">
        <v>1055</v>
      </c>
      <c r="J964" s="425" t="s">
        <v>697</v>
      </c>
      <c r="K964" s="425" t="s">
        <v>995</v>
      </c>
      <c r="L964" s="425" t="s">
        <v>996</v>
      </c>
      <c r="M964" s="425" t="s">
        <v>997</v>
      </c>
      <c r="N964" s="425" t="s">
        <v>558</v>
      </c>
      <c r="O964" s="425" t="s">
        <v>998</v>
      </c>
      <c r="P964" s="425" t="s">
        <v>999</v>
      </c>
      <c r="Q964" s="425" t="s">
        <v>1000</v>
      </c>
      <c r="R964" s="425" t="s">
        <v>1001</v>
      </c>
      <c r="S964" s="425" t="s">
        <v>1002</v>
      </c>
      <c r="T964" s="423">
        <v>300</v>
      </c>
      <c r="U964" s="423" t="s">
        <v>1041</v>
      </c>
      <c r="V964" s="423">
        <v>50</v>
      </c>
      <c r="W964" s="423">
        <v>1.5</v>
      </c>
      <c r="X964" s="423">
        <v>15</v>
      </c>
      <c r="Y964" s="423" t="s">
        <v>1041</v>
      </c>
      <c r="Z964" s="423" t="s">
        <v>1059</v>
      </c>
      <c r="AD964" s="423">
        <f>IF(ISNUMBER(MATCH(B964,'FICHA SOLIC'!$AB$26:$AB$376,0)),1,0)</f>
        <v>1</v>
      </c>
      <c r="AE964" s="423" t="str">
        <f t="shared" si="15"/>
        <v>MaipúZH-5</v>
      </c>
    </row>
    <row r="965" spans="1:31" x14ac:dyDescent="0.25">
      <c r="A965" s="423">
        <v>964</v>
      </c>
      <c r="B965" s="423" t="s">
        <v>421</v>
      </c>
      <c r="C965" s="423" t="s">
        <v>1469</v>
      </c>
      <c r="D965" s="425" t="s">
        <v>990</v>
      </c>
      <c r="E965" s="425" t="s">
        <v>991</v>
      </c>
      <c r="F965" s="425" t="s">
        <v>992</v>
      </c>
      <c r="G965" s="425" t="s">
        <v>1054</v>
      </c>
      <c r="H965" s="426" t="s">
        <v>699</v>
      </c>
      <c r="I965" s="425" t="s">
        <v>1055</v>
      </c>
      <c r="J965" s="425" t="s">
        <v>697</v>
      </c>
      <c r="K965" s="425" t="s">
        <v>995</v>
      </c>
      <c r="L965" s="425" t="s">
        <v>996</v>
      </c>
      <c r="M965" s="425" t="s">
        <v>997</v>
      </c>
      <c r="N965" s="425" t="s">
        <v>558</v>
      </c>
      <c r="O965" s="425" t="s">
        <v>998</v>
      </c>
      <c r="P965" s="425" t="s">
        <v>999</v>
      </c>
      <c r="Q965" s="425" t="s">
        <v>1000</v>
      </c>
      <c r="R965" s="425" t="s">
        <v>1001</v>
      </c>
      <c r="S965" s="425" t="s">
        <v>1002</v>
      </c>
      <c r="T965" s="423">
        <v>200</v>
      </c>
      <c r="U965" s="423" t="s">
        <v>1041</v>
      </c>
      <c r="V965" s="423">
        <v>70</v>
      </c>
      <c r="W965" s="423">
        <v>1</v>
      </c>
      <c r="X965" s="423">
        <v>9</v>
      </c>
      <c r="Y965" s="423" t="s">
        <v>1041</v>
      </c>
      <c r="Z965" s="423" t="s">
        <v>1057</v>
      </c>
      <c r="AD965" s="423">
        <f>IF(ISNUMBER(MATCH(B965,'FICHA SOLIC'!$AB$26:$AB$376,0)),1,0)</f>
        <v>1</v>
      </c>
      <c r="AE965" s="423" t="str">
        <f t="shared" si="15"/>
        <v>MaipúZH-6</v>
      </c>
    </row>
    <row r="966" spans="1:31" x14ac:dyDescent="0.25">
      <c r="A966" s="423">
        <v>965</v>
      </c>
      <c r="B966" s="423" t="s">
        <v>421</v>
      </c>
      <c r="C966" s="423" t="s">
        <v>1470</v>
      </c>
      <c r="D966" s="425" t="s">
        <v>990</v>
      </c>
      <c r="E966" s="425" t="s">
        <v>991</v>
      </c>
      <c r="F966" s="425" t="s">
        <v>992</v>
      </c>
      <c r="G966" s="425" t="s">
        <v>1054</v>
      </c>
      <c r="H966" s="426" t="s">
        <v>699</v>
      </c>
      <c r="I966" s="425" t="s">
        <v>1055</v>
      </c>
      <c r="J966" s="425" t="s">
        <v>697</v>
      </c>
      <c r="K966" s="425" t="s">
        <v>995</v>
      </c>
      <c r="L966" s="425" t="s">
        <v>996</v>
      </c>
      <c r="M966" s="425" t="s">
        <v>997</v>
      </c>
      <c r="N966" s="425" t="s">
        <v>558</v>
      </c>
      <c r="O966" s="425" t="s">
        <v>998</v>
      </c>
      <c r="P966" s="425" t="s">
        <v>999</v>
      </c>
      <c r="Q966" s="425" t="s">
        <v>1000</v>
      </c>
      <c r="R966" s="425" t="s">
        <v>1001</v>
      </c>
      <c r="S966" s="425" t="s">
        <v>1002</v>
      </c>
      <c r="T966" s="423">
        <v>200</v>
      </c>
      <c r="U966" s="423" t="s">
        <v>1041</v>
      </c>
      <c r="V966" s="423">
        <v>70</v>
      </c>
      <c r="W966" s="423">
        <v>1</v>
      </c>
      <c r="X966" s="423">
        <v>9</v>
      </c>
      <c r="Y966" s="423" t="s">
        <v>1041</v>
      </c>
      <c r="Z966" s="423" t="s">
        <v>1057</v>
      </c>
      <c r="AD966" s="423">
        <f>IF(ISNUMBER(MATCH(B966,'FICHA SOLIC'!$AB$26:$AB$376,0)),1,0)</f>
        <v>1</v>
      </c>
      <c r="AE966" s="423" t="str">
        <f t="shared" si="15"/>
        <v>MaipúZH-7</v>
      </c>
    </row>
    <row r="967" spans="1:31" x14ac:dyDescent="0.25">
      <c r="A967" s="423">
        <v>966</v>
      </c>
      <c r="B967" s="423" t="s">
        <v>421</v>
      </c>
      <c r="C967" s="423" t="s">
        <v>1471</v>
      </c>
      <c r="D967" s="425" t="s">
        <v>990</v>
      </c>
      <c r="E967" s="425" t="s">
        <v>991</v>
      </c>
      <c r="F967" s="425" t="s">
        <v>992</v>
      </c>
      <c r="G967" s="425" t="s">
        <v>1054</v>
      </c>
      <c r="H967" s="426" t="s">
        <v>699</v>
      </c>
      <c r="I967" s="425" t="s">
        <v>1055</v>
      </c>
      <c r="J967" s="425" t="s">
        <v>697</v>
      </c>
      <c r="K967" s="425" t="s">
        <v>995</v>
      </c>
      <c r="L967" s="425" t="s">
        <v>996</v>
      </c>
      <c r="M967" s="425" t="s">
        <v>997</v>
      </c>
      <c r="N967" s="425" t="s">
        <v>558</v>
      </c>
      <c r="O967" s="425" t="s">
        <v>998</v>
      </c>
      <c r="P967" s="425" t="s">
        <v>999</v>
      </c>
      <c r="Q967" s="425" t="s">
        <v>1000</v>
      </c>
      <c r="R967" s="425" t="s">
        <v>1001</v>
      </c>
      <c r="S967" s="425" t="s">
        <v>1002</v>
      </c>
      <c r="T967" s="423">
        <v>200</v>
      </c>
      <c r="U967" s="423" t="s">
        <v>1041</v>
      </c>
      <c r="V967" s="423">
        <v>60</v>
      </c>
      <c r="W967" s="423">
        <v>0.8</v>
      </c>
      <c r="X967" s="423">
        <v>9</v>
      </c>
      <c r="Y967" s="423" t="s">
        <v>1041</v>
      </c>
      <c r="Z967" s="423" t="s">
        <v>1057</v>
      </c>
      <c r="AD967" s="423">
        <f>IF(ISNUMBER(MATCH(B967,'FICHA SOLIC'!$AB$26:$AB$376,0)),1,0)</f>
        <v>1</v>
      </c>
      <c r="AE967" s="423" t="str">
        <f t="shared" si="15"/>
        <v>MaipúZH-8</v>
      </c>
    </row>
    <row r="968" spans="1:31" x14ac:dyDescent="0.25">
      <c r="A968" s="423">
        <v>967</v>
      </c>
      <c r="B968" s="423" t="s">
        <v>421</v>
      </c>
      <c r="C968" s="423" t="s">
        <v>1472</v>
      </c>
      <c r="D968" s="425" t="s">
        <v>990</v>
      </c>
      <c r="E968" s="425" t="s">
        <v>991</v>
      </c>
      <c r="F968" s="425" t="s">
        <v>992</v>
      </c>
      <c r="G968" s="425" t="s">
        <v>1054</v>
      </c>
      <c r="H968" s="426" t="s">
        <v>699</v>
      </c>
      <c r="I968" s="425" t="s">
        <v>1055</v>
      </c>
      <c r="J968" s="425" t="s">
        <v>697</v>
      </c>
      <c r="K968" s="425" t="s">
        <v>995</v>
      </c>
      <c r="L968" s="425" t="s">
        <v>996</v>
      </c>
      <c r="M968" s="425" t="s">
        <v>997</v>
      </c>
      <c r="N968" s="425" t="s">
        <v>558</v>
      </c>
      <c r="O968" s="425" t="s">
        <v>998</v>
      </c>
      <c r="P968" s="425" t="s">
        <v>999</v>
      </c>
      <c r="Q968" s="425" t="s">
        <v>1000</v>
      </c>
      <c r="R968" s="425" t="s">
        <v>1001</v>
      </c>
      <c r="S968" s="425" t="s">
        <v>1002</v>
      </c>
      <c r="T968" s="423">
        <v>250</v>
      </c>
      <c r="U968" s="423" t="s">
        <v>1041</v>
      </c>
      <c r="V968" s="423">
        <v>50</v>
      </c>
      <c r="W968" s="423">
        <v>1</v>
      </c>
      <c r="X968" s="423">
        <v>9</v>
      </c>
      <c r="Y968" s="423" t="s">
        <v>1041</v>
      </c>
      <c r="Z968" s="423" t="s">
        <v>1057</v>
      </c>
      <c r="AD968" s="423">
        <f>IF(ISNUMBER(MATCH(B968,'FICHA SOLIC'!$AB$26:$AB$376,0)),1,0)</f>
        <v>1</v>
      </c>
      <c r="AE968" s="423" t="str">
        <f t="shared" si="15"/>
        <v>MaipúZH-9</v>
      </c>
    </row>
    <row r="969" spans="1:31" x14ac:dyDescent="0.25">
      <c r="A969" s="423">
        <v>968</v>
      </c>
      <c r="B969" s="423" t="s">
        <v>2406</v>
      </c>
      <c r="C969" s="423" t="s">
        <v>2014</v>
      </c>
      <c r="D969" s="973" t="s">
        <v>990</v>
      </c>
      <c r="E969" s="973" t="s">
        <v>991</v>
      </c>
      <c r="F969" s="973" t="s">
        <v>992</v>
      </c>
      <c r="G969" s="973" t="s">
        <v>1997</v>
      </c>
      <c r="H969" s="973" t="s">
        <v>1998</v>
      </c>
      <c r="I969" s="973" t="s">
        <v>1999</v>
      </c>
      <c r="J969" s="973" t="s">
        <v>697</v>
      </c>
      <c r="K969" s="973" t="s">
        <v>995</v>
      </c>
      <c r="L969" s="973" t="s">
        <v>996</v>
      </c>
      <c r="M969" s="973" t="s">
        <v>2000</v>
      </c>
      <c r="N969" s="973" t="s">
        <v>2001</v>
      </c>
      <c r="O969" s="973" t="s">
        <v>1971</v>
      </c>
      <c r="P969" s="973" t="s">
        <v>999</v>
      </c>
      <c r="Q969" s="973" t="s">
        <v>1000</v>
      </c>
      <c r="R969" s="973" t="s">
        <v>1001</v>
      </c>
      <c r="S969" s="973" t="s">
        <v>1002</v>
      </c>
      <c r="T969" s="423">
        <v>350</v>
      </c>
      <c r="U969" s="423" t="s">
        <v>1041</v>
      </c>
      <c r="V969" s="423">
        <v>100</v>
      </c>
      <c r="W969" s="423">
        <v>3</v>
      </c>
      <c r="X969" s="423">
        <v>14</v>
      </c>
      <c r="Y969" s="423" t="s">
        <v>1041</v>
      </c>
      <c r="Z969" s="423" t="s">
        <v>2068</v>
      </c>
      <c r="AD969" s="423">
        <f>IF(ISNUMBER(MATCH(B969,'FICHA SOLIC'!$AB$26:$AB$376,0)),1,0)</f>
        <v>0</v>
      </c>
      <c r="AE969" s="423" t="str">
        <f t="shared" si="15"/>
        <v>MaitencilloZ1</v>
      </c>
    </row>
    <row r="970" spans="1:31" x14ac:dyDescent="0.25">
      <c r="A970" s="423">
        <v>969</v>
      </c>
      <c r="B970" s="423" t="s">
        <v>2406</v>
      </c>
      <c r="C970" s="423" t="s">
        <v>2015</v>
      </c>
      <c r="D970" s="973" t="s">
        <v>990</v>
      </c>
      <c r="E970" s="973" t="s">
        <v>991</v>
      </c>
      <c r="F970" s="973" t="s">
        <v>992</v>
      </c>
      <c r="G970" s="973" t="s">
        <v>1997</v>
      </c>
      <c r="H970" s="973" t="s">
        <v>1998</v>
      </c>
      <c r="I970" s="973" t="s">
        <v>1999</v>
      </c>
      <c r="J970" s="973" t="s">
        <v>697</v>
      </c>
      <c r="K970" s="973" t="s">
        <v>995</v>
      </c>
      <c r="L970" s="973" t="s">
        <v>996</v>
      </c>
      <c r="M970" s="973" t="s">
        <v>2000</v>
      </c>
      <c r="N970" s="973" t="s">
        <v>2001</v>
      </c>
      <c r="O970" s="973" t="s">
        <v>1971</v>
      </c>
      <c r="P970" s="973" t="s">
        <v>999</v>
      </c>
      <c r="Q970" s="973" t="s">
        <v>1000</v>
      </c>
      <c r="R970" s="973" t="s">
        <v>1001</v>
      </c>
      <c r="S970" s="973" t="s">
        <v>1002</v>
      </c>
      <c r="T970" s="423">
        <v>600</v>
      </c>
      <c r="U970" s="423" t="s">
        <v>1041</v>
      </c>
      <c r="V970" s="423">
        <v>30</v>
      </c>
      <c r="W970" s="423">
        <v>0.6</v>
      </c>
      <c r="X970" s="423">
        <v>35</v>
      </c>
      <c r="Y970" s="423" t="s">
        <v>1041</v>
      </c>
      <c r="Z970" s="423" t="s">
        <v>1057</v>
      </c>
      <c r="AD970" s="423">
        <f>IF(ISNUMBER(MATCH(B970,'FICHA SOLIC'!$AB$26:$AB$376,0)),1,0)</f>
        <v>0</v>
      </c>
      <c r="AE970" s="423" t="str">
        <f t="shared" si="15"/>
        <v>MaitencilloZ10</v>
      </c>
    </row>
    <row r="971" spans="1:31" x14ac:dyDescent="0.25">
      <c r="A971" s="423">
        <v>970</v>
      </c>
      <c r="B971" s="423" t="s">
        <v>2406</v>
      </c>
      <c r="C971" s="423" t="s">
        <v>2016</v>
      </c>
      <c r="D971" s="973" t="s">
        <v>990</v>
      </c>
      <c r="E971" s="973" t="s">
        <v>991</v>
      </c>
      <c r="F971" s="973" t="s">
        <v>992</v>
      </c>
      <c r="G971" s="973" t="s">
        <v>1997</v>
      </c>
      <c r="H971" s="973" t="s">
        <v>1998</v>
      </c>
      <c r="I971" s="973" t="s">
        <v>1999</v>
      </c>
      <c r="J971" s="973" t="s">
        <v>697</v>
      </c>
      <c r="K971" s="973" t="s">
        <v>995</v>
      </c>
      <c r="L971" s="973" t="s">
        <v>996</v>
      </c>
      <c r="M971" s="973" t="s">
        <v>2000</v>
      </c>
      <c r="N971" s="973" t="s">
        <v>2001</v>
      </c>
      <c r="O971" s="973" t="s">
        <v>1971</v>
      </c>
      <c r="P971" s="973" t="s">
        <v>999</v>
      </c>
      <c r="Q971" s="973" t="s">
        <v>1000</v>
      </c>
      <c r="R971" s="973" t="s">
        <v>1001</v>
      </c>
      <c r="S971" s="973" t="s">
        <v>1002</v>
      </c>
      <c r="T971" s="423">
        <v>1000</v>
      </c>
      <c r="U971" s="423" t="s">
        <v>1041</v>
      </c>
      <c r="V971" s="423">
        <v>25</v>
      </c>
      <c r="W971" s="423">
        <v>0.4</v>
      </c>
      <c r="X971" s="423">
        <v>35</v>
      </c>
      <c r="Y971" s="423" t="s">
        <v>1041</v>
      </c>
      <c r="Z971" s="423" t="s">
        <v>1057</v>
      </c>
      <c r="AD971" s="423">
        <f>IF(ISNUMBER(MATCH(B971,'FICHA SOLIC'!$AB$26:$AB$376,0)),1,0)</f>
        <v>0</v>
      </c>
      <c r="AE971" s="423" t="str">
        <f t="shared" si="15"/>
        <v>MaitencilloZ11</v>
      </c>
    </row>
    <row r="972" spans="1:31" x14ac:dyDescent="0.25">
      <c r="A972" s="423">
        <v>971</v>
      </c>
      <c r="B972" s="423" t="s">
        <v>2406</v>
      </c>
      <c r="C972" s="423" t="s">
        <v>1458</v>
      </c>
      <c r="D972" s="973" t="s">
        <v>990</v>
      </c>
      <c r="E972" s="973" t="s">
        <v>991</v>
      </c>
      <c r="F972" s="973" t="s">
        <v>992</v>
      </c>
      <c r="G972" s="973" t="s">
        <v>1997</v>
      </c>
      <c r="H972" s="973" t="s">
        <v>1998</v>
      </c>
      <c r="I972" s="973" t="s">
        <v>1999</v>
      </c>
      <c r="J972" s="973" t="s">
        <v>697</v>
      </c>
      <c r="K972" s="973" t="s">
        <v>995</v>
      </c>
      <c r="L972" s="973" t="s">
        <v>996</v>
      </c>
      <c r="M972" s="973" t="s">
        <v>2000</v>
      </c>
      <c r="N972" s="973" t="s">
        <v>2001</v>
      </c>
      <c r="O972" s="973" t="s">
        <v>1971</v>
      </c>
      <c r="P972" s="973" t="s">
        <v>999</v>
      </c>
      <c r="Q972" s="973" t="s">
        <v>1000</v>
      </c>
      <c r="R972" s="973" t="s">
        <v>1001</v>
      </c>
      <c r="S972" s="973" t="s">
        <v>1002</v>
      </c>
      <c r="T972" s="423">
        <v>350</v>
      </c>
      <c r="U972" s="423" t="s">
        <v>1041</v>
      </c>
      <c r="V972" s="423">
        <v>30</v>
      </c>
      <c r="W972" s="423">
        <v>1.5</v>
      </c>
      <c r="X972" s="423">
        <v>21</v>
      </c>
      <c r="Y972" s="423" t="s">
        <v>1041</v>
      </c>
      <c r="Z972" s="423" t="s">
        <v>1057</v>
      </c>
      <c r="AD972" s="423">
        <f>IF(ISNUMBER(MATCH(B972,'FICHA SOLIC'!$AB$26:$AB$376,0)),1,0)</f>
        <v>0</v>
      </c>
      <c r="AE972" s="423" t="str">
        <f t="shared" si="15"/>
        <v>MaitencilloZ2</v>
      </c>
    </row>
    <row r="973" spans="1:31" x14ac:dyDescent="0.25">
      <c r="A973" s="423">
        <v>972</v>
      </c>
      <c r="B973" s="423" t="s">
        <v>2406</v>
      </c>
      <c r="C973" s="423" t="s">
        <v>2022</v>
      </c>
      <c r="D973" s="973" t="s">
        <v>990</v>
      </c>
      <c r="E973" s="973" t="s">
        <v>991</v>
      </c>
      <c r="F973" s="973" t="s">
        <v>992</v>
      </c>
      <c r="G973" s="973" t="s">
        <v>1997</v>
      </c>
      <c r="H973" s="973" t="s">
        <v>1998</v>
      </c>
      <c r="I973" s="973" t="s">
        <v>1999</v>
      </c>
      <c r="J973" s="973" t="s">
        <v>697</v>
      </c>
      <c r="K973" s="973" t="s">
        <v>995</v>
      </c>
      <c r="L973" s="973" t="s">
        <v>996</v>
      </c>
      <c r="M973" s="973" t="s">
        <v>2000</v>
      </c>
      <c r="N973" s="973" t="s">
        <v>2001</v>
      </c>
      <c r="O973" s="973" t="s">
        <v>1971</v>
      </c>
      <c r="P973" s="973" t="s">
        <v>999</v>
      </c>
      <c r="Q973" s="973" t="s">
        <v>1000</v>
      </c>
      <c r="R973" s="973" t="s">
        <v>1001</v>
      </c>
      <c r="S973" s="973" t="s">
        <v>1002</v>
      </c>
      <c r="T973" s="423">
        <v>160</v>
      </c>
      <c r="U973" s="423" t="s">
        <v>1041</v>
      </c>
      <c r="V973" s="423">
        <v>40</v>
      </c>
      <c r="W973" s="423">
        <v>0.8</v>
      </c>
      <c r="X973" s="423">
        <v>10</v>
      </c>
      <c r="Y973" s="423" t="s">
        <v>1041</v>
      </c>
      <c r="Z973" s="423" t="s">
        <v>1059</v>
      </c>
      <c r="AD973" s="423">
        <f>IF(ISNUMBER(MATCH(B973,'FICHA SOLIC'!$AB$26:$AB$376,0)),1,0)</f>
        <v>0</v>
      </c>
      <c r="AE973" s="423" t="str">
        <f t="shared" si="15"/>
        <v>MaitencilloZ3</v>
      </c>
    </row>
    <row r="974" spans="1:31" x14ac:dyDescent="0.25">
      <c r="A974" s="423">
        <v>973</v>
      </c>
      <c r="B974" s="423" t="s">
        <v>2406</v>
      </c>
      <c r="C974" s="423" t="s">
        <v>2024</v>
      </c>
      <c r="D974" s="973" t="s">
        <v>990</v>
      </c>
      <c r="E974" s="973" t="s">
        <v>991</v>
      </c>
      <c r="F974" s="973" t="s">
        <v>992</v>
      </c>
      <c r="G974" s="973" t="s">
        <v>1997</v>
      </c>
      <c r="H974" s="973" t="s">
        <v>1998</v>
      </c>
      <c r="I974" s="973" t="s">
        <v>1999</v>
      </c>
      <c r="J974" s="973" t="s">
        <v>697</v>
      </c>
      <c r="K974" s="973" t="s">
        <v>995</v>
      </c>
      <c r="L974" s="973" t="s">
        <v>996</v>
      </c>
      <c r="M974" s="973" t="s">
        <v>2000</v>
      </c>
      <c r="N974" s="973" t="s">
        <v>2001</v>
      </c>
      <c r="O974" s="973" t="s">
        <v>1971</v>
      </c>
      <c r="P974" s="973" t="s">
        <v>999</v>
      </c>
      <c r="Q974" s="973" t="s">
        <v>1000</v>
      </c>
      <c r="R974" s="973" t="s">
        <v>1001</v>
      </c>
      <c r="S974" s="973" t="s">
        <v>1002</v>
      </c>
      <c r="T974" s="423">
        <v>800</v>
      </c>
      <c r="U974" s="423" t="s">
        <v>1041</v>
      </c>
      <c r="V974" s="423">
        <v>25</v>
      </c>
      <c r="W974" s="423">
        <v>0.25</v>
      </c>
      <c r="X974" s="423">
        <v>10</v>
      </c>
      <c r="Y974" s="423" t="s">
        <v>1041</v>
      </c>
      <c r="Z974" s="423" t="s">
        <v>1058</v>
      </c>
      <c r="AD974" s="423">
        <f>IF(ISNUMBER(MATCH(B974,'FICHA SOLIC'!$AB$26:$AB$376,0)),1,0)</f>
        <v>0</v>
      </c>
      <c r="AE974" s="423" t="str">
        <f t="shared" si="15"/>
        <v>MaitencilloZ4</v>
      </c>
    </row>
    <row r="975" spans="1:31" x14ac:dyDescent="0.25">
      <c r="A975" s="423">
        <v>974</v>
      </c>
      <c r="B975" s="423" t="s">
        <v>2406</v>
      </c>
      <c r="C975" s="423" t="s">
        <v>2025</v>
      </c>
      <c r="D975" s="973" t="s">
        <v>990</v>
      </c>
      <c r="E975" s="973" t="s">
        <v>991</v>
      </c>
      <c r="F975" s="973" t="s">
        <v>992</v>
      </c>
      <c r="G975" s="973" t="s">
        <v>1997</v>
      </c>
      <c r="H975" s="973" t="s">
        <v>1998</v>
      </c>
      <c r="I975" s="973" t="s">
        <v>1999</v>
      </c>
      <c r="J975" s="973" t="s">
        <v>697</v>
      </c>
      <c r="K975" s="973" t="s">
        <v>995</v>
      </c>
      <c r="L975" s="973" t="s">
        <v>996</v>
      </c>
      <c r="M975" s="973" t="s">
        <v>2000</v>
      </c>
      <c r="N975" s="973" t="s">
        <v>2001</v>
      </c>
      <c r="O975" s="973" t="s">
        <v>1971</v>
      </c>
      <c r="P975" s="973" t="s">
        <v>999</v>
      </c>
      <c r="Q975" s="973" t="s">
        <v>1000</v>
      </c>
      <c r="R975" s="973" t="s">
        <v>1001</v>
      </c>
      <c r="S975" s="973" t="s">
        <v>1002</v>
      </c>
      <c r="T975" s="423">
        <v>400</v>
      </c>
      <c r="U975" s="423" t="s">
        <v>1041</v>
      </c>
      <c r="V975" s="423">
        <v>40</v>
      </c>
      <c r="W975" s="423">
        <v>0.7</v>
      </c>
      <c r="X975" s="423">
        <v>7</v>
      </c>
      <c r="Y975" s="423" t="s">
        <v>1041</v>
      </c>
      <c r="Z975" s="423" t="s">
        <v>1058</v>
      </c>
      <c r="AD975" s="423">
        <f>IF(ISNUMBER(MATCH(B975,'FICHA SOLIC'!$AB$26:$AB$376,0)),1,0)</f>
        <v>0</v>
      </c>
      <c r="AE975" s="423" t="str">
        <f t="shared" si="15"/>
        <v>MaitencilloZ5</v>
      </c>
    </row>
    <row r="976" spans="1:31" x14ac:dyDescent="0.25">
      <c r="A976" s="423">
        <v>975</v>
      </c>
      <c r="B976" s="423" t="s">
        <v>2406</v>
      </c>
      <c r="C976" s="423" t="s">
        <v>2026</v>
      </c>
      <c r="D976" s="973" t="s">
        <v>990</v>
      </c>
      <c r="E976" s="973" t="s">
        <v>991</v>
      </c>
      <c r="F976" s="973" t="s">
        <v>992</v>
      </c>
      <c r="G976" s="973" t="s">
        <v>1997</v>
      </c>
      <c r="H976" s="973" t="s">
        <v>1998</v>
      </c>
      <c r="I976" s="973" t="s">
        <v>1999</v>
      </c>
      <c r="J976" s="973" t="s">
        <v>697</v>
      </c>
      <c r="K976" s="973" t="s">
        <v>995</v>
      </c>
      <c r="L976" s="973" t="s">
        <v>996</v>
      </c>
      <c r="M976" s="973" t="s">
        <v>2000</v>
      </c>
      <c r="N976" s="973" t="s">
        <v>2001</v>
      </c>
      <c r="O976" s="973" t="s">
        <v>1971</v>
      </c>
      <c r="P976" s="973" t="s">
        <v>999</v>
      </c>
      <c r="Q976" s="973" t="s">
        <v>1000</v>
      </c>
      <c r="R976" s="973" t="s">
        <v>1001</v>
      </c>
      <c r="S976" s="973" t="s">
        <v>1002</v>
      </c>
      <c r="T976" s="423">
        <v>300</v>
      </c>
      <c r="U976" s="423" t="s">
        <v>1041</v>
      </c>
      <c r="V976" s="423">
        <v>20</v>
      </c>
      <c r="W976" s="423">
        <v>0.2</v>
      </c>
      <c r="X976" s="423">
        <v>3.5</v>
      </c>
      <c r="Y976" s="423" t="s">
        <v>1041</v>
      </c>
      <c r="Z976" s="423" t="s">
        <v>1058</v>
      </c>
      <c r="AD976" s="423">
        <f>IF(ISNUMBER(MATCH(B976,'FICHA SOLIC'!$AB$26:$AB$376,0)),1,0)</f>
        <v>0</v>
      </c>
      <c r="AE976" s="423" t="str">
        <f t="shared" si="15"/>
        <v>MaitencilloZ6</v>
      </c>
    </row>
    <row r="977" spans="1:31" x14ac:dyDescent="0.25">
      <c r="A977" s="423">
        <v>976</v>
      </c>
      <c r="B977" s="423" t="s">
        <v>2406</v>
      </c>
      <c r="C977" s="423" t="s">
        <v>2297</v>
      </c>
      <c r="D977" s="973" t="s">
        <v>990</v>
      </c>
      <c r="E977" s="973" t="s">
        <v>991</v>
      </c>
      <c r="F977" s="973" t="s">
        <v>992</v>
      </c>
      <c r="G977" s="973" t="s">
        <v>1997</v>
      </c>
      <c r="H977" s="973" t="s">
        <v>1998</v>
      </c>
      <c r="I977" s="973" t="s">
        <v>1999</v>
      </c>
      <c r="J977" s="973" t="s">
        <v>697</v>
      </c>
      <c r="K977" s="973" t="s">
        <v>995</v>
      </c>
      <c r="L977" s="973" t="s">
        <v>996</v>
      </c>
      <c r="M977" s="973" t="s">
        <v>2000</v>
      </c>
      <c r="N977" s="973" t="s">
        <v>2001</v>
      </c>
      <c r="O977" s="973" t="s">
        <v>1971</v>
      </c>
      <c r="P977" s="973" t="s">
        <v>999</v>
      </c>
      <c r="Q977" s="973" t="s">
        <v>1000</v>
      </c>
      <c r="R977" s="973" t="s">
        <v>1001</v>
      </c>
      <c r="S977" s="973" t="s">
        <v>1002</v>
      </c>
      <c r="T977" s="423">
        <v>400</v>
      </c>
      <c r="U977" s="423" t="s">
        <v>1041</v>
      </c>
      <c r="V977" s="423">
        <v>30</v>
      </c>
      <c r="W977" s="423">
        <v>0.6</v>
      </c>
      <c r="X977" s="423">
        <v>7</v>
      </c>
      <c r="Y977" s="423" t="s">
        <v>1041</v>
      </c>
      <c r="Z977" s="423" t="s">
        <v>1058</v>
      </c>
      <c r="AD977" s="423">
        <f>IF(ISNUMBER(MATCH(B977,'FICHA SOLIC'!$AB$26:$AB$376,0)),1,0)</f>
        <v>0</v>
      </c>
      <c r="AE977" s="423" t="str">
        <f t="shared" si="15"/>
        <v>MaitencilloZ7</v>
      </c>
    </row>
    <row r="978" spans="1:31" x14ac:dyDescent="0.25">
      <c r="A978" s="423">
        <v>977</v>
      </c>
      <c r="B978" s="423" t="s">
        <v>2406</v>
      </c>
      <c r="C978" s="423" t="s">
        <v>2029</v>
      </c>
      <c r="D978" s="973" t="s">
        <v>990</v>
      </c>
      <c r="E978" s="973" t="s">
        <v>991</v>
      </c>
      <c r="F978" s="973" t="s">
        <v>992</v>
      </c>
      <c r="G978" s="973" t="s">
        <v>1997</v>
      </c>
      <c r="H978" s="973" t="s">
        <v>1998</v>
      </c>
      <c r="I978" s="973" t="s">
        <v>1999</v>
      </c>
      <c r="J978" s="973" t="s">
        <v>697</v>
      </c>
      <c r="K978" s="973" t="s">
        <v>995</v>
      </c>
      <c r="L978" s="973" t="s">
        <v>996</v>
      </c>
      <c r="M978" s="973" t="s">
        <v>2000</v>
      </c>
      <c r="N978" s="973" t="s">
        <v>2001</v>
      </c>
      <c r="O978" s="973" t="s">
        <v>1971</v>
      </c>
      <c r="P978" s="973" t="s">
        <v>999</v>
      </c>
      <c r="Q978" s="973" t="s">
        <v>1000</v>
      </c>
      <c r="R978" s="973" t="s">
        <v>1001</v>
      </c>
      <c r="S978" s="973" t="s">
        <v>1002</v>
      </c>
      <c r="T978" s="423">
        <v>300</v>
      </c>
      <c r="U978" s="423" t="s">
        <v>1041</v>
      </c>
      <c r="V978" s="423">
        <v>20</v>
      </c>
      <c r="W978" s="423">
        <v>0.4</v>
      </c>
      <c r="X978" s="423">
        <v>7</v>
      </c>
      <c r="Y978" s="423" t="s">
        <v>1041</v>
      </c>
      <c r="Z978" s="423" t="s">
        <v>1058</v>
      </c>
      <c r="AD978" s="423">
        <f>IF(ISNUMBER(MATCH(B978,'FICHA SOLIC'!$AB$26:$AB$376,0)),1,0)</f>
        <v>0</v>
      </c>
      <c r="AE978" s="423" t="str">
        <f t="shared" si="15"/>
        <v>MaitencilloZ8</v>
      </c>
    </row>
    <row r="979" spans="1:31" x14ac:dyDescent="0.25">
      <c r="A979" s="423">
        <v>978</v>
      </c>
      <c r="B979" s="423" t="s">
        <v>2406</v>
      </c>
      <c r="C979" s="423" t="s">
        <v>2030</v>
      </c>
      <c r="D979" s="973" t="s">
        <v>990</v>
      </c>
      <c r="E979" s="973" t="s">
        <v>991</v>
      </c>
      <c r="F979" s="973" t="s">
        <v>992</v>
      </c>
      <c r="G979" s="973" t="s">
        <v>1997</v>
      </c>
      <c r="H979" s="973" t="s">
        <v>1998</v>
      </c>
      <c r="I979" s="973" t="s">
        <v>1999</v>
      </c>
      <c r="J979" s="973" t="s">
        <v>697</v>
      </c>
      <c r="K979" s="973" t="s">
        <v>995</v>
      </c>
      <c r="L979" s="973" t="s">
        <v>996</v>
      </c>
      <c r="M979" s="973" t="s">
        <v>2000</v>
      </c>
      <c r="N979" s="973" t="s">
        <v>2001</v>
      </c>
      <c r="O979" s="973" t="s">
        <v>1971</v>
      </c>
      <c r="P979" s="973" t="s">
        <v>999</v>
      </c>
      <c r="Q979" s="973" t="s">
        <v>1000</v>
      </c>
      <c r="R979" s="973" t="s">
        <v>1001</v>
      </c>
      <c r="S979" s="973" t="s">
        <v>1002</v>
      </c>
      <c r="T979" s="423">
        <v>350</v>
      </c>
      <c r="U979" s="423" t="s">
        <v>1041</v>
      </c>
      <c r="V979" s="423">
        <v>50</v>
      </c>
      <c r="W979" s="423">
        <v>1</v>
      </c>
      <c r="X979" s="423">
        <v>7</v>
      </c>
      <c r="Y979" s="423" t="s">
        <v>1041</v>
      </c>
      <c r="Z979" s="423" t="s">
        <v>1057</v>
      </c>
      <c r="AD979" s="423">
        <f>IF(ISNUMBER(MATCH(B979,'FICHA SOLIC'!$AB$26:$AB$376,0)),1,0)</f>
        <v>0</v>
      </c>
      <c r="AE979" s="423" t="str">
        <f t="shared" si="15"/>
        <v>MaitencilloZ9</v>
      </c>
    </row>
    <row r="980" spans="1:31" x14ac:dyDescent="0.25">
      <c r="A980" s="423">
        <v>979</v>
      </c>
      <c r="B980" s="423" t="s">
        <v>2406</v>
      </c>
      <c r="C980" s="423" t="s">
        <v>2040</v>
      </c>
      <c r="D980" s="973" t="s">
        <v>990</v>
      </c>
      <c r="E980" s="973" t="s">
        <v>991</v>
      </c>
      <c r="F980" s="973" t="s">
        <v>992</v>
      </c>
      <c r="G980" s="973" t="s">
        <v>1997</v>
      </c>
      <c r="H980" s="973" t="s">
        <v>1998</v>
      </c>
      <c r="I980" s="973" t="s">
        <v>1999</v>
      </c>
      <c r="J980" s="973" t="s">
        <v>697</v>
      </c>
      <c r="K980" s="973" t="s">
        <v>995</v>
      </c>
      <c r="L980" s="973" t="s">
        <v>996</v>
      </c>
      <c r="M980" s="973" t="s">
        <v>2000</v>
      </c>
      <c r="N980" s="973" t="s">
        <v>2001</v>
      </c>
      <c r="O980" s="973" t="s">
        <v>1971</v>
      </c>
      <c r="P980" s="973" t="s">
        <v>999</v>
      </c>
      <c r="Q980" s="973" t="s">
        <v>1000</v>
      </c>
      <c r="R980" s="973" t="s">
        <v>1001</v>
      </c>
      <c r="S980" s="973" t="s">
        <v>1002</v>
      </c>
      <c r="T980" s="423">
        <v>1000</v>
      </c>
      <c r="U980" s="423" t="s">
        <v>1041</v>
      </c>
      <c r="V980" s="423">
        <v>20</v>
      </c>
      <c r="W980" s="423">
        <v>0.2</v>
      </c>
      <c r="X980" s="423">
        <v>14</v>
      </c>
      <c r="Y980" s="423" t="s">
        <v>1041</v>
      </c>
      <c r="Z980" s="423" t="s">
        <v>1058</v>
      </c>
      <c r="AD980" s="423">
        <f>IF(ISNUMBER(MATCH(B980,'FICHA SOLIC'!$AB$26:$AB$376,0)),1,0)</f>
        <v>0</v>
      </c>
      <c r="AE980" s="423" t="str">
        <f t="shared" si="15"/>
        <v>MaitencilloZED</v>
      </c>
    </row>
    <row r="981" spans="1:31" x14ac:dyDescent="0.25">
      <c r="A981" s="423">
        <v>980</v>
      </c>
      <c r="B981" s="423" t="s">
        <v>2406</v>
      </c>
      <c r="C981" s="423" t="s">
        <v>2298</v>
      </c>
      <c r="D981" s="973" t="s">
        <v>990</v>
      </c>
      <c r="E981" s="973" t="s">
        <v>991</v>
      </c>
      <c r="F981" s="973" t="s">
        <v>992</v>
      </c>
      <c r="G981" s="973" t="s">
        <v>1997</v>
      </c>
      <c r="H981" s="973" t="s">
        <v>1998</v>
      </c>
      <c r="I981" s="973" t="s">
        <v>1999</v>
      </c>
      <c r="J981" s="973" t="s">
        <v>697</v>
      </c>
      <c r="K981" s="973" t="s">
        <v>995</v>
      </c>
      <c r="L981" s="973" t="s">
        <v>996</v>
      </c>
      <c r="M981" s="973" t="s">
        <v>2000</v>
      </c>
      <c r="N981" s="973" t="s">
        <v>2001</v>
      </c>
      <c r="O981" s="973" t="s">
        <v>1971</v>
      </c>
      <c r="P981" s="973" t="s">
        <v>999</v>
      </c>
      <c r="Q981" s="973" t="s">
        <v>1000</v>
      </c>
      <c r="R981" s="973" t="s">
        <v>1001</v>
      </c>
      <c r="S981" s="973" t="s">
        <v>1002</v>
      </c>
      <c r="T981" s="423">
        <v>5000</v>
      </c>
      <c r="U981" s="423" t="s">
        <v>1041</v>
      </c>
      <c r="V981" s="423">
        <v>40</v>
      </c>
      <c r="W981" s="423">
        <v>4</v>
      </c>
      <c r="X981" s="423">
        <v>28</v>
      </c>
      <c r="Y981" s="423" t="s">
        <v>1041</v>
      </c>
      <c r="Z981" s="423" t="s">
        <v>1058</v>
      </c>
      <c r="AD981" s="423">
        <f>IF(ISNUMBER(MATCH(B981,'FICHA SOLIC'!$AB$26:$AB$376,0)),1,0)</f>
        <v>0</v>
      </c>
      <c r="AE981" s="423" t="str">
        <f t="shared" si="15"/>
        <v>MaitencilloZEH</v>
      </c>
    </row>
    <row r="982" spans="1:31" x14ac:dyDescent="0.25">
      <c r="A982" s="423">
        <v>981</v>
      </c>
      <c r="B982" s="423" t="s">
        <v>2406</v>
      </c>
      <c r="C982" s="423" t="s">
        <v>2299</v>
      </c>
      <c r="D982" s="973" t="s">
        <v>990</v>
      </c>
      <c r="E982" s="973" t="s">
        <v>991</v>
      </c>
      <c r="F982" s="973" t="s">
        <v>992</v>
      </c>
      <c r="G982" s="973" t="s">
        <v>1997</v>
      </c>
      <c r="H982" s="973" t="s">
        <v>1998</v>
      </c>
      <c r="I982" s="973" t="s">
        <v>1999</v>
      </c>
      <c r="J982" s="973" t="s">
        <v>697</v>
      </c>
      <c r="K982" s="973" t="s">
        <v>995</v>
      </c>
      <c r="L982" s="973" t="s">
        <v>996</v>
      </c>
      <c r="M982" s="973" t="s">
        <v>2000</v>
      </c>
      <c r="N982" s="973" t="s">
        <v>2001</v>
      </c>
      <c r="O982" s="973" t="s">
        <v>1971</v>
      </c>
      <c r="P982" s="973" t="s">
        <v>999</v>
      </c>
      <c r="Q982" s="973" t="s">
        <v>1000</v>
      </c>
      <c r="R982" s="973" t="s">
        <v>1001</v>
      </c>
      <c r="S982" s="973" t="s">
        <v>1002</v>
      </c>
      <c r="T982" s="423">
        <v>500</v>
      </c>
      <c r="U982" s="423" t="s">
        <v>1041</v>
      </c>
      <c r="V982" s="423">
        <v>40</v>
      </c>
      <c r="W982" s="423">
        <v>0.8</v>
      </c>
      <c r="X982" s="423">
        <v>7</v>
      </c>
      <c r="Y982" s="423" t="s">
        <v>1041</v>
      </c>
      <c r="Z982" s="423" t="s">
        <v>1058</v>
      </c>
      <c r="AD982" s="423">
        <f>IF(ISNUMBER(MATCH(B982,'FICHA SOLIC'!$AB$26:$AB$376,0)),1,0)</f>
        <v>0</v>
      </c>
      <c r="AE982" s="423" t="str">
        <f t="shared" si="15"/>
        <v>MaitencilloZEM</v>
      </c>
    </row>
    <row r="983" spans="1:31" x14ac:dyDescent="0.25">
      <c r="A983" s="423">
        <v>982</v>
      </c>
      <c r="B983" s="423" t="s">
        <v>2406</v>
      </c>
      <c r="C983" s="423" t="s">
        <v>2300</v>
      </c>
      <c r="D983" s="973" t="s">
        <v>990</v>
      </c>
      <c r="E983" s="973" t="s">
        <v>991</v>
      </c>
      <c r="F983" s="973" t="s">
        <v>992</v>
      </c>
      <c r="G983" s="973" t="s">
        <v>1997</v>
      </c>
      <c r="H983" s="973" t="s">
        <v>1998</v>
      </c>
      <c r="I983" s="973" t="s">
        <v>1999</v>
      </c>
      <c r="J983" s="973" t="s">
        <v>697</v>
      </c>
      <c r="K983" s="973" t="s">
        <v>995</v>
      </c>
      <c r="L983" s="973" t="s">
        <v>996</v>
      </c>
      <c r="M983" s="973" t="s">
        <v>2000</v>
      </c>
      <c r="N983" s="973" t="s">
        <v>2001</v>
      </c>
      <c r="O983" s="973" t="s">
        <v>1971</v>
      </c>
      <c r="P983" s="973" t="s">
        <v>999</v>
      </c>
      <c r="Q983" s="973" t="s">
        <v>1000</v>
      </c>
      <c r="R983" s="973" t="s">
        <v>1001</v>
      </c>
      <c r="S983" s="973" t="s">
        <v>1002</v>
      </c>
      <c r="T983" s="423">
        <v>5000</v>
      </c>
      <c r="U983" s="423" t="s">
        <v>1041</v>
      </c>
      <c r="V983" s="423">
        <v>15</v>
      </c>
      <c r="W983" s="423">
        <v>0.15</v>
      </c>
      <c r="X983" s="423">
        <v>5.6</v>
      </c>
      <c r="Y983" s="423" t="s">
        <v>1041</v>
      </c>
      <c r="Z983" s="423" t="s">
        <v>1058</v>
      </c>
      <c r="AD983" s="423">
        <f>IF(ISNUMBER(MATCH(B983,'FICHA SOLIC'!$AB$26:$AB$376,0)),1,0)</f>
        <v>0</v>
      </c>
      <c r="AE983" s="423" t="str">
        <f t="shared" si="15"/>
        <v>MaitencilloZEQC</v>
      </c>
    </row>
    <row r="984" spans="1:31" x14ac:dyDescent="0.25">
      <c r="A984" s="423">
        <v>983</v>
      </c>
      <c r="B984" s="423" t="s">
        <v>2407</v>
      </c>
      <c r="C984" s="423" t="s">
        <v>1041</v>
      </c>
      <c r="D984" s="973" t="s">
        <v>990</v>
      </c>
      <c r="E984" s="973" t="s">
        <v>991</v>
      </c>
      <c r="F984" s="973" t="s">
        <v>992</v>
      </c>
      <c r="G984" s="973" t="s">
        <v>1997</v>
      </c>
      <c r="H984" s="973" t="s">
        <v>1998</v>
      </c>
      <c r="I984" s="973" t="s">
        <v>1999</v>
      </c>
      <c r="J984" s="973" t="s">
        <v>697</v>
      </c>
      <c r="K984" s="973" t="s">
        <v>995</v>
      </c>
      <c r="L984" s="973" t="s">
        <v>996</v>
      </c>
      <c r="M984" s="973" t="s">
        <v>2000</v>
      </c>
      <c r="N984" s="973" t="s">
        <v>2001</v>
      </c>
      <c r="O984" s="973" t="s">
        <v>1971</v>
      </c>
      <c r="P984" s="973" t="s">
        <v>999</v>
      </c>
      <c r="Q984" s="973" t="s">
        <v>1000</v>
      </c>
      <c r="R984" s="973" t="s">
        <v>1001</v>
      </c>
      <c r="S984" s="973" t="s">
        <v>1002</v>
      </c>
      <c r="T984" s="423" t="s">
        <v>1041</v>
      </c>
      <c r="U984" s="423" t="s">
        <v>1041</v>
      </c>
      <c r="V984" s="423" t="s">
        <v>1041</v>
      </c>
      <c r="W984" s="423" t="s">
        <v>1041</v>
      </c>
      <c r="X984" s="423" t="s">
        <v>1041</v>
      </c>
      <c r="Y984" s="423" t="s">
        <v>1041</v>
      </c>
      <c r="Z984" s="423" t="s">
        <v>1041</v>
      </c>
      <c r="AD984" s="423">
        <f>IF(ISNUMBER(MATCH(B984,'FICHA SOLIC'!$AB$26:$AB$376,0)),1,0)</f>
        <v>0</v>
      </c>
      <c r="AE984" s="423" t="str">
        <f t="shared" si="15"/>
        <v>MallocoOGUC</v>
      </c>
    </row>
    <row r="985" spans="1:31" x14ac:dyDescent="0.25">
      <c r="A985" s="423">
        <v>984</v>
      </c>
      <c r="B985" s="423" t="s">
        <v>2408</v>
      </c>
      <c r="C985" s="423" t="s">
        <v>1041</v>
      </c>
      <c r="D985" s="973" t="s">
        <v>990</v>
      </c>
      <c r="E985" s="973" t="s">
        <v>991</v>
      </c>
      <c r="F985" s="973" t="s">
        <v>992</v>
      </c>
      <c r="G985" s="973" t="s">
        <v>1997</v>
      </c>
      <c r="H985" s="973" t="s">
        <v>1998</v>
      </c>
      <c r="I985" s="973" t="s">
        <v>1999</v>
      </c>
      <c r="J985" s="973" t="s">
        <v>697</v>
      </c>
      <c r="K985" s="973" t="s">
        <v>995</v>
      </c>
      <c r="L985" s="973" t="s">
        <v>996</v>
      </c>
      <c r="M985" s="973" t="s">
        <v>2000</v>
      </c>
      <c r="N985" s="973" t="s">
        <v>2001</v>
      </c>
      <c r="O985" s="973" t="s">
        <v>1971</v>
      </c>
      <c r="P985" s="973" t="s">
        <v>999</v>
      </c>
      <c r="Q985" s="973" t="s">
        <v>1000</v>
      </c>
      <c r="R985" s="973" t="s">
        <v>1001</v>
      </c>
      <c r="S985" s="973" t="s">
        <v>1002</v>
      </c>
      <c r="T985" s="423" t="s">
        <v>1041</v>
      </c>
      <c r="U985" s="423" t="s">
        <v>1041</v>
      </c>
      <c r="V985" s="423" t="s">
        <v>1041</v>
      </c>
      <c r="W985" s="423" t="s">
        <v>1041</v>
      </c>
      <c r="X985" s="423" t="s">
        <v>1041</v>
      </c>
      <c r="Y985" s="423" t="s">
        <v>1041</v>
      </c>
      <c r="Z985" s="423" t="s">
        <v>1041</v>
      </c>
      <c r="AD985" s="423">
        <f>IF(ISNUMBER(MATCH(B985,'FICHA SOLIC'!$AB$26:$AB$376,0)),1,0)</f>
        <v>0</v>
      </c>
      <c r="AE985" s="423" t="str">
        <f t="shared" si="15"/>
        <v>Maria PintoOGUC</v>
      </c>
    </row>
    <row r="986" spans="1:31" x14ac:dyDescent="0.25">
      <c r="A986" s="423">
        <v>985</v>
      </c>
      <c r="B986" s="423" t="s">
        <v>222</v>
      </c>
      <c r="C986" s="423" t="s">
        <v>2409</v>
      </c>
      <c r="D986" s="973" t="s">
        <v>990</v>
      </c>
      <c r="E986" s="973" t="s">
        <v>991</v>
      </c>
      <c r="F986" s="973" t="s">
        <v>992</v>
      </c>
      <c r="G986" s="973" t="s">
        <v>1997</v>
      </c>
      <c r="H986" s="973" t="s">
        <v>1998</v>
      </c>
      <c r="I986" s="973" t="s">
        <v>1999</v>
      </c>
      <c r="J986" s="973" t="s">
        <v>697</v>
      </c>
      <c r="K986" s="973" t="s">
        <v>995</v>
      </c>
      <c r="L986" s="973" t="s">
        <v>996</v>
      </c>
      <c r="M986" s="973" t="s">
        <v>2000</v>
      </c>
      <c r="N986" s="973" t="s">
        <v>2001</v>
      </c>
      <c r="O986" s="973" t="s">
        <v>1971</v>
      </c>
      <c r="P986" s="973" t="s">
        <v>999</v>
      </c>
      <c r="Q986" s="973" t="s">
        <v>1000</v>
      </c>
      <c r="R986" s="973" t="s">
        <v>1001</v>
      </c>
      <c r="S986" s="973" t="s">
        <v>1002</v>
      </c>
      <c r="T986" s="423">
        <v>200</v>
      </c>
      <c r="U986" s="423" t="s">
        <v>1041</v>
      </c>
      <c r="V986" s="423">
        <v>60</v>
      </c>
      <c r="W986" s="423">
        <v>1.8</v>
      </c>
      <c r="X986" s="423">
        <v>10.5</v>
      </c>
      <c r="Y986" s="423" t="s">
        <v>1041</v>
      </c>
      <c r="Z986" s="423" t="s">
        <v>1057</v>
      </c>
      <c r="AD986" s="423">
        <f>IF(ISNUMBER(MATCH(B986,'FICHA SOLIC'!$AB$26:$AB$376,0)),1,0)</f>
        <v>1</v>
      </c>
      <c r="AE986" s="423" t="str">
        <f t="shared" si="15"/>
        <v>MauleZU1</v>
      </c>
    </row>
    <row r="987" spans="1:31" x14ac:dyDescent="0.25">
      <c r="A987" s="423">
        <v>986</v>
      </c>
      <c r="B987" s="423" t="s">
        <v>222</v>
      </c>
      <c r="C987" s="423" t="s">
        <v>1331</v>
      </c>
      <c r="D987" s="973" t="s">
        <v>990</v>
      </c>
      <c r="E987" s="973" t="s">
        <v>991</v>
      </c>
      <c r="F987" s="973" t="s">
        <v>992</v>
      </c>
      <c r="G987" s="973" t="s">
        <v>1997</v>
      </c>
      <c r="H987" s="973" t="s">
        <v>1998</v>
      </c>
      <c r="I987" s="973" t="s">
        <v>1999</v>
      </c>
      <c r="J987" s="973" t="s">
        <v>697</v>
      </c>
      <c r="K987" s="973" t="s">
        <v>995</v>
      </c>
      <c r="L987" s="973" t="s">
        <v>996</v>
      </c>
      <c r="M987" s="973" t="s">
        <v>2000</v>
      </c>
      <c r="N987" s="973" t="s">
        <v>2001</v>
      </c>
      <c r="O987" s="973" t="s">
        <v>1971</v>
      </c>
      <c r="P987" s="973" t="s">
        <v>999</v>
      </c>
      <c r="Q987" s="973" t="s">
        <v>1000</v>
      </c>
      <c r="R987" s="973" t="s">
        <v>1001</v>
      </c>
      <c r="S987" s="973" t="s">
        <v>1002</v>
      </c>
      <c r="T987" s="423">
        <v>500</v>
      </c>
      <c r="U987" s="423" t="s">
        <v>1041</v>
      </c>
      <c r="V987" s="423">
        <v>30</v>
      </c>
      <c r="W987" s="423">
        <v>0.36</v>
      </c>
      <c r="X987" s="423">
        <v>7</v>
      </c>
      <c r="Y987" s="423" t="s">
        <v>1041</v>
      </c>
      <c r="Z987" s="423" t="s">
        <v>1058</v>
      </c>
      <c r="AD987" s="423">
        <f>IF(ISNUMBER(MATCH(B987,'FICHA SOLIC'!$AB$26:$AB$376,0)),1,0)</f>
        <v>1</v>
      </c>
      <c r="AE987" s="423" t="str">
        <f t="shared" si="15"/>
        <v>MauleZU10</v>
      </c>
    </row>
    <row r="988" spans="1:31" x14ac:dyDescent="0.25">
      <c r="A988" s="423">
        <v>987</v>
      </c>
      <c r="B988" s="423" t="s">
        <v>222</v>
      </c>
      <c r="C988" s="423" t="s">
        <v>2410</v>
      </c>
      <c r="D988" s="973" t="s">
        <v>990</v>
      </c>
      <c r="E988" s="973" t="s">
        <v>991</v>
      </c>
      <c r="F988" s="973" t="s">
        <v>992</v>
      </c>
      <c r="G988" s="973" t="s">
        <v>1997</v>
      </c>
      <c r="H988" s="973" t="s">
        <v>1998</v>
      </c>
      <c r="I988" s="973" t="s">
        <v>1999</v>
      </c>
      <c r="J988" s="973" t="s">
        <v>697</v>
      </c>
      <c r="K988" s="973" t="s">
        <v>995</v>
      </c>
      <c r="L988" s="973" t="s">
        <v>996</v>
      </c>
      <c r="M988" s="973" t="s">
        <v>2000</v>
      </c>
      <c r="N988" s="973" t="s">
        <v>2001</v>
      </c>
      <c r="O988" s="973" t="s">
        <v>1971</v>
      </c>
      <c r="P988" s="973" t="s">
        <v>999</v>
      </c>
      <c r="Q988" s="973" t="s">
        <v>1000</v>
      </c>
      <c r="R988" s="973" t="s">
        <v>1001</v>
      </c>
      <c r="S988" s="973" t="s">
        <v>1002</v>
      </c>
      <c r="T988" s="423">
        <v>180</v>
      </c>
      <c r="U988" s="423" t="s">
        <v>1041</v>
      </c>
      <c r="V988" s="423">
        <v>70</v>
      </c>
      <c r="W988" s="423">
        <v>2</v>
      </c>
      <c r="X988" s="423">
        <v>21</v>
      </c>
      <c r="Y988" s="423" t="s">
        <v>1041</v>
      </c>
      <c r="Z988" s="423" t="s">
        <v>1150</v>
      </c>
      <c r="AD988" s="423">
        <f>IF(ISNUMBER(MATCH(B988,'FICHA SOLIC'!$AB$26:$AB$376,0)),1,0)</f>
        <v>1</v>
      </c>
      <c r="AE988" s="423" t="str">
        <f t="shared" si="15"/>
        <v>MauleZU1a</v>
      </c>
    </row>
    <row r="989" spans="1:31" x14ac:dyDescent="0.25">
      <c r="A989" s="423">
        <v>988</v>
      </c>
      <c r="B989" s="423" t="s">
        <v>222</v>
      </c>
      <c r="C989" s="423" t="s">
        <v>1322</v>
      </c>
      <c r="D989" s="973" t="s">
        <v>990</v>
      </c>
      <c r="E989" s="973" t="s">
        <v>991</v>
      </c>
      <c r="F989" s="973" t="s">
        <v>992</v>
      </c>
      <c r="G989" s="973" t="s">
        <v>1997</v>
      </c>
      <c r="H989" s="973" t="s">
        <v>1998</v>
      </c>
      <c r="I989" s="973" t="s">
        <v>1999</v>
      </c>
      <c r="J989" s="973" t="s">
        <v>697</v>
      </c>
      <c r="K989" s="973" t="s">
        <v>995</v>
      </c>
      <c r="L989" s="973" t="s">
        <v>996</v>
      </c>
      <c r="M989" s="973" t="s">
        <v>2000</v>
      </c>
      <c r="N989" s="973" t="s">
        <v>2001</v>
      </c>
      <c r="O989" s="973" t="s">
        <v>1971</v>
      </c>
      <c r="P989" s="973" t="s">
        <v>999</v>
      </c>
      <c r="Q989" s="973" t="s">
        <v>1000</v>
      </c>
      <c r="R989" s="973" t="s">
        <v>1001</v>
      </c>
      <c r="S989" s="973" t="s">
        <v>1002</v>
      </c>
      <c r="T989" s="423">
        <v>300</v>
      </c>
      <c r="U989" s="423" t="s">
        <v>1041</v>
      </c>
      <c r="V989" s="423">
        <v>60</v>
      </c>
      <c r="W989" s="423">
        <v>1.2</v>
      </c>
      <c r="X989" s="423">
        <v>11</v>
      </c>
      <c r="Y989" s="423" t="s">
        <v>1041</v>
      </c>
      <c r="Z989" s="423" t="s">
        <v>1057</v>
      </c>
      <c r="AD989" s="423">
        <f>IF(ISNUMBER(MATCH(B989,'FICHA SOLIC'!$AB$26:$AB$376,0)),1,0)</f>
        <v>1</v>
      </c>
      <c r="AE989" s="423" t="str">
        <f t="shared" si="15"/>
        <v>MauleZU2</v>
      </c>
    </row>
    <row r="990" spans="1:31" x14ac:dyDescent="0.25">
      <c r="A990" s="423">
        <v>989</v>
      </c>
      <c r="B990" s="423" t="s">
        <v>222</v>
      </c>
      <c r="C990" s="423" t="s">
        <v>1324</v>
      </c>
      <c r="D990" s="973" t="s">
        <v>990</v>
      </c>
      <c r="E990" s="973" t="s">
        <v>991</v>
      </c>
      <c r="F990" s="973" t="s">
        <v>992</v>
      </c>
      <c r="G990" s="973" t="s">
        <v>1997</v>
      </c>
      <c r="H990" s="973" t="s">
        <v>1998</v>
      </c>
      <c r="I990" s="973" t="s">
        <v>1999</v>
      </c>
      <c r="J990" s="973" t="s">
        <v>697</v>
      </c>
      <c r="K990" s="973" t="s">
        <v>995</v>
      </c>
      <c r="L990" s="973" t="s">
        <v>996</v>
      </c>
      <c r="M990" s="973" t="s">
        <v>2000</v>
      </c>
      <c r="N990" s="973" t="s">
        <v>2001</v>
      </c>
      <c r="O990" s="973" t="s">
        <v>1971</v>
      </c>
      <c r="P990" s="973" t="s">
        <v>999</v>
      </c>
      <c r="Q990" s="973" t="s">
        <v>1000</v>
      </c>
      <c r="R990" s="973" t="s">
        <v>1001</v>
      </c>
      <c r="S990" s="973" t="s">
        <v>1002</v>
      </c>
      <c r="T990" s="423">
        <v>120</v>
      </c>
      <c r="U990" s="423" t="s">
        <v>1041</v>
      </c>
      <c r="V990" s="423">
        <v>60</v>
      </c>
      <c r="W990" s="423">
        <v>1.8</v>
      </c>
      <c r="X990" s="423">
        <v>11</v>
      </c>
      <c r="Y990" s="423" t="s">
        <v>1041</v>
      </c>
      <c r="Z990" s="423" t="s">
        <v>1057</v>
      </c>
      <c r="AD990" s="423">
        <f>IF(ISNUMBER(MATCH(B990,'FICHA SOLIC'!$AB$26:$AB$376,0)),1,0)</f>
        <v>1</v>
      </c>
      <c r="AE990" s="423" t="str">
        <f t="shared" si="15"/>
        <v>MauleZU3</v>
      </c>
    </row>
    <row r="991" spans="1:31" x14ac:dyDescent="0.25">
      <c r="A991" s="423">
        <v>990</v>
      </c>
      <c r="B991" s="423" t="s">
        <v>222</v>
      </c>
      <c r="C991" s="423" t="s">
        <v>1325</v>
      </c>
      <c r="D991" s="973" t="s">
        <v>990</v>
      </c>
      <c r="E991" s="973" t="s">
        <v>991</v>
      </c>
      <c r="F991" s="973" t="s">
        <v>992</v>
      </c>
      <c r="G991" s="973" t="s">
        <v>1997</v>
      </c>
      <c r="H991" s="973" t="s">
        <v>1998</v>
      </c>
      <c r="I991" s="973" t="s">
        <v>1999</v>
      </c>
      <c r="J991" s="973" t="s">
        <v>697</v>
      </c>
      <c r="K991" s="973" t="s">
        <v>995</v>
      </c>
      <c r="L991" s="973" t="s">
        <v>996</v>
      </c>
      <c r="M991" s="973" t="s">
        <v>2000</v>
      </c>
      <c r="N991" s="973" t="s">
        <v>2001</v>
      </c>
      <c r="O991" s="973" t="s">
        <v>1971</v>
      </c>
      <c r="P991" s="973" t="s">
        <v>999</v>
      </c>
      <c r="Q991" s="973" t="s">
        <v>1000</v>
      </c>
      <c r="R991" s="973" t="s">
        <v>1001</v>
      </c>
      <c r="S991" s="973" t="s">
        <v>1002</v>
      </c>
      <c r="T991" s="423">
        <v>160</v>
      </c>
      <c r="U991" s="423" t="s">
        <v>1041</v>
      </c>
      <c r="V991" s="423">
        <v>60</v>
      </c>
      <c r="W991" s="423">
        <v>1.2</v>
      </c>
      <c r="X991" s="423">
        <v>7</v>
      </c>
      <c r="Y991" s="423" t="s">
        <v>1041</v>
      </c>
      <c r="Z991" s="423" t="s">
        <v>1057</v>
      </c>
      <c r="AD991" s="423">
        <f>IF(ISNUMBER(MATCH(B991,'FICHA SOLIC'!$AB$26:$AB$376,0)),1,0)</f>
        <v>1</v>
      </c>
      <c r="AE991" s="423" t="str">
        <f t="shared" si="15"/>
        <v>MauleZU4</v>
      </c>
    </row>
    <row r="992" spans="1:31" x14ac:dyDescent="0.25">
      <c r="A992" s="423">
        <v>991</v>
      </c>
      <c r="B992" s="423" t="s">
        <v>222</v>
      </c>
      <c r="C992" s="423" t="s">
        <v>2411</v>
      </c>
      <c r="D992" s="973" t="s">
        <v>990</v>
      </c>
      <c r="E992" s="973" t="s">
        <v>991</v>
      </c>
      <c r="F992" s="973" t="s">
        <v>992</v>
      </c>
      <c r="G992" s="973" t="s">
        <v>1997</v>
      </c>
      <c r="H992" s="973" t="s">
        <v>1998</v>
      </c>
      <c r="I992" s="973" t="s">
        <v>1999</v>
      </c>
      <c r="J992" s="973" t="s">
        <v>697</v>
      </c>
      <c r="K992" s="973" t="s">
        <v>995</v>
      </c>
      <c r="L992" s="973" t="s">
        <v>996</v>
      </c>
      <c r="M992" s="973" t="s">
        <v>2000</v>
      </c>
      <c r="N992" s="973" t="s">
        <v>2001</v>
      </c>
      <c r="O992" s="973" t="s">
        <v>1971</v>
      </c>
      <c r="P992" s="973" t="s">
        <v>999</v>
      </c>
      <c r="Q992" s="973" t="s">
        <v>1000</v>
      </c>
      <c r="R992" s="973" t="s">
        <v>1001</v>
      </c>
      <c r="S992" s="973" t="s">
        <v>1002</v>
      </c>
      <c r="T992" s="423">
        <v>160</v>
      </c>
      <c r="U992" s="423" t="s">
        <v>1041</v>
      </c>
      <c r="V992" s="423">
        <v>60</v>
      </c>
      <c r="W992" s="423">
        <v>1.2</v>
      </c>
      <c r="X992" s="423">
        <v>7</v>
      </c>
      <c r="Y992" s="423" t="s">
        <v>1041</v>
      </c>
      <c r="Z992" s="423" t="s">
        <v>1057</v>
      </c>
      <c r="AD992" s="423">
        <f>IF(ISNUMBER(MATCH(B992,'FICHA SOLIC'!$AB$26:$AB$376,0)),1,0)</f>
        <v>1</v>
      </c>
      <c r="AE992" s="423" t="str">
        <f t="shared" si="15"/>
        <v>MauleZU4a</v>
      </c>
    </row>
    <row r="993" spans="1:31" x14ac:dyDescent="0.25">
      <c r="A993" s="423">
        <v>992</v>
      </c>
      <c r="B993" s="423" t="s">
        <v>222</v>
      </c>
      <c r="C993" s="423" t="s">
        <v>1326</v>
      </c>
      <c r="D993" s="973" t="s">
        <v>990</v>
      </c>
      <c r="E993" s="973" t="s">
        <v>991</v>
      </c>
      <c r="F993" s="973" t="s">
        <v>992</v>
      </c>
      <c r="G993" s="973" t="s">
        <v>1997</v>
      </c>
      <c r="H993" s="973" t="s">
        <v>1998</v>
      </c>
      <c r="I993" s="973" t="s">
        <v>1999</v>
      </c>
      <c r="J993" s="973" t="s">
        <v>697</v>
      </c>
      <c r="K993" s="973" t="s">
        <v>995</v>
      </c>
      <c r="L993" s="973" t="s">
        <v>996</v>
      </c>
      <c r="M993" s="973" t="s">
        <v>2000</v>
      </c>
      <c r="N993" s="973" t="s">
        <v>2001</v>
      </c>
      <c r="O993" s="973" t="s">
        <v>1971</v>
      </c>
      <c r="P993" s="973" t="s">
        <v>999</v>
      </c>
      <c r="Q993" s="973" t="s">
        <v>1000</v>
      </c>
      <c r="R993" s="973" t="s">
        <v>1001</v>
      </c>
      <c r="S993" s="973" t="s">
        <v>1002</v>
      </c>
      <c r="T993" s="423">
        <v>200</v>
      </c>
      <c r="U993" s="423" t="s">
        <v>1041</v>
      </c>
      <c r="V993" s="423">
        <v>60</v>
      </c>
      <c r="W993" s="423">
        <v>1.2</v>
      </c>
      <c r="X993" s="423">
        <v>7</v>
      </c>
      <c r="Y993" s="423" t="s">
        <v>1041</v>
      </c>
      <c r="Z993" s="423" t="s">
        <v>1057</v>
      </c>
      <c r="AD993" s="423">
        <f>IF(ISNUMBER(MATCH(B993,'FICHA SOLIC'!$AB$26:$AB$376,0)),1,0)</f>
        <v>1</v>
      </c>
      <c r="AE993" s="423" t="str">
        <f t="shared" si="15"/>
        <v>MauleZU5</v>
      </c>
    </row>
    <row r="994" spans="1:31" x14ac:dyDescent="0.25">
      <c r="A994" s="423">
        <v>993</v>
      </c>
      <c r="B994" s="423" t="s">
        <v>222</v>
      </c>
      <c r="C994" s="423" t="s">
        <v>1327</v>
      </c>
      <c r="D994" s="973" t="s">
        <v>990</v>
      </c>
      <c r="E994" s="973" t="s">
        <v>991</v>
      </c>
      <c r="F994" s="973" t="s">
        <v>992</v>
      </c>
      <c r="G994" s="973" t="s">
        <v>1997</v>
      </c>
      <c r="H994" s="973" t="s">
        <v>1998</v>
      </c>
      <c r="I994" s="973" t="s">
        <v>1999</v>
      </c>
      <c r="J994" s="973" t="s">
        <v>697</v>
      </c>
      <c r="K994" s="973" t="s">
        <v>995</v>
      </c>
      <c r="L994" s="973" t="s">
        <v>996</v>
      </c>
      <c r="M994" s="973" t="s">
        <v>2000</v>
      </c>
      <c r="N994" s="973" t="s">
        <v>2001</v>
      </c>
      <c r="O994" s="973" t="s">
        <v>1971</v>
      </c>
      <c r="P994" s="973" t="s">
        <v>999</v>
      </c>
      <c r="Q994" s="973" t="s">
        <v>1000</v>
      </c>
      <c r="R994" s="973" t="s">
        <v>1001</v>
      </c>
      <c r="S994" s="973" t="s">
        <v>1002</v>
      </c>
      <c r="T994" s="423">
        <v>240</v>
      </c>
      <c r="U994" s="423" t="s">
        <v>1041</v>
      </c>
      <c r="V994" s="423">
        <v>60</v>
      </c>
      <c r="W994" s="423">
        <v>1.2</v>
      </c>
      <c r="X994" s="423">
        <v>7</v>
      </c>
      <c r="Y994" s="423" t="s">
        <v>1041</v>
      </c>
      <c r="Z994" s="423" t="s">
        <v>1057</v>
      </c>
      <c r="AD994" s="423">
        <f>IF(ISNUMBER(MATCH(B994,'FICHA SOLIC'!$AB$26:$AB$376,0)),1,0)</f>
        <v>1</v>
      </c>
      <c r="AE994" s="423" t="str">
        <f t="shared" si="15"/>
        <v>MauleZU6</v>
      </c>
    </row>
    <row r="995" spans="1:31" x14ac:dyDescent="0.25">
      <c r="A995" s="423">
        <v>994</v>
      </c>
      <c r="B995" s="423" t="s">
        <v>222</v>
      </c>
      <c r="C995" s="423" t="s">
        <v>1328</v>
      </c>
      <c r="D995" s="973" t="s">
        <v>990</v>
      </c>
      <c r="E995" s="973" t="s">
        <v>991</v>
      </c>
      <c r="F995" s="973" t="s">
        <v>992</v>
      </c>
      <c r="G995" s="973" t="s">
        <v>1997</v>
      </c>
      <c r="H995" s="973" t="s">
        <v>1998</v>
      </c>
      <c r="I995" s="973" t="s">
        <v>1999</v>
      </c>
      <c r="J995" s="973" t="s">
        <v>697</v>
      </c>
      <c r="K995" s="973" t="s">
        <v>995</v>
      </c>
      <c r="L995" s="973" t="s">
        <v>996</v>
      </c>
      <c r="M995" s="973" t="s">
        <v>2000</v>
      </c>
      <c r="N995" s="973" t="s">
        <v>2001</v>
      </c>
      <c r="O995" s="973" t="s">
        <v>1971</v>
      </c>
      <c r="P995" s="973" t="s">
        <v>999</v>
      </c>
      <c r="Q995" s="973" t="s">
        <v>1000</v>
      </c>
      <c r="R995" s="973" t="s">
        <v>1001</v>
      </c>
      <c r="S995" s="973" t="s">
        <v>1002</v>
      </c>
      <c r="T995" s="423">
        <v>500</v>
      </c>
      <c r="U995" s="423" t="s">
        <v>1041</v>
      </c>
      <c r="V995" s="423">
        <v>30</v>
      </c>
      <c r="W995" s="423">
        <v>0.36</v>
      </c>
      <c r="X995" s="423">
        <v>7</v>
      </c>
      <c r="Y995" s="423" t="s">
        <v>1041</v>
      </c>
      <c r="Z995" s="423" t="s">
        <v>1058</v>
      </c>
      <c r="AD995" s="423">
        <f>IF(ISNUMBER(MATCH(B995,'FICHA SOLIC'!$AB$26:$AB$376,0)),1,0)</f>
        <v>1</v>
      </c>
      <c r="AE995" s="423" t="str">
        <f t="shared" si="15"/>
        <v>MauleZU7</v>
      </c>
    </row>
    <row r="996" spans="1:31" x14ac:dyDescent="0.25">
      <c r="A996" s="423">
        <v>995</v>
      </c>
      <c r="B996" s="423" t="s">
        <v>222</v>
      </c>
      <c r="C996" s="423" t="s">
        <v>1329</v>
      </c>
      <c r="D996" s="973" t="s">
        <v>990</v>
      </c>
      <c r="E996" s="973" t="s">
        <v>991</v>
      </c>
      <c r="F996" s="973" t="s">
        <v>992</v>
      </c>
      <c r="G996" s="973" t="s">
        <v>1997</v>
      </c>
      <c r="H996" s="973" t="s">
        <v>1998</v>
      </c>
      <c r="I996" s="973" t="s">
        <v>1999</v>
      </c>
      <c r="J996" s="973" t="s">
        <v>697</v>
      </c>
      <c r="K996" s="973" t="s">
        <v>995</v>
      </c>
      <c r="L996" s="973" t="s">
        <v>996</v>
      </c>
      <c r="M996" s="973" t="s">
        <v>2000</v>
      </c>
      <c r="N996" s="973" t="s">
        <v>2001</v>
      </c>
      <c r="O996" s="973" t="s">
        <v>1971</v>
      </c>
      <c r="P996" s="973" t="s">
        <v>999</v>
      </c>
      <c r="Q996" s="973" t="s">
        <v>1000</v>
      </c>
      <c r="R996" s="973" t="s">
        <v>1001</v>
      </c>
      <c r="S996" s="973" t="s">
        <v>1002</v>
      </c>
      <c r="T996" s="423">
        <v>1000</v>
      </c>
      <c r="U996" s="423" t="s">
        <v>1041</v>
      </c>
      <c r="V996" s="423">
        <v>30</v>
      </c>
      <c r="W996" s="423">
        <v>0.36</v>
      </c>
      <c r="X996" s="423">
        <v>7</v>
      </c>
      <c r="Y996" s="423" t="s">
        <v>1041</v>
      </c>
      <c r="Z996" s="423" t="s">
        <v>1058</v>
      </c>
      <c r="AD996" s="423">
        <f>IF(ISNUMBER(MATCH(B996,'FICHA SOLIC'!$AB$26:$AB$376,0)),1,0)</f>
        <v>1</v>
      </c>
      <c r="AE996" s="423" t="str">
        <f t="shared" si="15"/>
        <v>MauleZU8</v>
      </c>
    </row>
    <row r="997" spans="1:31" x14ac:dyDescent="0.25">
      <c r="A997" s="423">
        <v>996</v>
      </c>
      <c r="B997" s="423" t="s">
        <v>222</v>
      </c>
      <c r="C997" s="423" t="s">
        <v>1330</v>
      </c>
      <c r="D997" s="973" t="s">
        <v>990</v>
      </c>
      <c r="E997" s="973" t="s">
        <v>991</v>
      </c>
      <c r="F997" s="973" t="s">
        <v>992</v>
      </c>
      <c r="G997" s="973" t="s">
        <v>1997</v>
      </c>
      <c r="H997" s="973" t="s">
        <v>1998</v>
      </c>
      <c r="I997" s="973" t="s">
        <v>1999</v>
      </c>
      <c r="J997" s="973" t="s">
        <v>697</v>
      </c>
      <c r="K997" s="973" t="s">
        <v>995</v>
      </c>
      <c r="L997" s="973" t="s">
        <v>996</v>
      </c>
      <c r="M997" s="973" t="s">
        <v>2000</v>
      </c>
      <c r="N997" s="973" t="s">
        <v>2001</v>
      </c>
      <c r="O997" s="973" t="s">
        <v>1971</v>
      </c>
      <c r="P997" s="973" t="s">
        <v>999</v>
      </c>
      <c r="Q997" s="973" t="s">
        <v>1000</v>
      </c>
      <c r="R997" s="973" t="s">
        <v>1001</v>
      </c>
      <c r="S997" s="973" t="s">
        <v>1002</v>
      </c>
      <c r="T997" s="423">
        <v>500</v>
      </c>
      <c r="U997" s="423" t="s">
        <v>1041</v>
      </c>
      <c r="V997" s="423">
        <v>50</v>
      </c>
      <c r="W997" s="423">
        <v>1</v>
      </c>
      <c r="X997" s="423">
        <v>7</v>
      </c>
      <c r="Y997" s="423" t="s">
        <v>1041</v>
      </c>
      <c r="Z997" s="423" t="s">
        <v>1058</v>
      </c>
      <c r="AD997" s="423">
        <f>IF(ISNUMBER(MATCH(B997,'FICHA SOLIC'!$AB$26:$AB$376,0)),1,0)</f>
        <v>1</v>
      </c>
      <c r="AE997" s="423" t="str">
        <f t="shared" si="15"/>
        <v>MauleZU9</v>
      </c>
    </row>
    <row r="998" spans="1:31" x14ac:dyDescent="0.25">
      <c r="A998" s="423">
        <v>997</v>
      </c>
      <c r="B998" s="423" t="s">
        <v>357</v>
      </c>
      <c r="C998" s="423" t="s">
        <v>1041</v>
      </c>
      <c r="D998" s="973" t="s">
        <v>990</v>
      </c>
      <c r="E998" s="973" t="s">
        <v>991</v>
      </c>
      <c r="F998" s="973" t="s">
        <v>992</v>
      </c>
      <c r="G998" s="973" t="s">
        <v>1997</v>
      </c>
      <c r="H998" s="973" t="s">
        <v>1998</v>
      </c>
      <c r="I998" s="973" t="s">
        <v>1999</v>
      </c>
      <c r="J998" s="973" t="s">
        <v>697</v>
      </c>
      <c r="K998" s="973" t="s">
        <v>995</v>
      </c>
      <c r="L998" s="973" t="s">
        <v>996</v>
      </c>
      <c r="M998" s="973" t="s">
        <v>2000</v>
      </c>
      <c r="N998" s="973" t="s">
        <v>2001</v>
      </c>
      <c r="O998" s="973" t="s">
        <v>1971</v>
      </c>
      <c r="P998" s="973" t="s">
        <v>999</v>
      </c>
      <c r="Q998" s="973" t="s">
        <v>1000</v>
      </c>
      <c r="R998" s="973" t="s">
        <v>1001</v>
      </c>
      <c r="S998" s="973" t="s">
        <v>1002</v>
      </c>
      <c r="T998" s="423" t="s">
        <v>1041</v>
      </c>
      <c r="U998" s="423" t="s">
        <v>1041</v>
      </c>
      <c r="V998" s="423" t="s">
        <v>1041</v>
      </c>
      <c r="W998" s="423" t="s">
        <v>1041</v>
      </c>
      <c r="X998" s="423" t="s">
        <v>1041</v>
      </c>
      <c r="Y998" s="423" t="s">
        <v>1041</v>
      </c>
      <c r="Z998" s="423" t="s">
        <v>1041</v>
      </c>
      <c r="AD998" s="423">
        <f>IF(ISNUMBER(MATCH(B998,'FICHA SOLIC'!$AB$26:$AB$376,0)),1,0)</f>
        <v>1</v>
      </c>
      <c r="AE998" s="423" t="str">
        <f t="shared" si="15"/>
        <v>MaullínOGUC</v>
      </c>
    </row>
    <row r="999" spans="1:31" x14ac:dyDescent="0.25">
      <c r="A999" s="423">
        <v>998</v>
      </c>
      <c r="B999" s="423" t="s">
        <v>94</v>
      </c>
      <c r="C999" s="423" t="s">
        <v>1041</v>
      </c>
      <c r="D999" s="973" t="s">
        <v>990</v>
      </c>
      <c r="E999" s="973" t="s">
        <v>991</v>
      </c>
      <c r="F999" s="973" t="s">
        <v>992</v>
      </c>
      <c r="G999" s="973" t="s">
        <v>1997</v>
      </c>
      <c r="H999" s="973" t="s">
        <v>1998</v>
      </c>
      <c r="I999" s="973" t="s">
        <v>1999</v>
      </c>
      <c r="J999" s="973" t="s">
        <v>697</v>
      </c>
      <c r="K999" s="973" t="s">
        <v>995</v>
      </c>
      <c r="L999" s="973" t="s">
        <v>996</v>
      </c>
      <c r="M999" s="973" t="s">
        <v>2000</v>
      </c>
      <c r="N999" s="973" t="s">
        <v>2001</v>
      </c>
      <c r="O999" s="973" t="s">
        <v>1971</v>
      </c>
      <c r="P999" s="973" t="s">
        <v>999</v>
      </c>
      <c r="Q999" s="973" t="s">
        <v>1000</v>
      </c>
      <c r="R999" s="973" t="s">
        <v>1001</v>
      </c>
      <c r="S999" s="973" t="s">
        <v>1002</v>
      </c>
      <c r="T999" s="423" t="s">
        <v>1041</v>
      </c>
      <c r="U999" s="423" t="s">
        <v>1041</v>
      </c>
      <c r="V999" s="423" t="s">
        <v>1041</v>
      </c>
      <c r="W999" s="423" t="s">
        <v>1041</v>
      </c>
      <c r="X999" s="423" t="s">
        <v>1041</v>
      </c>
      <c r="Y999" s="423" t="s">
        <v>1041</v>
      </c>
      <c r="Z999" s="423" t="s">
        <v>1041</v>
      </c>
      <c r="AD999" s="423">
        <f>IF(ISNUMBER(MATCH(B999,'FICHA SOLIC'!$AB$26:$AB$376,0)),1,0)</f>
        <v>1</v>
      </c>
      <c r="AE999" s="423" t="str">
        <f t="shared" si="15"/>
        <v>MejillonesOGUC</v>
      </c>
    </row>
    <row r="1000" spans="1:31" x14ac:dyDescent="0.25">
      <c r="A1000" s="423">
        <v>999</v>
      </c>
      <c r="B1000" s="423" t="s">
        <v>445</v>
      </c>
      <c r="C1000" s="423" t="s">
        <v>2014</v>
      </c>
      <c r="D1000" s="973" t="s">
        <v>990</v>
      </c>
      <c r="E1000" s="973" t="s">
        <v>991</v>
      </c>
      <c r="F1000" s="973" t="s">
        <v>992</v>
      </c>
      <c r="G1000" s="973" t="s">
        <v>1997</v>
      </c>
      <c r="H1000" s="973" t="s">
        <v>1998</v>
      </c>
      <c r="I1000" s="973" t="s">
        <v>1999</v>
      </c>
      <c r="J1000" s="973" t="s">
        <v>697</v>
      </c>
      <c r="K1000" s="973" t="s">
        <v>995</v>
      </c>
      <c r="L1000" s="973" t="s">
        <v>996</v>
      </c>
      <c r="M1000" s="973" t="s">
        <v>2000</v>
      </c>
      <c r="N1000" s="973" t="s">
        <v>2001</v>
      </c>
      <c r="O1000" s="973" t="s">
        <v>1971</v>
      </c>
      <c r="P1000" s="973" t="s">
        <v>999</v>
      </c>
      <c r="Q1000" s="973" t="s">
        <v>1000</v>
      </c>
      <c r="R1000" s="973" t="s">
        <v>1001</v>
      </c>
      <c r="S1000" s="973" t="s">
        <v>1002</v>
      </c>
      <c r="T1000" s="423">
        <v>300</v>
      </c>
      <c r="U1000" s="423">
        <v>10</v>
      </c>
      <c r="V1000" s="423">
        <v>50</v>
      </c>
      <c r="W1000" s="423" t="s">
        <v>1173</v>
      </c>
      <c r="X1000" s="423" t="s">
        <v>1173</v>
      </c>
      <c r="Y1000" s="423" t="s">
        <v>1041</v>
      </c>
      <c r="Z1000" s="423" t="s">
        <v>1096</v>
      </c>
      <c r="AD1000" s="423">
        <f>IF(ISNUMBER(MATCH(B1000,'FICHA SOLIC'!$AB$26:$AB$376,0)),1,0)</f>
        <v>1</v>
      </c>
      <c r="AE1000" s="423" t="str">
        <f t="shared" si="15"/>
        <v>MelipillaZ1</v>
      </c>
    </row>
    <row r="1001" spans="1:31" x14ac:dyDescent="0.25">
      <c r="A1001" s="423">
        <v>1000</v>
      </c>
      <c r="B1001" s="423" t="s">
        <v>445</v>
      </c>
      <c r="C1001" s="423" t="s">
        <v>1458</v>
      </c>
      <c r="D1001" s="973" t="s">
        <v>990</v>
      </c>
      <c r="E1001" s="973" t="s">
        <v>991</v>
      </c>
      <c r="F1001" s="973" t="s">
        <v>992</v>
      </c>
      <c r="G1001" s="973" t="s">
        <v>1997</v>
      </c>
      <c r="H1001" s="973" t="s">
        <v>1998</v>
      </c>
      <c r="I1001" s="973" t="s">
        <v>1999</v>
      </c>
      <c r="J1001" s="973" t="s">
        <v>697</v>
      </c>
      <c r="K1001" s="973" t="s">
        <v>995</v>
      </c>
      <c r="L1001" s="973" t="s">
        <v>996</v>
      </c>
      <c r="M1001" s="973" t="s">
        <v>2000</v>
      </c>
      <c r="N1001" s="973" t="s">
        <v>2001</v>
      </c>
      <c r="O1001" s="973" t="s">
        <v>1971</v>
      </c>
      <c r="P1001" s="973" t="s">
        <v>999</v>
      </c>
      <c r="Q1001" s="973" t="s">
        <v>1000</v>
      </c>
      <c r="R1001" s="973" t="s">
        <v>1001</v>
      </c>
      <c r="S1001" s="973" t="s">
        <v>1002</v>
      </c>
      <c r="T1001" s="423">
        <v>250</v>
      </c>
      <c r="U1001" s="423">
        <v>10</v>
      </c>
      <c r="V1001" s="423">
        <v>50</v>
      </c>
      <c r="W1001" s="423">
        <v>2</v>
      </c>
      <c r="X1001" s="423" t="s">
        <v>1173</v>
      </c>
      <c r="Y1001" s="423" t="s">
        <v>1041</v>
      </c>
      <c r="Z1001" s="423" t="s">
        <v>1059</v>
      </c>
      <c r="AD1001" s="423">
        <f>IF(ISNUMBER(MATCH(B1001,'FICHA SOLIC'!$AB$26:$AB$376,0)),1,0)</f>
        <v>1</v>
      </c>
      <c r="AE1001" s="423" t="str">
        <f t="shared" si="15"/>
        <v>MelipillaZ2</v>
      </c>
    </row>
    <row r="1002" spans="1:31" x14ac:dyDescent="0.25">
      <c r="A1002" s="423">
        <v>1001</v>
      </c>
      <c r="B1002" s="423" t="s">
        <v>445</v>
      </c>
      <c r="C1002" s="423" t="s">
        <v>2022</v>
      </c>
      <c r="D1002" s="973" t="s">
        <v>990</v>
      </c>
      <c r="E1002" s="973" t="s">
        <v>991</v>
      </c>
      <c r="F1002" s="973" t="s">
        <v>992</v>
      </c>
      <c r="G1002" s="973" t="s">
        <v>1997</v>
      </c>
      <c r="H1002" s="973" t="s">
        <v>1998</v>
      </c>
      <c r="I1002" s="973" t="s">
        <v>1999</v>
      </c>
      <c r="J1002" s="973" t="s">
        <v>697</v>
      </c>
      <c r="K1002" s="973" t="s">
        <v>995</v>
      </c>
      <c r="L1002" s="973" t="s">
        <v>996</v>
      </c>
      <c r="M1002" s="973" t="s">
        <v>2000</v>
      </c>
      <c r="N1002" s="973" t="s">
        <v>2001</v>
      </c>
      <c r="O1002" s="973" t="s">
        <v>1971</v>
      </c>
      <c r="P1002" s="973" t="s">
        <v>999</v>
      </c>
      <c r="Q1002" s="973" t="s">
        <v>1000</v>
      </c>
      <c r="R1002" s="973" t="s">
        <v>1001</v>
      </c>
      <c r="S1002" s="973" t="s">
        <v>1002</v>
      </c>
      <c r="T1002" s="423">
        <v>250</v>
      </c>
      <c r="U1002" s="423">
        <v>8</v>
      </c>
      <c r="V1002" s="423">
        <v>50</v>
      </c>
      <c r="W1002" s="423">
        <v>1.4</v>
      </c>
      <c r="X1002" s="423" t="s">
        <v>1173</v>
      </c>
      <c r="Y1002" s="423" t="s">
        <v>1041</v>
      </c>
      <c r="Z1002" s="423" t="s">
        <v>1059</v>
      </c>
      <c r="AD1002" s="423">
        <f>IF(ISNUMBER(MATCH(B1002,'FICHA SOLIC'!$AB$26:$AB$376,0)),1,0)</f>
        <v>1</v>
      </c>
      <c r="AE1002" s="423" t="str">
        <f t="shared" si="15"/>
        <v>MelipillaZ3</v>
      </c>
    </row>
    <row r="1003" spans="1:31" x14ac:dyDescent="0.25">
      <c r="A1003" s="423">
        <v>1002</v>
      </c>
      <c r="B1003" s="423" t="s">
        <v>445</v>
      </c>
      <c r="C1003" s="423" t="s">
        <v>2024</v>
      </c>
      <c r="D1003" s="973" t="s">
        <v>990</v>
      </c>
      <c r="E1003" s="973" t="s">
        <v>991</v>
      </c>
      <c r="F1003" s="973" t="s">
        <v>992</v>
      </c>
      <c r="G1003" s="973" t="s">
        <v>1997</v>
      </c>
      <c r="H1003" s="973" t="s">
        <v>1998</v>
      </c>
      <c r="I1003" s="973" t="s">
        <v>1999</v>
      </c>
      <c r="J1003" s="973" t="s">
        <v>697</v>
      </c>
      <c r="K1003" s="973" t="s">
        <v>995</v>
      </c>
      <c r="L1003" s="973" t="s">
        <v>996</v>
      </c>
      <c r="M1003" s="973" t="s">
        <v>2000</v>
      </c>
      <c r="N1003" s="973" t="s">
        <v>2001</v>
      </c>
      <c r="O1003" s="973" t="s">
        <v>1971</v>
      </c>
      <c r="P1003" s="973" t="s">
        <v>999</v>
      </c>
      <c r="Q1003" s="973" t="s">
        <v>1000</v>
      </c>
      <c r="R1003" s="973" t="s">
        <v>1001</v>
      </c>
      <c r="S1003" s="973" t="s">
        <v>1002</v>
      </c>
      <c r="T1003" s="423">
        <v>250</v>
      </c>
      <c r="U1003" s="423">
        <v>8</v>
      </c>
      <c r="V1003" s="423">
        <v>60</v>
      </c>
      <c r="W1003" s="423">
        <v>1.4</v>
      </c>
      <c r="X1003" s="423" t="s">
        <v>1173</v>
      </c>
      <c r="Y1003" s="423" t="s">
        <v>1041</v>
      </c>
      <c r="Z1003" s="423" t="s">
        <v>1059</v>
      </c>
      <c r="AD1003" s="423">
        <f>IF(ISNUMBER(MATCH(B1003,'FICHA SOLIC'!$AB$26:$AB$376,0)),1,0)</f>
        <v>1</v>
      </c>
      <c r="AE1003" s="423" t="str">
        <f t="shared" si="15"/>
        <v>MelipillaZ4</v>
      </c>
    </row>
    <row r="1004" spans="1:31" x14ac:dyDescent="0.25">
      <c r="A1004" s="423">
        <v>1003</v>
      </c>
      <c r="B1004" s="423" t="s">
        <v>445</v>
      </c>
      <c r="C1004" s="423" t="s">
        <v>2025</v>
      </c>
      <c r="D1004" s="973" t="s">
        <v>990</v>
      </c>
      <c r="E1004" s="973" t="s">
        <v>991</v>
      </c>
      <c r="F1004" s="973" t="s">
        <v>992</v>
      </c>
      <c r="G1004" s="973" t="s">
        <v>1997</v>
      </c>
      <c r="H1004" s="973" t="s">
        <v>1998</v>
      </c>
      <c r="I1004" s="973" t="s">
        <v>1999</v>
      </c>
      <c r="J1004" s="973" t="s">
        <v>697</v>
      </c>
      <c r="K1004" s="973" t="s">
        <v>995</v>
      </c>
      <c r="L1004" s="973" t="s">
        <v>996</v>
      </c>
      <c r="M1004" s="973" t="s">
        <v>2000</v>
      </c>
      <c r="N1004" s="973" t="s">
        <v>2001</v>
      </c>
      <c r="O1004" s="973" t="s">
        <v>1971</v>
      </c>
      <c r="P1004" s="973" t="s">
        <v>999</v>
      </c>
      <c r="Q1004" s="973" t="s">
        <v>1000</v>
      </c>
      <c r="R1004" s="973" t="s">
        <v>1001</v>
      </c>
      <c r="S1004" s="973" t="s">
        <v>1002</v>
      </c>
      <c r="T1004" s="423">
        <v>150</v>
      </c>
      <c r="U1004" s="423">
        <v>6</v>
      </c>
      <c r="V1004" s="423">
        <v>60</v>
      </c>
      <c r="W1004" s="423">
        <v>1.8</v>
      </c>
      <c r="X1004" s="423" t="s">
        <v>1173</v>
      </c>
      <c r="Y1004" s="423" t="s">
        <v>1041</v>
      </c>
      <c r="Z1004" s="423" t="s">
        <v>1059</v>
      </c>
      <c r="AD1004" s="423">
        <f>IF(ISNUMBER(MATCH(B1004,'FICHA SOLIC'!$AB$26:$AB$376,0)),1,0)</f>
        <v>1</v>
      </c>
      <c r="AE1004" s="423" t="str">
        <f t="shared" si="15"/>
        <v>MelipillaZ5</v>
      </c>
    </row>
    <row r="1005" spans="1:31" x14ac:dyDescent="0.25">
      <c r="A1005" s="423">
        <v>1004</v>
      </c>
      <c r="B1005" s="423" t="s">
        <v>445</v>
      </c>
      <c r="C1005" s="423" t="s">
        <v>1474</v>
      </c>
      <c r="D1005" s="973" t="s">
        <v>990</v>
      </c>
      <c r="E1005" s="973" t="s">
        <v>991</v>
      </c>
      <c r="F1005" s="973" t="s">
        <v>992</v>
      </c>
      <c r="G1005" s="973" t="s">
        <v>1997</v>
      </c>
      <c r="H1005" s="973" t="s">
        <v>1998</v>
      </c>
      <c r="I1005" s="973" t="s">
        <v>1999</v>
      </c>
      <c r="J1005" s="973" t="s">
        <v>697</v>
      </c>
      <c r="K1005" s="973" t="s">
        <v>995</v>
      </c>
      <c r="L1005" s="973" t="s">
        <v>996</v>
      </c>
      <c r="M1005" s="973" t="s">
        <v>2000</v>
      </c>
      <c r="N1005" s="973" t="s">
        <v>2001</v>
      </c>
      <c r="O1005" s="973" t="s">
        <v>1971</v>
      </c>
      <c r="P1005" s="973" t="s">
        <v>999</v>
      </c>
      <c r="Q1005" s="973" t="s">
        <v>1000</v>
      </c>
      <c r="R1005" s="973" t="s">
        <v>1001</v>
      </c>
      <c r="S1005" s="973" t="s">
        <v>1002</v>
      </c>
      <c r="T1005" s="423">
        <v>5000</v>
      </c>
      <c r="U1005" s="423">
        <v>50</v>
      </c>
      <c r="V1005" s="423">
        <v>20</v>
      </c>
      <c r="W1005" s="423">
        <v>0.3</v>
      </c>
      <c r="X1005" s="423" t="s">
        <v>1173</v>
      </c>
      <c r="Y1005" s="423" t="s">
        <v>1041</v>
      </c>
      <c r="Z1005" s="423" t="s">
        <v>1058</v>
      </c>
      <c r="AD1005" s="423">
        <f>IF(ISNUMBER(MATCH(B1005,'FICHA SOLIC'!$AB$26:$AB$376,0)),1,0)</f>
        <v>1</v>
      </c>
      <c r="AE1005" s="423" t="str">
        <f t="shared" si="15"/>
        <v>MelipillaZE-2</v>
      </c>
    </row>
    <row r="1006" spans="1:31" x14ac:dyDescent="0.25">
      <c r="A1006" s="423">
        <v>1005</v>
      </c>
      <c r="B1006" s="423" t="s">
        <v>445</v>
      </c>
      <c r="C1006" s="423" t="s">
        <v>1457</v>
      </c>
      <c r="D1006" s="973" t="s">
        <v>990</v>
      </c>
      <c r="E1006" s="973" t="s">
        <v>991</v>
      </c>
      <c r="F1006" s="973" t="s">
        <v>992</v>
      </c>
      <c r="G1006" s="973" t="s">
        <v>1997</v>
      </c>
      <c r="H1006" s="973" t="s">
        <v>1998</v>
      </c>
      <c r="I1006" s="973" t="s">
        <v>1999</v>
      </c>
      <c r="J1006" s="973" t="s">
        <v>697</v>
      </c>
      <c r="K1006" s="973" t="s">
        <v>995</v>
      </c>
      <c r="L1006" s="973" t="s">
        <v>996</v>
      </c>
      <c r="M1006" s="973" t="s">
        <v>2000</v>
      </c>
      <c r="N1006" s="973" t="s">
        <v>2001</v>
      </c>
      <c r="O1006" s="973" t="s">
        <v>1971</v>
      </c>
      <c r="P1006" s="973" t="s">
        <v>999</v>
      </c>
      <c r="Q1006" s="973" t="s">
        <v>1000</v>
      </c>
      <c r="R1006" s="973" t="s">
        <v>1001</v>
      </c>
      <c r="S1006" s="973" t="s">
        <v>1002</v>
      </c>
      <c r="T1006" s="423">
        <v>1500</v>
      </c>
      <c r="U1006" s="423">
        <v>25</v>
      </c>
      <c r="V1006" s="423">
        <v>50</v>
      </c>
      <c r="W1006" s="423">
        <v>0.5</v>
      </c>
      <c r="X1006" s="423" t="s">
        <v>1173</v>
      </c>
      <c r="Y1006" s="423" t="s">
        <v>1041</v>
      </c>
      <c r="Z1006" s="423" t="s">
        <v>1058</v>
      </c>
      <c r="AD1006" s="423">
        <f>IF(ISNUMBER(MATCH(B1006,'FICHA SOLIC'!$AB$26:$AB$376,0)),1,0)</f>
        <v>1</v>
      </c>
      <c r="AE1006" s="423" t="str">
        <f t="shared" si="15"/>
        <v>MelipillaZI-1</v>
      </c>
    </row>
    <row r="1007" spans="1:31" x14ac:dyDescent="0.25">
      <c r="A1007" s="423">
        <v>1006</v>
      </c>
      <c r="B1007" s="423" t="s">
        <v>445</v>
      </c>
      <c r="C1007" s="423" t="s">
        <v>2412</v>
      </c>
      <c r="D1007" s="973" t="s">
        <v>990</v>
      </c>
      <c r="E1007" s="973" t="s">
        <v>991</v>
      </c>
      <c r="F1007" s="973" t="s">
        <v>992</v>
      </c>
      <c r="G1007" s="973" t="s">
        <v>1997</v>
      </c>
      <c r="H1007" s="973" t="s">
        <v>1998</v>
      </c>
      <c r="I1007" s="973" t="s">
        <v>1999</v>
      </c>
      <c r="J1007" s="973" t="s">
        <v>697</v>
      </c>
      <c r="K1007" s="973" t="s">
        <v>995</v>
      </c>
      <c r="L1007" s="973" t="s">
        <v>996</v>
      </c>
      <c r="M1007" s="973" t="s">
        <v>2000</v>
      </c>
      <c r="N1007" s="973" t="s">
        <v>2001</v>
      </c>
      <c r="O1007" s="973" t="s">
        <v>1971</v>
      </c>
      <c r="P1007" s="973" t="s">
        <v>999</v>
      </c>
      <c r="Q1007" s="973" t="s">
        <v>1000</v>
      </c>
      <c r="R1007" s="973" t="s">
        <v>1001</v>
      </c>
      <c r="S1007" s="973" t="s">
        <v>1002</v>
      </c>
      <c r="T1007" s="423">
        <v>1200</v>
      </c>
      <c r="U1007" s="423">
        <v>25</v>
      </c>
      <c r="V1007" s="423">
        <v>60</v>
      </c>
      <c r="W1007" s="423">
        <v>0.6</v>
      </c>
      <c r="X1007" s="423" t="s">
        <v>1173</v>
      </c>
      <c r="Y1007" s="423" t="s">
        <v>1041</v>
      </c>
      <c r="Z1007" s="423" t="s">
        <v>1058</v>
      </c>
      <c r="AD1007" s="423">
        <f>IF(ISNUMBER(MATCH(B1007,'FICHA SOLIC'!$AB$26:$AB$376,0)),1,0)</f>
        <v>1</v>
      </c>
      <c r="AE1007" s="423" t="str">
        <f t="shared" si="15"/>
        <v>MelipillaZI-2</v>
      </c>
    </row>
    <row r="1008" spans="1:31" x14ac:dyDescent="0.25">
      <c r="A1008" s="423">
        <v>1007</v>
      </c>
      <c r="B1008" s="423" t="s">
        <v>445</v>
      </c>
      <c r="C1008" s="423" t="s">
        <v>2413</v>
      </c>
      <c r="D1008" s="973" t="s">
        <v>990</v>
      </c>
      <c r="E1008" s="973" t="s">
        <v>991</v>
      </c>
      <c r="F1008" s="973" t="s">
        <v>992</v>
      </c>
      <c r="G1008" s="973" t="s">
        <v>1997</v>
      </c>
      <c r="H1008" s="973" t="s">
        <v>1998</v>
      </c>
      <c r="I1008" s="973" t="s">
        <v>1999</v>
      </c>
      <c r="J1008" s="973" t="s">
        <v>697</v>
      </c>
      <c r="K1008" s="973" t="s">
        <v>995</v>
      </c>
      <c r="L1008" s="973" t="s">
        <v>996</v>
      </c>
      <c r="M1008" s="973" t="s">
        <v>2000</v>
      </c>
      <c r="N1008" s="973" t="s">
        <v>2001</v>
      </c>
      <c r="O1008" s="973" t="s">
        <v>1971</v>
      </c>
      <c r="P1008" s="973" t="s">
        <v>999</v>
      </c>
      <c r="Q1008" s="973" t="s">
        <v>1000</v>
      </c>
      <c r="R1008" s="973" t="s">
        <v>1001</v>
      </c>
      <c r="S1008" s="973" t="s">
        <v>1002</v>
      </c>
      <c r="T1008" s="423">
        <v>1200</v>
      </c>
      <c r="U1008" s="423">
        <v>25</v>
      </c>
      <c r="V1008" s="423">
        <v>60</v>
      </c>
      <c r="W1008" s="423">
        <v>0.6</v>
      </c>
      <c r="X1008" s="423" t="s">
        <v>1173</v>
      </c>
      <c r="Y1008" s="423" t="s">
        <v>1041</v>
      </c>
      <c r="Z1008" s="423" t="s">
        <v>1058</v>
      </c>
      <c r="AD1008" s="423">
        <f>IF(ISNUMBER(MATCH(B1008,'FICHA SOLIC'!$AB$26:$AB$376,0)),1,0)</f>
        <v>1</v>
      </c>
      <c r="AE1008" s="423" t="str">
        <f t="shared" si="15"/>
        <v>MelipillaZI-3</v>
      </c>
    </row>
    <row r="1009" spans="1:31" x14ac:dyDescent="0.25">
      <c r="A1009" s="423">
        <v>1008</v>
      </c>
      <c r="B1009" s="423" t="s">
        <v>234</v>
      </c>
      <c r="C1009" s="423" t="s">
        <v>1041</v>
      </c>
      <c r="D1009" s="973" t="s">
        <v>990</v>
      </c>
      <c r="E1009" s="973" t="s">
        <v>991</v>
      </c>
      <c r="F1009" s="973" t="s">
        <v>992</v>
      </c>
      <c r="G1009" s="973" t="s">
        <v>1997</v>
      </c>
      <c r="H1009" s="973" t="s">
        <v>1998</v>
      </c>
      <c r="I1009" s="973" t="s">
        <v>1999</v>
      </c>
      <c r="J1009" s="973" t="s">
        <v>697</v>
      </c>
      <c r="K1009" s="973" t="s">
        <v>995</v>
      </c>
      <c r="L1009" s="973" t="s">
        <v>996</v>
      </c>
      <c r="M1009" s="973" t="s">
        <v>2000</v>
      </c>
      <c r="N1009" s="973" t="s">
        <v>2001</v>
      </c>
      <c r="O1009" s="973" t="s">
        <v>1971</v>
      </c>
      <c r="P1009" s="973" t="s">
        <v>999</v>
      </c>
      <c r="Q1009" s="973" t="s">
        <v>1000</v>
      </c>
      <c r="R1009" s="973" t="s">
        <v>1001</v>
      </c>
      <c r="S1009" s="973" t="s">
        <v>1002</v>
      </c>
      <c r="T1009" s="423" t="s">
        <v>1041</v>
      </c>
      <c r="U1009" s="423" t="s">
        <v>1041</v>
      </c>
      <c r="V1009" s="423" t="s">
        <v>1041</v>
      </c>
      <c r="W1009" s="423" t="s">
        <v>1041</v>
      </c>
      <c r="X1009" s="423" t="s">
        <v>1041</v>
      </c>
      <c r="Y1009" s="423" t="s">
        <v>1041</v>
      </c>
      <c r="Z1009" s="423" t="s">
        <v>1041</v>
      </c>
      <c r="AD1009" s="423">
        <f>IF(ISNUMBER(MATCH(B1009,'FICHA SOLIC'!$AB$26:$AB$376,0)),1,0)</f>
        <v>1</v>
      </c>
      <c r="AE1009" s="423" t="str">
        <f t="shared" si="15"/>
        <v>MolinaOGUC</v>
      </c>
    </row>
    <row r="1010" spans="1:31" x14ac:dyDescent="0.25">
      <c r="A1010" s="423">
        <v>1009</v>
      </c>
      <c r="B1010" s="423" t="s">
        <v>2414</v>
      </c>
      <c r="C1010" s="423" t="s">
        <v>1041</v>
      </c>
      <c r="D1010" s="973" t="s">
        <v>990</v>
      </c>
      <c r="E1010" s="973" t="s">
        <v>991</v>
      </c>
      <c r="F1010" s="973" t="s">
        <v>992</v>
      </c>
      <c r="G1010" s="973" t="s">
        <v>1997</v>
      </c>
      <c r="H1010" s="973" t="s">
        <v>1998</v>
      </c>
      <c r="I1010" s="973" t="s">
        <v>1999</v>
      </c>
      <c r="J1010" s="973" t="s">
        <v>697</v>
      </c>
      <c r="K1010" s="973" t="s">
        <v>995</v>
      </c>
      <c r="L1010" s="973" t="s">
        <v>996</v>
      </c>
      <c r="M1010" s="973" t="s">
        <v>2000</v>
      </c>
      <c r="N1010" s="973" t="s">
        <v>2001</v>
      </c>
      <c r="O1010" s="973" t="s">
        <v>1971</v>
      </c>
      <c r="P1010" s="973" t="s">
        <v>999</v>
      </c>
      <c r="Q1010" s="973" t="s">
        <v>1000</v>
      </c>
      <c r="R1010" s="973" t="s">
        <v>1001</v>
      </c>
      <c r="S1010" s="973" t="s">
        <v>1002</v>
      </c>
      <c r="T1010" s="423" t="s">
        <v>1041</v>
      </c>
      <c r="U1010" s="423" t="s">
        <v>1041</v>
      </c>
      <c r="V1010" s="423" t="s">
        <v>1041</v>
      </c>
      <c r="W1010" s="423" t="s">
        <v>1041</v>
      </c>
      <c r="X1010" s="423" t="s">
        <v>1041</v>
      </c>
      <c r="Y1010" s="423" t="s">
        <v>1041</v>
      </c>
      <c r="Z1010" s="423" t="s">
        <v>1041</v>
      </c>
      <c r="AD1010" s="423">
        <f>IF(ISNUMBER(MATCH(B1010,'FICHA SOLIC'!$AB$26:$AB$376,0)),1,0)</f>
        <v>0</v>
      </c>
      <c r="AE1010" s="423" t="str">
        <f t="shared" si="15"/>
        <v>MonteOGUC</v>
      </c>
    </row>
    <row r="1011" spans="1:31" x14ac:dyDescent="0.25">
      <c r="A1011" s="423">
        <v>1010</v>
      </c>
      <c r="B1011" s="423" t="s">
        <v>141</v>
      </c>
      <c r="C1011" s="423" t="s">
        <v>1041</v>
      </c>
      <c r="D1011" s="973" t="s">
        <v>990</v>
      </c>
      <c r="E1011" s="973" t="s">
        <v>991</v>
      </c>
      <c r="F1011" s="973" t="s">
        <v>992</v>
      </c>
      <c r="G1011" s="973" t="s">
        <v>1997</v>
      </c>
      <c r="H1011" s="973" t="s">
        <v>1998</v>
      </c>
      <c r="I1011" s="973" t="s">
        <v>1999</v>
      </c>
      <c r="J1011" s="973" t="s">
        <v>697</v>
      </c>
      <c r="K1011" s="973" t="s">
        <v>995</v>
      </c>
      <c r="L1011" s="973" t="s">
        <v>996</v>
      </c>
      <c r="M1011" s="973" t="s">
        <v>2000</v>
      </c>
      <c r="N1011" s="973" t="s">
        <v>2001</v>
      </c>
      <c r="O1011" s="973" t="s">
        <v>1971</v>
      </c>
      <c r="P1011" s="973" t="s">
        <v>999</v>
      </c>
      <c r="Q1011" s="973" t="s">
        <v>1000</v>
      </c>
      <c r="R1011" s="973" t="s">
        <v>1001</v>
      </c>
      <c r="S1011" s="973" t="s">
        <v>1002</v>
      </c>
      <c r="T1011" s="423" t="s">
        <v>1041</v>
      </c>
      <c r="U1011" s="423" t="s">
        <v>1041</v>
      </c>
      <c r="V1011" s="423" t="s">
        <v>1041</v>
      </c>
      <c r="W1011" s="423" t="s">
        <v>1041</v>
      </c>
      <c r="X1011" s="423" t="s">
        <v>1041</v>
      </c>
      <c r="Y1011" s="423" t="s">
        <v>1041</v>
      </c>
      <c r="Z1011" s="423" t="s">
        <v>1041</v>
      </c>
      <c r="AD1011" s="423">
        <f>IF(ISNUMBER(MATCH(B1011,'FICHA SOLIC'!$AB$26:$AB$376,0)),1,0)</f>
        <v>1</v>
      </c>
      <c r="AE1011" s="423" t="str">
        <f t="shared" si="15"/>
        <v>Monte PatriaOGUC</v>
      </c>
    </row>
    <row r="1012" spans="1:31" x14ac:dyDescent="0.25">
      <c r="A1012" s="423">
        <v>1011</v>
      </c>
      <c r="B1012" s="423" t="s">
        <v>193</v>
      </c>
      <c r="C1012" s="423" t="s">
        <v>1041</v>
      </c>
      <c r="D1012" s="973" t="s">
        <v>990</v>
      </c>
      <c r="E1012" s="973" t="s">
        <v>991</v>
      </c>
      <c r="F1012" s="973" t="s">
        <v>992</v>
      </c>
      <c r="G1012" s="973" t="s">
        <v>1997</v>
      </c>
      <c r="H1012" s="973" t="s">
        <v>1998</v>
      </c>
      <c r="I1012" s="973" t="s">
        <v>1999</v>
      </c>
      <c r="J1012" s="973" t="s">
        <v>697</v>
      </c>
      <c r="K1012" s="973" t="s">
        <v>995</v>
      </c>
      <c r="L1012" s="973" t="s">
        <v>996</v>
      </c>
      <c r="M1012" s="973" t="s">
        <v>2000</v>
      </c>
      <c r="N1012" s="973" t="s">
        <v>2001</v>
      </c>
      <c r="O1012" s="973" t="s">
        <v>1971</v>
      </c>
      <c r="P1012" s="973" t="s">
        <v>999</v>
      </c>
      <c r="Q1012" s="973" t="s">
        <v>1000</v>
      </c>
      <c r="R1012" s="973" t="s">
        <v>1001</v>
      </c>
      <c r="S1012" s="973" t="s">
        <v>1002</v>
      </c>
      <c r="T1012" s="423" t="s">
        <v>1041</v>
      </c>
      <c r="U1012" s="423" t="s">
        <v>1041</v>
      </c>
      <c r="V1012" s="423" t="s">
        <v>1041</v>
      </c>
      <c r="W1012" s="423" t="s">
        <v>1041</v>
      </c>
      <c r="X1012" s="423" t="s">
        <v>1041</v>
      </c>
      <c r="Y1012" s="423" t="s">
        <v>1041</v>
      </c>
      <c r="Z1012" s="423" t="s">
        <v>1041</v>
      </c>
      <c r="AD1012" s="423">
        <f>IF(ISNUMBER(MATCH(B1012,'FICHA SOLIC'!$AB$26:$AB$376,0)),1,0)</f>
        <v>1</v>
      </c>
      <c r="AE1012" s="423" t="str">
        <f t="shared" si="15"/>
        <v>MostazalOGUC</v>
      </c>
    </row>
    <row r="1013" spans="1:31" x14ac:dyDescent="0.25">
      <c r="A1013" s="423">
        <v>1012</v>
      </c>
      <c r="B1013" s="423" t="s">
        <v>272</v>
      </c>
      <c r="C1013" s="423" t="s">
        <v>1041</v>
      </c>
      <c r="D1013" s="973" t="s">
        <v>990</v>
      </c>
      <c r="E1013" s="973" t="s">
        <v>991</v>
      </c>
      <c r="F1013" s="973" t="s">
        <v>992</v>
      </c>
      <c r="G1013" s="973" t="s">
        <v>1997</v>
      </c>
      <c r="H1013" s="973" t="s">
        <v>1998</v>
      </c>
      <c r="I1013" s="973" t="s">
        <v>1999</v>
      </c>
      <c r="J1013" s="973" t="s">
        <v>697</v>
      </c>
      <c r="K1013" s="973" t="s">
        <v>995</v>
      </c>
      <c r="L1013" s="973" t="s">
        <v>996</v>
      </c>
      <c r="M1013" s="973" t="s">
        <v>2000</v>
      </c>
      <c r="N1013" s="973" t="s">
        <v>2001</v>
      </c>
      <c r="O1013" s="973" t="s">
        <v>1971</v>
      </c>
      <c r="P1013" s="973" t="s">
        <v>999</v>
      </c>
      <c r="Q1013" s="973" t="s">
        <v>1000</v>
      </c>
      <c r="R1013" s="973" t="s">
        <v>1001</v>
      </c>
      <c r="S1013" s="973" t="s">
        <v>1002</v>
      </c>
      <c r="T1013" s="423" t="s">
        <v>1041</v>
      </c>
      <c r="U1013" s="423" t="s">
        <v>1041</v>
      </c>
      <c r="V1013" s="423" t="s">
        <v>1041</v>
      </c>
      <c r="W1013" s="423" t="s">
        <v>1041</v>
      </c>
      <c r="X1013" s="423" t="s">
        <v>1041</v>
      </c>
      <c r="Y1013" s="423" t="s">
        <v>1041</v>
      </c>
      <c r="Z1013" s="423" t="s">
        <v>1041</v>
      </c>
      <c r="AD1013" s="423">
        <f>IF(ISNUMBER(MATCH(B1013,'FICHA SOLIC'!$AB$26:$AB$376,0)),1,0)</f>
        <v>1</v>
      </c>
      <c r="AE1013" s="423" t="str">
        <f t="shared" si="15"/>
        <v>MulchénOGUC</v>
      </c>
    </row>
    <row r="1014" spans="1:31" x14ac:dyDescent="0.25">
      <c r="A1014" s="423">
        <v>1013</v>
      </c>
      <c r="B1014" s="423" t="s">
        <v>273</v>
      </c>
      <c r="C1014" s="423" t="s">
        <v>1041</v>
      </c>
      <c r="D1014" s="973" t="s">
        <v>990</v>
      </c>
      <c r="E1014" s="973" t="s">
        <v>991</v>
      </c>
      <c r="F1014" s="973" t="s">
        <v>992</v>
      </c>
      <c r="G1014" s="973" t="s">
        <v>1997</v>
      </c>
      <c r="H1014" s="973" t="s">
        <v>1998</v>
      </c>
      <c r="I1014" s="973" t="s">
        <v>1999</v>
      </c>
      <c r="J1014" s="973" t="s">
        <v>697</v>
      </c>
      <c r="K1014" s="973" t="s">
        <v>995</v>
      </c>
      <c r="L1014" s="973" t="s">
        <v>996</v>
      </c>
      <c r="M1014" s="973" t="s">
        <v>2000</v>
      </c>
      <c r="N1014" s="973" t="s">
        <v>2001</v>
      </c>
      <c r="O1014" s="973" t="s">
        <v>1971</v>
      </c>
      <c r="P1014" s="973" t="s">
        <v>999</v>
      </c>
      <c r="Q1014" s="973" t="s">
        <v>1000</v>
      </c>
      <c r="R1014" s="973" t="s">
        <v>1001</v>
      </c>
      <c r="S1014" s="973" t="s">
        <v>1002</v>
      </c>
      <c r="T1014" s="423" t="s">
        <v>1041</v>
      </c>
      <c r="U1014" s="423" t="s">
        <v>1041</v>
      </c>
      <c r="V1014" s="423" t="s">
        <v>1041</v>
      </c>
      <c r="W1014" s="423" t="s">
        <v>1041</v>
      </c>
      <c r="X1014" s="423" t="s">
        <v>1041</v>
      </c>
      <c r="Y1014" s="423" t="s">
        <v>1041</v>
      </c>
      <c r="Z1014" s="423" t="s">
        <v>1041</v>
      </c>
      <c r="AD1014" s="423">
        <f>IF(ISNUMBER(MATCH(B1014,'FICHA SOLIC'!$AB$26:$AB$376,0)),1,0)</f>
        <v>1</v>
      </c>
      <c r="AE1014" s="423" t="str">
        <f t="shared" si="15"/>
        <v>NacimientoOGUC</v>
      </c>
    </row>
    <row r="1015" spans="1:31" x14ac:dyDescent="0.25">
      <c r="A1015" s="423">
        <v>1014</v>
      </c>
      <c r="B1015" s="423" t="s">
        <v>211</v>
      </c>
      <c r="C1015" s="423" t="s">
        <v>1041</v>
      </c>
      <c r="D1015" s="973" t="s">
        <v>990</v>
      </c>
      <c r="E1015" s="973" t="s">
        <v>991</v>
      </c>
      <c r="F1015" s="973" t="s">
        <v>992</v>
      </c>
      <c r="G1015" s="973" t="s">
        <v>1997</v>
      </c>
      <c r="H1015" s="973" t="s">
        <v>1998</v>
      </c>
      <c r="I1015" s="973" t="s">
        <v>1999</v>
      </c>
      <c r="J1015" s="973" t="s">
        <v>697</v>
      </c>
      <c r="K1015" s="973" t="s">
        <v>995</v>
      </c>
      <c r="L1015" s="973" t="s">
        <v>996</v>
      </c>
      <c r="M1015" s="973" t="s">
        <v>2000</v>
      </c>
      <c r="N1015" s="973" t="s">
        <v>2001</v>
      </c>
      <c r="O1015" s="973" t="s">
        <v>1971</v>
      </c>
      <c r="P1015" s="973" t="s">
        <v>999</v>
      </c>
      <c r="Q1015" s="973" t="s">
        <v>1000</v>
      </c>
      <c r="R1015" s="973" t="s">
        <v>1001</v>
      </c>
      <c r="S1015" s="973" t="s">
        <v>1002</v>
      </c>
      <c r="T1015" s="423" t="s">
        <v>1041</v>
      </c>
      <c r="U1015" s="423" t="s">
        <v>1041</v>
      </c>
      <c r="V1015" s="423" t="s">
        <v>1041</v>
      </c>
      <c r="W1015" s="423" t="s">
        <v>1041</v>
      </c>
      <c r="X1015" s="423" t="s">
        <v>1041</v>
      </c>
      <c r="Y1015" s="423" t="s">
        <v>1041</v>
      </c>
      <c r="Z1015" s="423" t="s">
        <v>1041</v>
      </c>
      <c r="AD1015" s="423">
        <f>IF(ISNUMBER(MATCH(B1015,'FICHA SOLIC'!$AB$26:$AB$376,0)),1,0)</f>
        <v>1</v>
      </c>
      <c r="AE1015" s="423" t="str">
        <f t="shared" si="15"/>
        <v>NancaguaOGUC</v>
      </c>
    </row>
    <row r="1016" spans="1:31" x14ac:dyDescent="0.25">
      <c r="A1016" s="423">
        <v>1015</v>
      </c>
      <c r="B1016" s="423" t="s">
        <v>205</v>
      </c>
      <c r="C1016" s="423" t="s">
        <v>1041</v>
      </c>
      <c r="D1016" s="973" t="s">
        <v>990</v>
      </c>
      <c r="E1016" s="973" t="s">
        <v>991</v>
      </c>
      <c r="F1016" s="973" t="s">
        <v>992</v>
      </c>
      <c r="G1016" s="973" t="s">
        <v>1997</v>
      </c>
      <c r="H1016" s="973" t="s">
        <v>1998</v>
      </c>
      <c r="I1016" s="973" t="s">
        <v>1999</v>
      </c>
      <c r="J1016" s="973" t="s">
        <v>697</v>
      </c>
      <c r="K1016" s="973" t="s">
        <v>995</v>
      </c>
      <c r="L1016" s="973" t="s">
        <v>996</v>
      </c>
      <c r="M1016" s="973" t="s">
        <v>2000</v>
      </c>
      <c r="N1016" s="973" t="s">
        <v>2001</v>
      </c>
      <c r="O1016" s="973" t="s">
        <v>1971</v>
      </c>
      <c r="P1016" s="973" t="s">
        <v>999</v>
      </c>
      <c r="Q1016" s="973" t="s">
        <v>1000</v>
      </c>
      <c r="R1016" s="973" t="s">
        <v>1001</v>
      </c>
      <c r="S1016" s="973" t="s">
        <v>1002</v>
      </c>
      <c r="T1016" s="423" t="s">
        <v>1041</v>
      </c>
      <c r="U1016" s="423" t="s">
        <v>1041</v>
      </c>
      <c r="V1016" s="423" t="s">
        <v>1041</v>
      </c>
      <c r="W1016" s="423" t="s">
        <v>1041</v>
      </c>
      <c r="X1016" s="423" t="s">
        <v>1041</v>
      </c>
      <c r="Y1016" s="423" t="s">
        <v>1041</v>
      </c>
      <c r="Z1016" s="423" t="s">
        <v>1041</v>
      </c>
      <c r="AD1016" s="423">
        <f>IF(ISNUMBER(MATCH(B1016,'FICHA SOLIC'!$AB$26:$AB$376,0)),1,0)</f>
        <v>1</v>
      </c>
      <c r="AE1016" s="423" t="str">
        <f t="shared" si="15"/>
        <v>NavidadOGUC</v>
      </c>
    </row>
    <row r="1017" spans="1:31" x14ac:dyDescent="0.25">
      <c r="A1017" s="423">
        <v>1016</v>
      </c>
      <c r="B1017" s="423" t="s">
        <v>289</v>
      </c>
      <c r="C1017" s="423" t="s">
        <v>1041</v>
      </c>
      <c r="D1017" s="973" t="s">
        <v>990</v>
      </c>
      <c r="E1017" s="973" t="s">
        <v>991</v>
      </c>
      <c r="F1017" s="973" t="s">
        <v>992</v>
      </c>
      <c r="G1017" s="973" t="s">
        <v>1997</v>
      </c>
      <c r="H1017" s="973" t="s">
        <v>1998</v>
      </c>
      <c r="I1017" s="973" t="s">
        <v>1999</v>
      </c>
      <c r="J1017" s="973" t="s">
        <v>697</v>
      </c>
      <c r="K1017" s="973" t="s">
        <v>995</v>
      </c>
      <c r="L1017" s="973" t="s">
        <v>996</v>
      </c>
      <c r="M1017" s="973" t="s">
        <v>2000</v>
      </c>
      <c r="N1017" s="973" t="s">
        <v>2001</v>
      </c>
      <c r="O1017" s="973" t="s">
        <v>1971</v>
      </c>
      <c r="P1017" s="973" t="s">
        <v>999</v>
      </c>
      <c r="Q1017" s="973" t="s">
        <v>1000</v>
      </c>
      <c r="R1017" s="973" t="s">
        <v>1001</v>
      </c>
      <c r="S1017" s="973" t="s">
        <v>1002</v>
      </c>
      <c r="T1017" s="423" t="s">
        <v>1041</v>
      </c>
      <c r="U1017" s="423" t="s">
        <v>1041</v>
      </c>
      <c r="V1017" s="423" t="s">
        <v>1041</v>
      </c>
      <c r="W1017" s="423" t="s">
        <v>1041</v>
      </c>
      <c r="X1017" s="423" t="s">
        <v>1041</v>
      </c>
      <c r="Y1017" s="423" t="s">
        <v>1041</v>
      </c>
      <c r="Z1017" s="423" t="s">
        <v>1041</v>
      </c>
      <c r="AD1017" s="423">
        <f>IF(ISNUMBER(MATCH(B1017,'FICHA SOLIC'!$AB$26:$AB$376,0)),1,0)</f>
        <v>1</v>
      </c>
      <c r="AE1017" s="423" t="str">
        <f t="shared" si="15"/>
        <v>NinhueOGUC</v>
      </c>
    </row>
    <row r="1018" spans="1:31" x14ac:dyDescent="0.25">
      <c r="A1018" s="423">
        <v>1017</v>
      </c>
      <c r="B1018" s="423" t="s">
        <v>169</v>
      </c>
      <c r="C1018" s="423" t="s">
        <v>1041</v>
      </c>
      <c r="D1018" s="973" t="s">
        <v>990</v>
      </c>
      <c r="E1018" s="973" t="s">
        <v>991</v>
      </c>
      <c r="F1018" s="973" t="s">
        <v>992</v>
      </c>
      <c r="G1018" s="973" t="s">
        <v>1997</v>
      </c>
      <c r="H1018" s="973" t="s">
        <v>1998</v>
      </c>
      <c r="I1018" s="973" t="s">
        <v>1999</v>
      </c>
      <c r="J1018" s="973" t="s">
        <v>697</v>
      </c>
      <c r="K1018" s="973" t="s">
        <v>995</v>
      </c>
      <c r="L1018" s="973" t="s">
        <v>996</v>
      </c>
      <c r="M1018" s="973" t="s">
        <v>2000</v>
      </c>
      <c r="N1018" s="973" t="s">
        <v>2001</v>
      </c>
      <c r="O1018" s="973" t="s">
        <v>1971</v>
      </c>
      <c r="P1018" s="973" t="s">
        <v>999</v>
      </c>
      <c r="Q1018" s="973" t="s">
        <v>1000</v>
      </c>
      <c r="R1018" s="973" t="s">
        <v>1001</v>
      </c>
      <c r="S1018" s="973" t="s">
        <v>1002</v>
      </c>
      <c r="T1018" s="423" t="s">
        <v>1041</v>
      </c>
      <c r="U1018" s="423" t="s">
        <v>1041</v>
      </c>
      <c r="V1018" s="423" t="s">
        <v>1041</v>
      </c>
      <c r="W1018" s="423" t="s">
        <v>1041</v>
      </c>
      <c r="X1018" s="423" t="s">
        <v>1041</v>
      </c>
      <c r="Y1018" s="423" t="s">
        <v>1041</v>
      </c>
      <c r="Z1018" s="423" t="s">
        <v>1041</v>
      </c>
      <c r="AD1018" s="423">
        <f>IF(ISNUMBER(MATCH(B1018,'FICHA SOLIC'!$AB$26:$AB$376,0)),1,0)</f>
        <v>1</v>
      </c>
      <c r="AE1018" s="423" t="str">
        <f t="shared" si="15"/>
        <v>NogalesOGUC</v>
      </c>
    </row>
    <row r="1019" spans="1:31" x14ac:dyDescent="0.25">
      <c r="A1019" s="423">
        <v>1018</v>
      </c>
      <c r="B1019" s="423" t="s">
        <v>314</v>
      </c>
      <c r="C1019" s="423" t="s">
        <v>1041</v>
      </c>
      <c r="D1019" s="973" t="s">
        <v>990</v>
      </c>
      <c r="E1019" s="973" t="s">
        <v>991</v>
      </c>
      <c r="F1019" s="973" t="s">
        <v>992</v>
      </c>
      <c r="G1019" s="973" t="s">
        <v>1997</v>
      </c>
      <c r="H1019" s="973" t="s">
        <v>1998</v>
      </c>
      <c r="I1019" s="973" t="s">
        <v>1999</v>
      </c>
      <c r="J1019" s="973" t="s">
        <v>697</v>
      </c>
      <c r="K1019" s="973" t="s">
        <v>995</v>
      </c>
      <c r="L1019" s="973" t="s">
        <v>996</v>
      </c>
      <c r="M1019" s="973" t="s">
        <v>2000</v>
      </c>
      <c r="N1019" s="973" t="s">
        <v>2001</v>
      </c>
      <c r="O1019" s="973" t="s">
        <v>1971</v>
      </c>
      <c r="P1019" s="973" t="s">
        <v>999</v>
      </c>
      <c r="Q1019" s="973" t="s">
        <v>1000</v>
      </c>
      <c r="R1019" s="973" t="s">
        <v>1001</v>
      </c>
      <c r="S1019" s="973" t="s">
        <v>1002</v>
      </c>
      <c r="T1019" s="423" t="s">
        <v>1041</v>
      </c>
      <c r="U1019" s="423" t="s">
        <v>1041</v>
      </c>
      <c r="V1019" s="423" t="s">
        <v>1041</v>
      </c>
      <c r="W1019" s="423" t="s">
        <v>1041</v>
      </c>
      <c r="X1019" s="423" t="s">
        <v>1041</v>
      </c>
      <c r="Y1019" s="423" t="s">
        <v>1041</v>
      </c>
      <c r="Z1019" s="423" t="s">
        <v>1041</v>
      </c>
      <c r="AD1019" s="423">
        <f>IF(ISNUMBER(MATCH(B1019,'FICHA SOLIC'!$AB$26:$AB$376,0)),1,0)</f>
        <v>1</v>
      </c>
      <c r="AE1019" s="423" t="str">
        <f t="shared" si="15"/>
        <v>Nueva ImperialOGUC</v>
      </c>
    </row>
    <row r="1020" spans="1:31" x14ac:dyDescent="0.25">
      <c r="A1020" s="423">
        <v>1019</v>
      </c>
      <c r="B1020" s="423" t="s">
        <v>422</v>
      </c>
      <c r="C1020" s="423" t="s">
        <v>1131</v>
      </c>
      <c r="D1020" s="425" t="s">
        <v>990</v>
      </c>
      <c r="E1020" s="425" t="s">
        <v>991</v>
      </c>
      <c r="F1020" s="425" t="s">
        <v>992</v>
      </c>
      <c r="G1020" s="425" t="s">
        <v>1054</v>
      </c>
      <c r="H1020" s="426" t="s">
        <v>699</v>
      </c>
      <c r="I1020" s="425" t="s">
        <v>1055</v>
      </c>
      <c r="J1020" s="425" t="s">
        <v>697</v>
      </c>
      <c r="K1020" s="425" t="s">
        <v>995</v>
      </c>
      <c r="L1020" s="425" t="s">
        <v>996</v>
      </c>
      <c r="M1020" s="425" t="s">
        <v>997</v>
      </c>
      <c r="N1020" s="425" t="s">
        <v>558</v>
      </c>
      <c r="O1020" s="425" t="s">
        <v>998</v>
      </c>
      <c r="P1020" s="425" t="s">
        <v>999</v>
      </c>
      <c r="Q1020" s="425" t="s">
        <v>1000</v>
      </c>
      <c r="R1020" s="425" t="s">
        <v>1001</v>
      </c>
      <c r="S1020" s="425" t="s">
        <v>1002</v>
      </c>
      <c r="T1020" s="423">
        <v>500</v>
      </c>
      <c r="U1020" s="423" t="s">
        <v>1041</v>
      </c>
      <c r="V1020" s="423">
        <v>50</v>
      </c>
      <c r="W1020" s="423">
        <v>3</v>
      </c>
      <c r="X1020" s="423">
        <v>7</v>
      </c>
      <c r="Y1020" s="423">
        <v>4</v>
      </c>
      <c r="Z1020" s="423" t="s">
        <v>1059</v>
      </c>
      <c r="AD1020" s="423">
        <f>IF(ISNUMBER(MATCH(B1020,'FICHA SOLIC'!$AB$26:$AB$376,0)),1,0)</f>
        <v>1</v>
      </c>
      <c r="AE1020" s="423" t="str">
        <f t="shared" si="15"/>
        <v>ÑuñoaZ-1</v>
      </c>
    </row>
    <row r="1021" spans="1:31" x14ac:dyDescent="0.25">
      <c r="A1021" s="423">
        <v>1020</v>
      </c>
      <c r="B1021" s="423" t="s">
        <v>422</v>
      </c>
      <c r="C1021" s="423" t="s">
        <v>1132</v>
      </c>
      <c r="D1021" s="425" t="s">
        <v>990</v>
      </c>
      <c r="E1021" s="425" t="s">
        <v>991</v>
      </c>
      <c r="F1021" s="425" t="s">
        <v>992</v>
      </c>
      <c r="G1021" s="425" t="s">
        <v>1054</v>
      </c>
      <c r="H1021" s="426" t="s">
        <v>699</v>
      </c>
      <c r="I1021" s="425" t="s">
        <v>1055</v>
      </c>
      <c r="J1021" s="425" t="s">
        <v>697</v>
      </c>
      <c r="K1021" s="425" t="s">
        <v>995</v>
      </c>
      <c r="L1021" s="425" t="s">
        <v>996</v>
      </c>
      <c r="M1021" s="425" t="s">
        <v>997</v>
      </c>
      <c r="N1021" s="425" t="s">
        <v>558</v>
      </c>
      <c r="O1021" s="425" t="s">
        <v>998</v>
      </c>
      <c r="P1021" s="425" t="s">
        <v>999</v>
      </c>
      <c r="Q1021" s="425" t="s">
        <v>1000</v>
      </c>
      <c r="R1021" s="425" t="s">
        <v>1001</v>
      </c>
      <c r="S1021" s="425" t="s">
        <v>1002</v>
      </c>
      <c r="T1021" s="423">
        <v>500</v>
      </c>
      <c r="U1021" s="423" t="s">
        <v>1041</v>
      </c>
      <c r="V1021" s="423">
        <v>60</v>
      </c>
      <c r="W1021" s="423" t="s">
        <v>1151</v>
      </c>
      <c r="X1021" s="423">
        <v>17.5</v>
      </c>
      <c r="Y1021" s="423">
        <v>4</v>
      </c>
      <c r="Z1021" s="423" t="s">
        <v>1150</v>
      </c>
      <c r="AD1021" s="423">
        <f>IF(ISNUMBER(MATCH(B1021,'FICHA SOLIC'!$AB$26:$AB$376,0)),1,0)</f>
        <v>1</v>
      </c>
      <c r="AE1021" s="423" t="str">
        <f t="shared" si="15"/>
        <v>ÑuñoaZ-1A</v>
      </c>
    </row>
    <row r="1022" spans="1:31" x14ac:dyDescent="0.25">
      <c r="A1022" s="423">
        <v>1021</v>
      </c>
      <c r="B1022" s="423" t="s">
        <v>422</v>
      </c>
      <c r="C1022" s="423" t="s">
        <v>1133</v>
      </c>
      <c r="D1022" s="425" t="s">
        <v>990</v>
      </c>
      <c r="E1022" s="425" t="s">
        <v>991</v>
      </c>
      <c r="F1022" s="425" t="s">
        <v>992</v>
      </c>
      <c r="G1022" s="425" t="s">
        <v>1054</v>
      </c>
      <c r="H1022" s="426" t="s">
        <v>699</v>
      </c>
      <c r="I1022" s="425" t="s">
        <v>1055</v>
      </c>
      <c r="J1022" s="425" t="s">
        <v>697</v>
      </c>
      <c r="K1022" s="425" t="s">
        <v>995</v>
      </c>
      <c r="L1022" s="425" t="s">
        <v>996</v>
      </c>
      <c r="M1022" s="425" t="s">
        <v>997</v>
      </c>
      <c r="N1022" s="425" t="s">
        <v>558</v>
      </c>
      <c r="O1022" s="425" t="s">
        <v>998</v>
      </c>
      <c r="P1022" s="425" t="s">
        <v>999</v>
      </c>
      <c r="Q1022" s="425" t="s">
        <v>1000</v>
      </c>
      <c r="R1022" s="425" t="s">
        <v>1001</v>
      </c>
      <c r="S1022" s="425" t="s">
        <v>1002</v>
      </c>
      <c r="T1022" s="423">
        <v>500</v>
      </c>
      <c r="U1022" s="423" t="s">
        <v>1041</v>
      </c>
      <c r="V1022" s="423">
        <v>60</v>
      </c>
      <c r="W1022" s="423" t="s">
        <v>1151</v>
      </c>
      <c r="X1022" s="423">
        <v>17.5</v>
      </c>
      <c r="Y1022" s="423">
        <v>4</v>
      </c>
      <c r="Z1022" s="423" t="s">
        <v>1150</v>
      </c>
      <c r="AD1022" s="423">
        <f>IF(ISNUMBER(MATCH(B1022,'FICHA SOLIC'!$AB$26:$AB$376,0)),1,0)</f>
        <v>1</v>
      </c>
      <c r="AE1022" s="423" t="str">
        <f t="shared" si="15"/>
        <v>ÑuñoaZ-1B</v>
      </c>
    </row>
    <row r="1023" spans="1:31" x14ac:dyDescent="0.25">
      <c r="A1023" s="423">
        <v>1022</v>
      </c>
      <c r="B1023" s="423" t="s">
        <v>422</v>
      </c>
      <c r="C1023" s="423" t="s">
        <v>1134</v>
      </c>
      <c r="D1023" s="425" t="s">
        <v>990</v>
      </c>
      <c r="E1023" s="425" t="s">
        <v>991</v>
      </c>
      <c r="F1023" s="425" t="s">
        <v>992</v>
      </c>
      <c r="G1023" s="425" t="s">
        <v>1054</v>
      </c>
      <c r="H1023" s="426" t="s">
        <v>699</v>
      </c>
      <c r="I1023" s="425" t="s">
        <v>1055</v>
      </c>
      <c r="J1023" s="425" t="s">
        <v>697</v>
      </c>
      <c r="K1023" s="425" t="s">
        <v>995</v>
      </c>
      <c r="L1023" s="425" t="s">
        <v>996</v>
      </c>
      <c r="M1023" s="425" t="s">
        <v>997</v>
      </c>
      <c r="N1023" s="425" t="s">
        <v>558</v>
      </c>
      <c r="O1023" s="425" t="s">
        <v>998</v>
      </c>
      <c r="P1023" s="425" t="s">
        <v>999</v>
      </c>
      <c r="Q1023" s="425" t="s">
        <v>1000</v>
      </c>
      <c r="R1023" s="425" t="s">
        <v>1001</v>
      </c>
      <c r="S1023" s="425" t="s">
        <v>1002</v>
      </c>
      <c r="T1023" s="423">
        <v>500</v>
      </c>
      <c r="U1023" s="423" t="s">
        <v>1041</v>
      </c>
      <c r="V1023" s="423">
        <v>50</v>
      </c>
      <c r="W1023" s="423">
        <v>2.5</v>
      </c>
      <c r="X1023" s="423" t="s">
        <v>1151</v>
      </c>
      <c r="Y1023" s="423" t="s">
        <v>1041</v>
      </c>
      <c r="Z1023" s="423" t="s">
        <v>1057</v>
      </c>
      <c r="AD1023" s="423">
        <f>IF(ISNUMBER(MATCH(B1023,'FICHA SOLIC'!$AB$26:$AB$376,0)),1,0)</f>
        <v>1</v>
      </c>
      <c r="AE1023" s="423" t="str">
        <f t="shared" si="15"/>
        <v>ÑuñoaZ-2</v>
      </c>
    </row>
    <row r="1024" spans="1:31" x14ac:dyDescent="0.25">
      <c r="A1024" s="423">
        <v>1023</v>
      </c>
      <c r="B1024" s="423" t="s">
        <v>422</v>
      </c>
      <c r="C1024" s="423" t="s">
        <v>1135</v>
      </c>
      <c r="D1024" s="425" t="s">
        <v>990</v>
      </c>
      <c r="E1024" s="425" t="s">
        <v>991</v>
      </c>
      <c r="F1024" s="425" t="s">
        <v>992</v>
      </c>
      <c r="G1024" s="425" t="s">
        <v>1054</v>
      </c>
      <c r="H1024" s="426" t="s">
        <v>699</v>
      </c>
      <c r="I1024" s="425" t="s">
        <v>1055</v>
      </c>
      <c r="J1024" s="425" t="s">
        <v>697</v>
      </c>
      <c r="K1024" s="425" t="s">
        <v>995</v>
      </c>
      <c r="L1024" s="425" t="s">
        <v>996</v>
      </c>
      <c r="M1024" s="425" t="s">
        <v>997</v>
      </c>
      <c r="N1024" s="425" t="s">
        <v>558</v>
      </c>
      <c r="O1024" s="425" t="s">
        <v>998</v>
      </c>
      <c r="P1024" s="425" t="s">
        <v>999</v>
      </c>
      <c r="Q1024" s="425" t="s">
        <v>1000</v>
      </c>
      <c r="R1024" s="425" t="s">
        <v>1001</v>
      </c>
      <c r="S1024" s="425" t="s">
        <v>1002</v>
      </c>
      <c r="T1024" s="423">
        <v>500</v>
      </c>
      <c r="U1024" s="423" t="s">
        <v>1041</v>
      </c>
      <c r="V1024" s="423">
        <v>60</v>
      </c>
      <c r="W1024" s="423" t="s">
        <v>1026</v>
      </c>
      <c r="X1024" s="423" t="s">
        <v>1151</v>
      </c>
      <c r="Y1024" s="423" t="s">
        <v>1041</v>
      </c>
      <c r="Z1024" s="423" t="s">
        <v>1057</v>
      </c>
      <c r="AD1024" s="423">
        <f>IF(ISNUMBER(MATCH(B1024,'FICHA SOLIC'!$AB$26:$AB$376,0)),1,0)</f>
        <v>1</v>
      </c>
      <c r="AE1024" s="423" t="str">
        <f t="shared" si="15"/>
        <v>ÑuñoaZ-2A</v>
      </c>
    </row>
    <row r="1025" spans="1:31" x14ac:dyDescent="0.25">
      <c r="A1025" s="423">
        <v>1024</v>
      </c>
      <c r="B1025" s="423" t="s">
        <v>422</v>
      </c>
      <c r="C1025" s="423" t="s">
        <v>1136</v>
      </c>
      <c r="D1025" s="425" t="s">
        <v>990</v>
      </c>
      <c r="E1025" s="425" t="s">
        <v>991</v>
      </c>
      <c r="F1025" s="425" t="s">
        <v>992</v>
      </c>
      <c r="G1025" s="425" t="s">
        <v>1054</v>
      </c>
      <c r="H1025" s="426" t="s">
        <v>699</v>
      </c>
      <c r="I1025" s="425" t="s">
        <v>1055</v>
      </c>
      <c r="J1025" s="425" t="s">
        <v>697</v>
      </c>
      <c r="K1025" s="425" t="s">
        <v>995</v>
      </c>
      <c r="L1025" s="425" t="s">
        <v>996</v>
      </c>
      <c r="M1025" s="425" t="s">
        <v>997</v>
      </c>
      <c r="N1025" s="425" t="s">
        <v>558</v>
      </c>
      <c r="O1025" s="425" t="s">
        <v>998</v>
      </c>
      <c r="P1025" s="425" t="s">
        <v>999</v>
      </c>
      <c r="Q1025" s="425" t="s">
        <v>1000</v>
      </c>
      <c r="R1025" s="425" t="s">
        <v>1001</v>
      </c>
      <c r="S1025" s="425" t="s">
        <v>1002</v>
      </c>
      <c r="T1025" s="423">
        <v>500</v>
      </c>
      <c r="U1025" s="423" t="s">
        <v>1041</v>
      </c>
      <c r="V1025" s="423">
        <v>50</v>
      </c>
      <c r="W1025" s="423">
        <v>2.5</v>
      </c>
      <c r="X1025" s="423">
        <v>28</v>
      </c>
      <c r="Y1025" s="423" t="s">
        <v>1041</v>
      </c>
      <c r="Z1025" s="423" t="s">
        <v>1057</v>
      </c>
      <c r="AD1025" s="423">
        <f>IF(ISNUMBER(MATCH(B1025,'FICHA SOLIC'!$AB$26:$AB$376,0)),1,0)</f>
        <v>1</v>
      </c>
      <c r="AE1025" s="423" t="str">
        <f t="shared" si="15"/>
        <v>ÑuñoaZ-2B</v>
      </c>
    </row>
    <row r="1026" spans="1:31" x14ac:dyDescent="0.25">
      <c r="A1026" s="423">
        <v>1025</v>
      </c>
      <c r="B1026" s="423" t="s">
        <v>422</v>
      </c>
      <c r="C1026" s="423" t="s">
        <v>1137</v>
      </c>
      <c r="D1026" s="425" t="s">
        <v>990</v>
      </c>
      <c r="E1026" s="425" t="s">
        <v>991</v>
      </c>
      <c r="F1026" s="425" t="s">
        <v>992</v>
      </c>
      <c r="G1026" s="425" t="s">
        <v>1054</v>
      </c>
      <c r="H1026" s="426" t="s">
        <v>699</v>
      </c>
      <c r="I1026" s="425" t="s">
        <v>1055</v>
      </c>
      <c r="J1026" s="425" t="s">
        <v>697</v>
      </c>
      <c r="K1026" s="425" t="s">
        <v>995</v>
      </c>
      <c r="L1026" s="425" t="s">
        <v>996</v>
      </c>
      <c r="M1026" s="425" t="s">
        <v>997</v>
      </c>
      <c r="N1026" s="425" t="s">
        <v>558</v>
      </c>
      <c r="O1026" s="425" t="s">
        <v>998</v>
      </c>
      <c r="P1026" s="425" t="s">
        <v>999</v>
      </c>
      <c r="Q1026" s="425" t="s">
        <v>1000</v>
      </c>
      <c r="R1026" s="425" t="s">
        <v>1001</v>
      </c>
      <c r="S1026" s="425" t="s">
        <v>1002</v>
      </c>
      <c r="T1026" s="423">
        <v>300</v>
      </c>
      <c r="U1026" s="423" t="s">
        <v>1041</v>
      </c>
      <c r="V1026" s="423">
        <v>50</v>
      </c>
      <c r="W1026" s="423">
        <v>2</v>
      </c>
      <c r="X1026" s="423" t="s">
        <v>1151</v>
      </c>
      <c r="Y1026" s="423" t="s">
        <v>1041</v>
      </c>
      <c r="Z1026" s="423" t="s">
        <v>1057</v>
      </c>
      <c r="AD1026" s="423">
        <f>IF(ISNUMBER(MATCH(B1026,'FICHA SOLIC'!$AB$26:$AB$376,0)),1,0)</f>
        <v>1</v>
      </c>
      <c r="AE1026" s="423" t="str">
        <f t="shared" si="15"/>
        <v>ÑuñoaZ-3</v>
      </c>
    </row>
    <row r="1027" spans="1:31" x14ac:dyDescent="0.25">
      <c r="A1027" s="423">
        <v>1026</v>
      </c>
      <c r="B1027" s="423" t="s">
        <v>422</v>
      </c>
      <c r="C1027" s="423" t="s">
        <v>1138</v>
      </c>
      <c r="D1027" s="425" t="s">
        <v>990</v>
      </c>
      <c r="E1027" s="425" t="s">
        <v>991</v>
      </c>
      <c r="F1027" s="425" t="s">
        <v>992</v>
      </c>
      <c r="G1027" s="425" t="s">
        <v>1054</v>
      </c>
      <c r="H1027" s="426" t="s">
        <v>699</v>
      </c>
      <c r="I1027" s="425" t="s">
        <v>1055</v>
      </c>
      <c r="J1027" s="425" t="s">
        <v>697</v>
      </c>
      <c r="K1027" s="425" t="s">
        <v>995</v>
      </c>
      <c r="L1027" s="425" t="s">
        <v>996</v>
      </c>
      <c r="M1027" s="425" t="s">
        <v>997</v>
      </c>
      <c r="N1027" s="425" t="s">
        <v>558</v>
      </c>
      <c r="O1027" s="425" t="s">
        <v>998</v>
      </c>
      <c r="P1027" s="425" t="s">
        <v>999</v>
      </c>
      <c r="Q1027" s="425" t="s">
        <v>1000</v>
      </c>
      <c r="R1027" s="425" t="s">
        <v>1001</v>
      </c>
      <c r="S1027" s="425" t="s">
        <v>1002</v>
      </c>
      <c r="T1027" s="423">
        <v>300</v>
      </c>
      <c r="U1027" s="423" t="s">
        <v>1041</v>
      </c>
      <c r="V1027" s="423">
        <v>60</v>
      </c>
      <c r="W1027" s="423">
        <v>2.6</v>
      </c>
      <c r="X1027" s="423" t="s">
        <v>1151</v>
      </c>
      <c r="Y1027" s="423" t="s">
        <v>1041</v>
      </c>
      <c r="Z1027" s="423" t="s">
        <v>1057</v>
      </c>
      <c r="AD1027" s="423">
        <f>IF(ISNUMBER(MATCH(B1027,'FICHA SOLIC'!$AB$26:$AB$376,0)),1,0)</f>
        <v>1</v>
      </c>
      <c r="AE1027" s="423" t="str">
        <f t="shared" ref="AE1027:AE1090" si="16">B1027&amp;C1027</f>
        <v>ÑuñoaZ-3A</v>
      </c>
    </row>
    <row r="1028" spans="1:31" x14ac:dyDescent="0.25">
      <c r="A1028" s="423">
        <v>1027</v>
      </c>
      <c r="B1028" s="423" t="s">
        <v>422</v>
      </c>
      <c r="C1028" s="423" t="s">
        <v>1139</v>
      </c>
      <c r="D1028" s="425" t="s">
        <v>990</v>
      </c>
      <c r="E1028" s="425" t="s">
        <v>991</v>
      </c>
      <c r="F1028" s="425" t="s">
        <v>992</v>
      </c>
      <c r="G1028" s="425" t="s">
        <v>1054</v>
      </c>
      <c r="H1028" s="426" t="s">
        <v>699</v>
      </c>
      <c r="I1028" s="425" t="s">
        <v>1055</v>
      </c>
      <c r="J1028" s="425" t="s">
        <v>697</v>
      </c>
      <c r="K1028" s="425" t="s">
        <v>995</v>
      </c>
      <c r="L1028" s="425" t="s">
        <v>996</v>
      </c>
      <c r="M1028" s="425" t="s">
        <v>997</v>
      </c>
      <c r="N1028" s="425" t="s">
        <v>558</v>
      </c>
      <c r="O1028" s="425" t="s">
        <v>998</v>
      </c>
      <c r="P1028" s="425" t="s">
        <v>999</v>
      </c>
      <c r="Q1028" s="425" t="s">
        <v>1000</v>
      </c>
      <c r="R1028" s="425" t="s">
        <v>1001</v>
      </c>
      <c r="S1028" s="425" t="s">
        <v>1002</v>
      </c>
      <c r="T1028" s="423">
        <v>300</v>
      </c>
      <c r="U1028" s="423" t="s">
        <v>1041</v>
      </c>
      <c r="V1028" s="423">
        <v>40</v>
      </c>
      <c r="W1028" s="423">
        <v>1.5</v>
      </c>
      <c r="X1028" s="423">
        <v>14</v>
      </c>
      <c r="Y1028" s="423" t="s">
        <v>1041</v>
      </c>
      <c r="Z1028" s="423" t="s">
        <v>1057</v>
      </c>
      <c r="AD1028" s="423">
        <f>IF(ISNUMBER(MATCH(B1028,'FICHA SOLIC'!$AB$26:$AB$376,0)),1,0)</f>
        <v>1</v>
      </c>
      <c r="AE1028" s="423" t="str">
        <f t="shared" si="16"/>
        <v>ÑuñoaZ-3B</v>
      </c>
    </row>
    <row r="1029" spans="1:31" x14ac:dyDescent="0.25">
      <c r="A1029" s="423">
        <v>1028</v>
      </c>
      <c r="B1029" s="423" t="s">
        <v>422</v>
      </c>
      <c r="C1029" s="423" t="s">
        <v>1140</v>
      </c>
      <c r="D1029" s="425" t="s">
        <v>990</v>
      </c>
      <c r="E1029" s="425" t="s">
        <v>991</v>
      </c>
      <c r="F1029" s="425" t="s">
        <v>992</v>
      </c>
      <c r="G1029" s="425" t="s">
        <v>1054</v>
      </c>
      <c r="H1029" s="426" t="s">
        <v>699</v>
      </c>
      <c r="I1029" s="425" t="s">
        <v>1055</v>
      </c>
      <c r="J1029" s="425" t="s">
        <v>697</v>
      </c>
      <c r="K1029" s="425" t="s">
        <v>995</v>
      </c>
      <c r="L1029" s="425" t="s">
        <v>996</v>
      </c>
      <c r="M1029" s="425" t="s">
        <v>997</v>
      </c>
      <c r="N1029" s="425" t="s">
        <v>558</v>
      </c>
      <c r="O1029" s="425" t="s">
        <v>998</v>
      </c>
      <c r="P1029" s="425" t="s">
        <v>999</v>
      </c>
      <c r="Q1029" s="425" t="s">
        <v>1000</v>
      </c>
      <c r="R1029" s="425" t="s">
        <v>1001</v>
      </c>
      <c r="S1029" s="425" t="s">
        <v>1002</v>
      </c>
      <c r="T1029" s="423">
        <v>300</v>
      </c>
      <c r="U1029" s="423" t="s">
        <v>1041</v>
      </c>
      <c r="V1029" s="423">
        <v>40</v>
      </c>
      <c r="W1029" s="423">
        <v>1.5</v>
      </c>
      <c r="X1029" s="423">
        <v>14</v>
      </c>
      <c r="Y1029" s="423" t="s">
        <v>1041</v>
      </c>
      <c r="Z1029" s="423" t="s">
        <v>1057</v>
      </c>
      <c r="AD1029" s="423">
        <f>IF(ISNUMBER(MATCH(B1029,'FICHA SOLIC'!$AB$26:$AB$376,0)),1,0)</f>
        <v>1</v>
      </c>
      <c r="AE1029" s="423" t="str">
        <f t="shared" si="16"/>
        <v>ÑuñoaZ-4</v>
      </c>
    </row>
    <row r="1030" spans="1:31" x14ac:dyDescent="0.25">
      <c r="A1030" s="423">
        <v>1029</v>
      </c>
      <c r="B1030" s="423" t="s">
        <v>422</v>
      </c>
      <c r="C1030" s="423" t="s">
        <v>1142</v>
      </c>
      <c r="D1030" s="425" t="s">
        <v>990</v>
      </c>
      <c r="E1030" s="425" t="s">
        <v>991</v>
      </c>
      <c r="F1030" s="425" t="s">
        <v>992</v>
      </c>
      <c r="G1030" s="425" t="s">
        <v>1054</v>
      </c>
      <c r="H1030" s="426" t="s">
        <v>699</v>
      </c>
      <c r="I1030" s="425" t="s">
        <v>1055</v>
      </c>
      <c r="J1030" s="425" t="s">
        <v>697</v>
      </c>
      <c r="K1030" s="425" t="s">
        <v>995</v>
      </c>
      <c r="L1030" s="425" t="s">
        <v>996</v>
      </c>
      <c r="M1030" s="425" t="s">
        <v>997</v>
      </c>
      <c r="N1030" s="425" t="s">
        <v>558</v>
      </c>
      <c r="O1030" s="425" t="s">
        <v>998</v>
      </c>
      <c r="P1030" s="425" t="s">
        <v>999</v>
      </c>
      <c r="Q1030" s="425" t="s">
        <v>1000</v>
      </c>
      <c r="R1030" s="425" t="s">
        <v>1001</v>
      </c>
      <c r="S1030" s="425" t="s">
        <v>1002</v>
      </c>
      <c r="T1030" s="423">
        <v>300</v>
      </c>
      <c r="U1030" s="423" t="s">
        <v>1041</v>
      </c>
      <c r="V1030" s="423">
        <v>50</v>
      </c>
      <c r="W1030" s="423">
        <v>0.2</v>
      </c>
      <c r="X1030" s="423">
        <v>17.5</v>
      </c>
      <c r="Y1030" s="423" t="s">
        <v>1041</v>
      </c>
      <c r="Z1030" s="423" t="s">
        <v>1057</v>
      </c>
      <c r="AD1030" s="423">
        <f>IF(ISNUMBER(MATCH(B1030,'FICHA SOLIC'!$AB$26:$AB$376,0)),1,0)</f>
        <v>1</v>
      </c>
      <c r="AE1030" s="423" t="str">
        <f t="shared" si="16"/>
        <v>ÑuñoaZ-4A</v>
      </c>
    </row>
    <row r="1031" spans="1:31" x14ac:dyDescent="0.25">
      <c r="A1031" s="423">
        <v>1030</v>
      </c>
      <c r="B1031" s="423" t="s">
        <v>422</v>
      </c>
      <c r="C1031" s="423" t="s">
        <v>1143</v>
      </c>
      <c r="D1031" s="425" t="s">
        <v>990</v>
      </c>
      <c r="E1031" s="425" t="s">
        <v>991</v>
      </c>
      <c r="F1031" s="425" t="s">
        <v>992</v>
      </c>
      <c r="G1031" s="425" t="s">
        <v>1054</v>
      </c>
      <c r="H1031" s="426" t="s">
        <v>699</v>
      </c>
      <c r="I1031" s="425" t="s">
        <v>1055</v>
      </c>
      <c r="J1031" s="425" t="s">
        <v>697</v>
      </c>
      <c r="K1031" s="425" t="s">
        <v>995</v>
      </c>
      <c r="L1031" s="425" t="s">
        <v>996</v>
      </c>
      <c r="M1031" s="425" t="s">
        <v>997</v>
      </c>
      <c r="N1031" s="425" t="s">
        <v>558</v>
      </c>
      <c r="O1031" s="425" t="s">
        <v>998</v>
      </c>
      <c r="P1031" s="425" t="s">
        <v>999</v>
      </c>
      <c r="Q1031" s="425" t="s">
        <v>1000</v>
      </c>
      <c r="R1031" s="425" t="s">
        <v>1001</v>
      </c>
      <c r="S1031" s="425" t="s">
        <v>1002</v>
      </c>
      <c r="T1031" s="423">
        <v>300</v>
      </c>
      <c r="U1031" s="423" t="s">
        <v>1041</v>
      </c>
      <c r="V1031" s="423">
        <v>40</v>
      </c>
      <c r="W1031" s="423">
        <v>1.8</v>
      </c>
      <c r="X1031" s="423">
        <v>9</v>
      </c>
      <c r="Y1031" s="423">
        <v>4</v>
      </c>
      <c r="Z1031" s="423" t="s">
        <v>1058</v>
      </c>
      <c r="AD1031" s="423">
        <f>IF(ISNUMBER(MATCH(B1031,'FICHA SOLIC'!$AB$26:$AB$376,0)),1,0)</f>
        <v>1</v>
      </c>
      <c r="AE1031" s="423" t="str">
        <f t="shared" si="16"/>
        <v>ÑuñoaZ-4B</v>
      </c>
    </row>
    <row r="1032" spans="1:31" x14ac:dyDescent="0.25">
      <c r="A1032" s="423">
        <v>1031</v>
      </c>
      <c r="B1032" s="423" t="s">
        <v>422</v>
      </c>
      <c r="C1032" s="423" t="s">
        <v>1141</v>
      </c>
      <c r="D1032" s="425" t="s">
        <v>990</v>
      </c>
      <c r="E1032" s="425" t="s">
        <v>991</v>
      </c>
      <c r="F1032" s="425" t="s">
        <v>992</v>
      </c>
      <c r="G1032" s="425" t="s">
        <v>1054</v>
      </c>
      <c r="H1032" s="426" t="s">
        <v>699</v>
      </c>
      <c r="I1032" s="425" t="s">
        <v>1055</v>
      </c>
      <c r="J1032" s="425" t="s">
        <v>697</v>
      </c>
      <c r="K1032" s="425" t="s">
        <v>995</v>
      </c>
      <c r="L1032" s="425" t="s">
        <v>996</v>
      </c>
      <c r="M1032" s="425" t="s">
        <v>997</v>
      </c>
      <c r="N1032" s="425" t="s">
        <v>558</v>
      </c>
      <c r="O1032" s="425" t="s">
        <v>998</v>
      </c>
      <c r="P1032" s="425" t="s">
        <v>999</v>
      </c>
      <c r="Q1032" s="425" t="s">
        <v>1000</v>
      </c>
      <c r="R1032" s="425" t="s">
        <v>1001</v>
      </c>
      <c r="S1032" s="425" t="s">
        <v>1002</v>
      </c>
      <c r="T1032" s="423">
        <v>300</v>
      </c>
      <c r="U1032" s="423" t="s">
        <v>1041</v>
      </c>
      <c r="V1032" s="423">
        <v>40</v>
      </c>
      <c r="W1032" s="423">
        <v>1</v>
      </c>
      <c r="X1032" s="423">
        <v>8</v>
      </c>
      <c r="Y1032" s="423" t="s">
        <v>1041</v>
      </c>
      <c r="Z1032" s="423" t="s">
        <v>1057</v>
      </c>
      <c r="AD1032" s="423">
        <f>IF(ISNUMBER(MATCH(B1032,'FICHA SOLIC'!$AB$26:$AB$376,0)),1,0)</f>
        <v>1</v>
      </c>
      <c r="AE1032" s="423" t="str">
        <f t="shared" si="16"/>
        <v>ÑuñoaZ-4m</v>
      </c>
    </row>
    <row r="1033" spans="1:31" x14ac:dyDescent="0.25">
      <c r="A1033" s="423">
        <v>1032</v>
      </c>
      <c r="B1033" s="423" t="s">
        <v>422</v>
      </c>
      <c r="C1033" s="423" t="s">
        <v>1144</v>
      </c>
      <c r="D1033" s="425" t="s">
        <v>990</v>
      </c>
      <c r="E1033" s="425" t="s">
        <v>991</v>
      </c>
      <c r="F1033" s="425" t="s">
        <v>992</v>
      </c>
      <c r="G1033" s="425" t="s">
        <v>1054</v>
      </c>
      <c r="H1033" s="426" t="s">
        <v>699</v>
      </c>
      <c r="I1033" s="425" t="s">
        <v>1055</v>
      </c>
      <c r="J1033" s="425" t="s">
        <v>697</v>
      </c>
      <c r="K1033" s="425" t="s">
        <v>995</v>
      </c>
      <c r="L1033" s="425" t="s">
        <v>996</v>
      </c>
      <c r="M1033" s="425" t="s">
        <v>997</v>
      </c>
      <c r="N1033" s="425" t="s">
        <v>558</v>
      </c>
      <c r="O1033" s="425" t="s">
        <v>998</v>
      </c>
      <c r="P1033" s="425" t="s">
        <v>999</v>
      </c>
      <c r="Q1033" s="425" t="s">
        <v>1000</v>
      </c>
      <c r="R1033" s="425" t="s">
        <v>1001</v>
      </c>
      <c r="S1033" s="425" t="s">
        <v>1002</v>
      </c>
      <c r="T1033" s="423">
        <v>300</v>
      </c>
      <c r="U1033" s="423" t="s">
        <v>1041</v>
      </c>
      <c r="V1033" s="423">
        <v>50</v>
      </c>
      <c r="W1033" s="423">
        <v>1.3</v>
      </c>
      <c r="X1033" s="423" t="s">
        <v>1151</v>
      </c>
      <c r="Y1033" s="423" t="s">
        <v>1041</v>
      </c>
      <c r="Z1033" s="423" t="s">
        <v>1059</v>
      </c>
      <c r="AD1033" s="423">
        <f>IF(ISNUMBER(MATCH(B1033,'FICHA SOLIC'!$AB$26:$AB$376,0)),1,0)</f>
        <v>1</v>
      </c>
      <c r="AE1033" s="423" t="str">
        <f t="shared" si="16"/>
        <v>ÑuñoaZ-5</v>
      </c>
    </row>
    <row r="1034" spans="1:31" x14ac:dyDescent="0.25">
      <c r="A1034" s="423">
        <v>1033</v>
      </c>
      <c r="B1034" s="423" t="s">
        <v>422</v>
      </c>
      <c r="C1034" s="423" t="s">
        <v>1145</v>
      </c>
      <c r="D1034" s="425" t="s">
        <v>990</v>
      </c>
      <c r="E1034" s="425" t="s">
        <v>991</v>
      </c>
      <c r="F1034" s="425" t="s">
        <v>992</v>
      </c>
      <c r="G1034" s="425" t="s">
        <v>1054</v>
      </c>
      <c r="H1034" s="426" t="s">
        <v>699</v>
      </c>
      <c r="I1034" s="425" t="s">
        <v>1055</v>
      </c>
      <c r="J1034" s="425" t="s">
        <v>697</v>
      </c>
      <c r="K1034" s="425" t="s">
        <v>995</v>
      </c>
      <c r="L1034" s="425" t="s">
        <v>996</v>
      </c>
      <c r="M1034" s="425" t="s">
        <v>997</v>
      </c>
      <c r="N1034" s="425" t="s">
        <v>558</v>
      </c>
      <c r="O1034" s="425" t="s">
        <v>998</v>
      </c>
      <c r="P1034" s="425" t="s">
        <v>999</v>
      </c>
      <c r="Q1034" s="425" t="s">
        <v>1000</v>
      </c>
      <c r="R1034" s="425" t="s">
        <v>1001</v>
      </c>
      <c r="S1034" s="425" t="s">
        <v>1002</v>
      </c>
      <c r="T1034" s="423">
        <v>300</v>
      </c>
      <c r="U1034" s="423" t="s">
        <v>1041</v>
      </c>
      <c r="V1034" s="423">
        <v>60</v>
      </c>
      <c r="W1034" s="423">
        <v>1.2</v>
      </c>
      <c r="X1034" s="423" t="s">
        <v>1041</v>
      </c>
      <c r="Y1034" s="423" t="s">
        <v>1041</v>
      </c>
      <c r="Z1034" s="423" t="s">
        <v>1057</v>
      </c>
      <c r="AD1034" s="423">
        <f>IF(ISNUMBER(MATCH(B1034,'FICHA SOLIC'!$AB$26:$AB$376,0)),1,0)</f>
        <v>1</v>
      </c>
      <c r="AE1034" s="423" t="str">
        <f t="shared" si="16"/>
        <v>ÑuñoaZ-6</v>
      </c>
    </row>
    <row r="1035" spans="1:31" x14ac:dyDescent="0.25">
      <c r="A1035" s="423">
        <v>1034</v>
      </c>
      <c r="B1035" s="423" t="s">
        <v>422</v>
      </c>
      <c r="C1035" s="423" t="s">
        <v>1146</v>
      </c>
      <c r="D1035" s="425" t="s">
        <v>990</v>
      </c>
      <c r="E1035" s="425" t="s">
        <v>991</v>
      </c>
      <c r="F1035" s="425" t="s">
        <v>992</v>
      </c>
      <c r="G1035" s="425" t="s">
        <v>1054</v>
      </c>
      <c r="H1035" s="426" t="s">
        <v>699</v>
      </c>
      <c r="I1035" s="425" t="s">
        <v>1055</v>
      </c>
      <c r="J1035" s="425" t="s">
        <v>697</v>
      </c>
      <c r="K1035" s="425" t="s">
        <v>995</v>
      </c>
      <c r="L1035" s="425" t="s">
        <v>996</v>
      </c>
      <c r="M1035" s="425" t="s">
        <v>997</v>
      </c>
      <c r="N1035" s="425" t="s">
        <v>558</v>
      </c>
      <c r="O1035" s="425" t="s">
        <v>998</v>
      </c>
      <c r="P1035" s="425" t="s">
        <v>999</v>
      </c>
      <c r="Q1035" s="425" t="s">
        <v>1000</v>
      </c>
      <c r="R1035" s="425" t="s">
        <v>1001</v>
      </c>
      <c r="S1035" s="425" t="s">
        <v>1002</v>
      </c>
      <c r="T1035" s="423">
        <v>500</v>
      </c>
      <c r="U1035" s="423" t="s">
        <v>1041</v>
      </c>
      <c r="V1035" s="423">
        <v>50</v>
      </c>
      <c r="W1035" s="423">
        <v>3.5</v>
      </c>
      <c r="X1035" s="423" t="s">
        <v>1152</v>
      </c>
      <c r="Y1035" s="423" t="s">
        <v>1041</v>
      </c>
      <c r="Z1035" s="423" t="s">
        <v>1057</v>
      </c>
      <c r="AD1035" s="423">
        <f>IF(ISNUMBER(MATCH(B1035,'FICHA SOLIC'!$AB$26:$AB$376,0)),1,0)</f>
        <v>1</v>
      </c>
      <c r="AE1035" s="423" t="str">
        <f t="shared" si="16"/>
        <v>ÑuñoaZ-8</v>
      </c>
    </row>
    <row r="1036" spans="1:31" x14ac:dyDescent="0.25">
      <c r="A1036" s="423">
        <v>1035</v>
      </c>
      <c r="B1036" s="423" t="s">
        <v>422</v>
      </c>
      <c r="C1036" s="423" t="s">
        <v>1147</v>
      </c>
      <c r="D1036" s="425" t="s">
        <v>990</v>
      </c>
      <c r="E1036" s="425" t="s">
        <v>991</v>
      </c>
      <c r="F1036" s="425" t="s">
        <v>992</v>
      </c>
      <c r="G1036" s="425" t="s">
        <v>1054</v>
      </c>
      <c r="H1036" s="426" t="s">
        <v>699</v>
      </c>
      <c r="I1036" s="425" t="s">
        <v>1055</v>
      </c>
      <c r="J1036" s="425" t="s">
        <v>697</v>
      </c>
      <c r="K1036" s="425" t="s">
        <v>995</v>
      </c>
      <c r="L1036" s="425" t="s">
        <v>996</v>
      </c>
      <c r="M1036" s="425" t="s">
        <v>997</v>
      </c>
      <c r="N1036" s="425" t="s">
        <v>558</v>
      </c>
      <c r="O1036" s="425" t="s">
        <v>998</v>
      </c>
      <c r="P1036" s="425" t="s">
        <v>999</v>
      </c>
      <c r="Q1036" s="425" t="s">
        <v>1000</v>
      </c>
      <c r="R1036" s="425" t="s">
        <v>1001</v>
      </c>
      <c r="S1036" s="425" t="s">
        <v>1002</v>
      </c>
      <c r="T1036" s="423">
        <v>6500</v>
      </c>
      <c r="U1036" s="423" t="s">
        <v>1041</v>
      </c>
      <c r="V1036" s="423">
        <v>20</v>
      </c>
      <c r="W1036" s="423">
        <v>1</v>
      </c>
      <c r="X1036" s="423">
        <v>14</v>
      </c>
      <c r="Y1036" s="423" t="s">
        <v>1041</v>
      </c>
      <c r="Z1036" s="423" t="s">
        <v>1058</v>
      </c>
      <c r="AD1036" s="423">
        <f>IF(ISNUMBER(MATCH(B1036,'FICHA SOLIC'!$AB$26:$AB$376,0)),1,0)</f>
        <v>1</v>
      </c>
      <c r="AE1036" s="423" t="str">
        <f t="shared" si="16"/>
        <v>ÑuñoaZ-8A</v>
      </c>
    </row>
    <row r="1037" spans="1:31" x14ac:dyDescent="0.25">
      <c r="A1037" s="423">
        <v>1036</v>
      </c>
      <c r="B1037" s="423" t="s">
        <v>422</v>
      </c>
      <c r="C1037" s="423" t="s">
        <v>1148</v>
      </c>
      <c r="D1037" s="425" t="s">
        <v>990</v>
      </c>
      <c r="E1037" s="425" t="s">
        <v>991</v>
      </c>
      <c r="F1037" s="425" t="s">
        <v>992</v>
      </c>
      <c r="G1037" s="425" t="s">
        <v>1054</v>
      </c>
      <c r="H1037" s="426" t="s">
        <v>699</v>
      </c>
      <c r="I1037" s="425" t="s">
        <v>1055</v>
      </c>
      <c r="J1037" s="425" t="s">
        <v>697</v>
      </c>
      <c r="K1037" s="425" t="s">
        <v>995</v>
      </c>
      <c r="L1037" s="425" t="s">
        <v>996</v>
      </c>
      <c r="M1037" s="425" t="s">
        <v>997</v>
      </c>
      <c r="N1037" s="425" t="s">
        <v>558</v>
      </c>
      <c r="O1037" s="425" t="s">
        <v>998</v>
      </c>
      <c r="P1037" s="425" t="s">
        <v>999</v>
      </c>
      <c r="Q1037" s="425" t="s">
        <v>1000</v>
      </c>
      <c r="R1037" s="425" t="s">
        <v>1001</v>
      </c>
      <c r="S1037" s="425" t="s">
        <v>1002</v>
      </c>
      <c r="T1037" s="423">
        <v>5000</v>
      </c>
      <c r="U1037" s="423" t="s">
        <v>1041</v>
      </c>
      <c r="V1037" s="423">
        <v>60</v>
      </c>
      <c r="W1037" s="423">
        <v>1.5</v>
      </c>
      <c r="X1037" s="423" t="s">
        <v>1151</v>
      </c>
      <c r="Y1037" s="423">
        <v>5</v>
      </c>
      <c r="Z1037" s="423" t="s">
        <v>1058</v>
      </c>
      <c r="AD1037" s="423">
        <f>IF(ISNUMBER(MATCH(B1037,'FICHA SOLIC'!$AB$26:$AB$376,0)),1,0)</f>
        <v>1</v>
      </c>
      <c r="AE1037" s="423" t="str">
        <f t="shared" si="16"/>
        <v>ÑuñoaZI 1</v>
      </c>
    </row>
    <row r="1038" spans="1:31" x14ac:dyDescent="0.25">
      <c r="A1038" s="423">
        <v>1037</v>
      </c>
      <c r="B1038" s="423" t="s">
        <v>422</v>
      </c>
      <c r="C1038" s="423" t="s">
        <v>1149</v>
      </c>
      <c r="D1038" s="425" t="s">
        <v>990</v>
      </c>
      <c r="E1038" s="425" t="s">
        <v>991</v>
      </c>
      <c r="F1038" s="425" t="s">
        <v>992</v>
      </c>
      <c r="G1038" s="425" t="s">
        <v>1054</v>
      </c>
      <c r="H1038" s="426" t="s">
        <v>699</v>
      </c>
      <c r="I1038" s="425" t="s">
        <v>1055</v>
      </c>
      <c r="J1038" s="425" t="s">
        <v>697</v>
      </c>
      <c r="K1038" s="425" t="s">
        <v>995</v>
      </c>
      <c r="L1038" s="425" t="s">
        <v>996</v>
      </c>
      <c r="M1038" s="425" t="s">
        <v>997</v>
      </c>
      <c r="N1038" s="425" t="s">
        <v>558</v>
      </c>
      <c r="O1038" s="425" t="s">
        <v>998</v>
      </c>
      <c r="P1038" s="425" t="s">
        <v>999</v>
      </c>
      <c r="Q1038" s="425" t="s">
        <v>1000</v>
      </c>
      <c r="R1038" s="425" t="s">
        <v>1001</v>
      </c>
      <c r="S1038" s="425" t="s">
        <v>1002</v>
      </c>
      <c r="T1038" s="423" t="s">
        <v>1041</v>
      </c>
      <c r="U1038" s="423" t="s">
        <v>1041</v>
      </c>
      <c r="V1038" s="423" t="s">
        <v>1041</v>
      </c>
      <c r="W1038" s="423" t="s">
        <v>1041</v>
      </c>
      <c r="X1038" s="423" t="s">
        <v>1041</v>
      </c>
      <c r="Y1038" s="423" t="s">
        <v>1041</v>
      </c>
      <c r="Z1038" s="423" t="s">
        <v>1041</v>
      </c>
      <c r="AD1038" s="423">
        <f>IF(ISNUMBER(MATCH(B1038,'FICHA SOLIC'!$AB$26:$AB$376,0)),1,0)</f>
        <v>1</v>
      </c>
      <c r="AE1038" s="423" t="str">
        <f t="shared" si="16"/>
        <v>ÑuñoaZR 1</v>
      </c>
    </row>
    <row r="1039" spans="1:31" x14ac:dyDescent="0.25">
      <c r="A1039" s="423">
        <v>1038</v>
      </c>
      <c r="B1039" s="423" t="s">
        <v>194</v>
      </c>
      <c r="C1039" s="423" t="s">
        <v>1041</v>
      </c>
      <c r="D1039" s="973" t="s">
        <v>990</v>
      </c>
      <c r="E1039" s="973" t="s">
        <v>991</v>
      </c>
      <c r="F1039" s="973" t="s">
        <v>992</v>
      </c>
      <c r="G1039" s="973" t="s">
        <v>1997</v>
      </c>
      <c r="H1039" s="973" t="s">
        <v>1998</v>
      </c>
      <c r="I1039" s="973" t="s">
        <v>1999</v>
      </c>
      <c r="J1039" s="973" t="s">
        <v>697</v>
      </c>
      <c r="K1039" s="973" t="s">
        <v>995</v>
      </c>
      <c r="L1039" s="973" t="s">
        <v>996</v>
      </c>
      <c r="M1039" s="973" t="s">
        <v>2000</v>
      </c>
      <c r="N1039" s="973" t="s">
        <v>2001</v>
      </c>
      <c r="O1039" s="973" t="s">
        <v>1971</v>
      </c>
      <c r="P1039" s="973" t="s">
        <v>999</v>
      </c>
      <c r="Q1039" s="973" t="s">
        <v>1000</v>
      </c>
      <c r="R1039" s="973" t="s">
        <v>1001</v>
      </c>
      <c r="S1039" s="973" t="s">
        <v>1002</v>
      </c>
      <c r="T1039" s="423" t="s">
        <v>1041</v>
      </c>
      <c r="U1039" s="423" t="s">
        <v>1041</v>
      </c>
      <c r="V1039" s="423" t="s">
        <v>1041</v>
      </c>
      <c r="W1039" s="423" t="s">
        <v>1041</v>
      </c>
      <c r="X1039" s="423" t="s">
        <v>1041</v>
      </c>
      <c r="Y1039" s="423" t="s">
        <v>1041</v>
      </c>
      <c r="Z1039" s="423" t="s">
        <v>1041</v>
      </c>
      <c r="AD1039" s="423">
        <f>IF(ISNUMBER(MATCH(B1039,'FICHA SOLIC'!$AB$26:$AB$376,0)),1,0)</f>
        <v>1</v>
      </c>
      <c r="AE1039" s="423" t="str">
        <f t="shared" si="16"/>
        <v>OlivarOGUC</v>
      </c>
    </row>
    <row r="1040" spans="1:31" x14ac:dyDescent="0.25">
      <c r="A1040" s="423">
        <v>1039</v>
      </c>
      <c r="B1040" s="423" t="s">
        <v>170</v>
      </c>
      <c r="C1040" s="423" t="s">
        <v>1041</v>
      </c>
      <c r="D1040" s="973" t="s">
        <v>990</v>
      </c>
      <c r="E1040" s="973" t="s">
        <v>991</v>
      </c>
      <c r="F1040" s="973" t="s">
        <v>992</v>
      </c>
      <c r="G1040" s="973" t="s">
        <v>1997</v>
      </c>
      <c r="H1040" s="973" t="s">
        <v>1998</v>
      </c>
      <c r="I1040" s="973" t="s">
        <v>1999</v>
      </c>
      <c r="J1040" s="973" t="s">
        <v>697</v>
      </c>
      <c r="K1040" s="973" t="s">
        <v>995</v>
      </c>
      <c r="L1040" s="973" t="s">
        <v>996</v>
      </c>
      <c r="M1040" s="973" t="s">
        <v>2000</v>
      </c>
      <c r="N1040" s="973" t="s">
        <v>2001</v>
      </c>
      <c r="O1040" s="973" t="s">
        <v>1971</v>
      </c>
      <c r="P1040" s="973" t="s">
        <v>999</v>
      </c>
      <c r="Q1040" s="973" t="s">
        <v>1000</v>
      </c>
      <c r="R1040" s="973" t="s">
        <v>1001</v>
      </c>
      <c r="S1040" s="973" t="s">
        <v>1002</v>
      </c>
      <c r="T1040" s="423" t="s">
        <v>1041</v>
      </c>
      <c r="U1040" s="423" t="s">
        <v>1041</v>
      </c>
      <c r="V1040" s="423" t="s">
        <v>1041</v>
      </c>
      <c r="W1040" s="423" t="s">
        <v>1041</v>
      </c>
      <c r="X1040" s="423" t="s">
        <v>1041</v>
      </c>
      <c r="Y1040" s="423" t="s">
        <v>1041</v>
      </c>
      <c r="Z1040" s="423" t="s">
        <v>1041</v>
      </c>
      <c r="AD1040" s="423">
        <f>IF(ISNUMBER(MATCH(B1040,'FICHA SOLIC'!$AB$26:$AB$376,0)),1,0)</f>
        <v>1</v>
      </c>
      <c r="AE1040" s="423" t="str">
        <f t="shared" si="16"/>
        <v>OlmuéOGUC</v>
      </c>
    </row>
    <row r="1041" spans="1:31" x14ac:dyDescent="0.25">
      <c r="A1041" s="423">
        <v>1040</v>
      </c>
      <c r="B1041" s="423" t="s">
        <v>369</v>
      </c>
      <c r="C1041" s="423" t="s">
        <v>1188</v>
      </c>
      <c r="D1041" s="973" t="s">
        <v>990</v>
      </c>
      <c r="E1041" s="973" t="s">
        <v>991</v>
      </c>
      <c r="F1041" s="973" t="s">
        <v>992</v>
      </c>
      <c r="G1041" s="973" t="s">
        <v>1997</v>
      </c>
      <c r="H1041" s="973" t="s">
        <v>1998</v>
      </c>
      <c r="I1041" s="973" t="s">
        <v>1999</v>
      </c>
      <c r="J1041" s="973" t="s">
        <v>697</v>
      </c>
      <c r="K1041" s="973" t="s">
        <v>995</v>
      </c>
      <c r="L1041" s="973" t="s">
        <v>996</v>
      </c>
      <c r="M1041" s="973" t="s">
        <v>2000</v>
      </c>
      <c r="N1041" s="973" t="s">
        <v>2001</v>
      </c>
      <c r="O1041" s="973" t="s">
        <v>1971</v>
      </c>
      <c r="P1041" s="973" t="s">
        <v>999</v>
      </c>
      <c r="Q1041" s="973" t="s">
        <v>1000</v>
      </c>
      <c r="R1041" s="973" t="s">
        <v>1001</v>
      </c>
      <c r="S1041" s="973" t="s">
        <v>1002</v>
      </c>
      <c r="T1041" s="423">
        <v>300</v>
      </c>
      <c r="U1041" s="423">
        <v>12</v>
      </c>
      <c r="V1041" s="423">
        <v>80</v>
      </c>
      <c r="W1041" s="423">
        <v>6.7</v>
      </c>
      <c r="X1041" s="423" t="s">
        <v>1041</v>
      </c>
      <c r="Y1041" s="423" t="s">
        <v>1041</v>
      </c>
      <c r="Z1041" s="423" t="s">
        <v>1096</v>
      </c>
      <c r="AD1041" s="423">
        <f>IF(ISNUMBER(MATCH(B1041,'FICHA SOLIC'!$AB$26:$AB$376,0)),1,0)</f>
        <v>1</v>
      </c>
      <c r="AE1041" s="423" t="str">
        <f t="shared" si="16"/>
        <v>OsornoC1</v>
      </c>
    </row>
    <row r="1042" spans="1:31" x14ac:dyDescent="0.25">
      <c r="A1042" s="423">
        <v>1041</v>
      </c>
      <c r="B1042" s="423" t="s">
        <v>369</v>
      </c>
      <c r="C1042" s="423" t="s">
        <v>1189</v>
      </c>
      <c r="D1042" s="973" t="s">
        <v>990</v>
      </c>
      <c r="E1042" s="973" t="s">
        <v>991</v>
      </c>
      <c r="F1042" s="973" t="s">
        <v>992</v>
      </c>
      <c r="G1042" s="973" t="s">
        <v>1997</v>
      </c>
      <c r="H1042" s="973" t="s">
        <v>1998</v>
      </c>
      <c r="I1042" s="973" t="s">
        <v>1999</v>
      </c>
      <c r="J1042" s="973" t="s">
        <v>697</v>
      </c>
      <c r="K1042" s="973" t="s">
        <v>995</v>
      </c>
      <c r="L1042" s="973" t="s">
        <v>996</v>
      </c>
      <c r="M1042" s="973" t="s">
        <v>2000</v>
      </c>
      <c r="N1042" s="973" t="s">
        <v>2001</v>
      </c>
      <c r="O1042" s="973" t="s">
        <v>1971</v>
      </c>
      <c r="P1042" s="973" t="s">
        <v>999</v>
      </c>
      <c r="Q1042" s="973" t="s">
        <v>1000</v>
      </c>
      <c r="R1042" s="973" t="s">
        <v>1001</v>
      </c>
      <c r="S1042" s="973" t="s">
        <v>1002</v>
      </c>
      <c r="T1042" s="423">
        <v>250</v>
      </c>
      <c r="U1042" s="423">
        <v>8</v>
      </c>
      <c r="V1042" s="423">
        <v>100</v>
      </c>
      <c r="W1042" s="423">
        <v>6.7</v>
      </c>
      <c r="X1042" s="423" t="s">
        <v>1041</v>
      </c>
      <c r="Y1042" s="423" t="s">
        <v>1041</v>
      </c>
      <c r="Z1042" s="423" t="s">
        <v>2387</v>
      </c>
      <c r="AD1042" s="423">
        <f>IF(ISNUMBER(MATCH(B1042,'FICHA SOLIC'!$AB$26:$AB$376,0)),1,0)</f>
        <v>1</v>
      </c>
      <c r="AE1042" s="423" t="str">
        <f t="shared" si="16"/>
        <v>OsornoC2</v>
      </c>
    </row>
    <row r="1043" spans="1:31" x14ac:dyDescent="0.25">
      <c r="A1043" s="423">
        <v>1042</v>
      </c>
      <c r="B1043" s="423" t="s">
        <v>369</v>
      </c>
      <c r="C1043" s="423" t="s">
        <v>1553</v>
      </c>
      <c r="D1043" s="973" t="s">
        <v>990</v>
      </c>
      <c r="E1043" s="973" t="s">
        <v>991</v>
      </c>
      <c r="F1043" s="973" t="s">
        <v>992</v>
      </c>
      <c r="G1043" s="973" t="s">
        <v>1997</v>
      </c>
      <c r="H1043" s="973" t="s">
        <v>1998</v>
      </c>
      <c r="I1043" s="973" t="s">
        <v>1999</v>
      </c>
      <c r="J1043" s="973" t="s">
        <v>697</v>
      </c>
      <c r="K1043" s="973" t="s">
        <v>995</v>
      </c>
      <c r="L1043" s="973" t="s">
        <v>996</v>
      </c>
      <c r="M1043" s="973" t="s">
        <v>2000</v>
      </c>
      <c r="N1043" s="973" t="s">
        <v>2001</v>
      </c>
      <c r="O1043" s="973" t="s">
        <v>1971</v>
      </c>
      <c r="P1043" s="973" t="s">
        <v>999</v>
      </c>
      <c r="Q1043" s="973" t="s">
        <v>1000</v>
      </c>
      <c r="R1043" s="973" t="s">
        <v>1001</v>
      </c>
      <c r="S1043" s="973" t="s">
        <v>1002</v>
      </c>
      <c r="T1043" s="423">
        <v>200</v>
      </c>
      <c r="U1043" s="423">
        <v>8</v>
      </c>
      <c r="V1043" s="423">
        <v>100</v>
      </c>
      <c r="W1043" s="423">
        <v>5.3</v>
      </c>
      <c r="X1043" s="423" t="s">
        <v>1041</v>
      </c>
      <c r="Y1043" s="423" t="s">
        <v>1041</v>
      </c>
      <c r="Z1043" s="423" t="s">
        <v>2387</v>
      </c>
      <c r="AD1043" s="423">
        <f>IF(ISNUMBER(MATCH(B1043,'FICHA SOLIC'!$AB$26:$AB$376,0)),1,0)</f>
        <v>1</v>
      </c>
      <c r="AE1043" s="423" t="str">
        <f t="shared" si="16"/>
        <v>OsornoC3</v>
      </c>
    </row>
    <row r="1044" spans="1:31" x14ac:dyDescent="0.25">
      <c r="A1044" s="423">
        <v>1043</v>
      </c>
      <c r="B1044" s="423" t="s">
        <v>369</v>
      </c>
      <c r="C1044" s="423" t="s">
        <v>2072</v>
      </c>
      <c r="D1044" s="973" t="s">
        <v>990</v>
      </c>
      <c r="E1044" s="973" t="s">
        <v>991</v>
      </c>
      <c r="F1044" s="973" t="s">
        <v>992</v>
      </c>
      <c r="G1044" s="973" t="s">
        <v>1997</v>
      </c>
      <c r="H1044" s="973" t="s">
        <v>1998</v>
      </c>
      <c r="I1044" s="973" t="s">
        <v>1999</v>
      </c>
      <c r="J1044" s="973" t="s">
        <v>697</v>
      </c>
      <c r="K1044" s="973" t="s">
        <v>995</v>
      </c>
      <c r="L1044" s="973" t="s">
        <v>996</v>
      </c>
      <c r="M1044" s="973" t="s">
        <v>2000</v>
      </c>
      <c r="N1044" s="973" t="s">
        <v>2001</v>
      </c>
      <c r="O1044" s="973" t="s">
        <v>1971</v>
      </c>
      <c r="P1044" s="973" t="s">
        <v>999</v>
      </c>
      <c r="Q1044" s="973" t="s">
        <v>1000</v>
      </c>
      <c r="R1044" s="973" t="s">
        <v>1001</v>
      </c>
      <c r="S1044" s="973" t="s">
        <v>1002</v>
      </c>
      <c r="T1044" s="423">
        <v>250</v>
      </c>
      <c r="U1044" s="423">
        <v>8</v>
      </c>
      <c r="V1044" s="423">
        <v>75</v>
      </c>
      <c r="W1044" s="423">
        <v>2.5</v>
      </c>
      <c r="X1044" s="423" t="s">
        <v>1041</v>
      </c>
      <c r="Y1044" s="423" t="s">
        <v>1041</v>
      </c>
      <c r="Z1044" s="423" t="s">
        <v>2387</v>
      </c>
      <c r="AD1044" s="423">
        <f>IF(ISNUMBER(MATCH(B1044,'FICHA SOLIC'!$AB$26:$AB$376,0)),1,0)</f>
        <v>1</v>
      </c>
      <c r="AE1044" s="423" t="str">
        <f t="shared" si="16"/>
        <v>OsornoC4</v>
      </c>
    </row>
    <row r="1045" spans="1:31" x14ac:dyDescent="0.25">
      <c r="A1045" s="423">
        <v>1044</v>
      </c>
      <c r="B1045" s="423" t="s">
        <v>369</v>
      </c>
      <c r="C1045" s="423" t="s">
        <v>1282</v>
      </c>
      <c r="D1045" s="973" t="s">
        <v>990</v>
      </c>
      <c r="E1045" s="973" t="s">
        <v>991</v>
      </c>
      <c r="F1045" s="973" t="s">
        <v>992</v>
      </c>
      <c r="G1045" s="973" t="s">
        <v>1997</v>
      </c>
      <c r="H1045" s="973" t="s">
        <v>1998</v>
      </c>
      <c r="I1045" s="973" t="s">
        <v>1999</v>
      </c>
      <c r="J1045" s="973" t="s">
        <v>697</v>
      </c>
      <c r="K1045" s="973" t="s">
        <v>995</v>
      </c>
      <c r="L1045" s="973" t="s">
        <v>996</v>
      </c>
      <c r="M1045" s="973" t="s">
        <v>2000</v>
      </c>
      <c r="N1045" s="973" t="s">
        <v>2001</v>
      </c>
      <c r="O1045" s="973" t="s">
        <v>1971</v>
      </c>
      <c r="P1045" s="973" t="s">
        <v>999</v>
      </c>
      <c r="Q1045" s="973" t="s">
        <v>1000</v>
      </c>
      <c r="R1045" s="973" t="s">
        <v>1001</v>
      </c>
      <c r="S1045" s="973" t="s">
        <v>1002</v>
      </c>
      <c r="T1045" s="423">
        <v>300</v>
      </c>
      <c r="U1045" s="423">
        <v>12</v>
      </c>
      <c r="V1045" s="423">
        <v>60</v>
      </c>
      <c r="W1045" s="423">
        <v>1.2</v>
      </c>
      <c r="X1045" s="423" t="s">
        <v>1041</v>
      </c>
      <c r="Y1045" s="423" t="s">
        <v>1041</v>
      </c>
      <c r="Z1045" s="423" t="s">
        <v>1057</v>
      </c>
      <c r="AD1045" s="423">
        <f>IF(ISNUMBER(MATCH(B1045,'FICHA SOLIC'!$AB$26:$AB$376,0)),1,0)</f>
        <v>1</v>
      </c>
      <c r="AE1045" s="423" t="str">
        <f t="shared" si="16"/>
        <v>OsornoH1</v>
      </c>
    </row>
    <row r="1046" spans="1:31" x14ac:dyDescent="0.25">
      <c r="A1046" s="423">
        <v>1045</v>
      </c>
      <c r="B1046" s="423" t="s">
        <v>369</v>
      </c>
      <c r="C1046" s="423" t="s">
        <v>2415</v>
      </c>
      <c r="D1046" s="973" t="s">
        <v>990</v>
      </c>
      <c r="E1046" s="973" t="s">
        <v>991</v>
      </c>
      <c r="F1046" s="973" t="s">
        <v>992</v>
      </c>
      <c r="G1046" s="973" t="s">
        <v>1997</v>
      </c>
      <c r="H1046" s="973" t="s">
        <v>1998</v>
      </c>
      <c r="I1046" s="973" t="s">
        <v>1999</v>
      </c>
      <c r="J1046" s="973" t="s">
        <v>697</v>
      </c>
      <c r="K1046" s="973" t="s">
        <v>995</v>
      </c>
      <c r="L1046" s="973" t="s">
        <v>996</v>
      </c>
      <c r="M1046" s="973" t="s">
        <v>2000</v>
      </c>
      <c r="N1046" s="973" t="s">
        <v>2001</v>
      </c>
      <c r="O1046" s="973" t="s">
        <v>1971</v>
      </c>
      <c r="P1046" s="973" t="s">
        <v>999</v>
      </c>
      <c r="Q1046" s="973" t="s">
        <v>1000</v>
      </c>
      <c r="R1046" s="973" t="s">
        <v>1001</v>
      </c>
      <c r="S1046" s="973" t="s">
        <v>1002</v>
      </c>
      <c r="T1046" s="423">
        <v>200</v>
      </c>
      <c r="U1046" s="423">
        <v>10</v>
      </c>
      <c r="V1046" s="423">
        <v>60</v>
      </c>
      <c r="W1046" s="423">
        <v>1.2</v>
      </c>
      <c r="X1046" s="423" t="s">
        <v>1041</v>
      </c>
      <c r="Y1046" s="423" t="s">
        <v>1041</v>
      </c>
      <c r="Z1046" s="423" t="s">
        <v>2387</v>
      </c>
      <c r="AD1046" s="423">
        <f>IF(ISNUMBER(MATCH(B1046,'FICHA SOLIC'!$AB$26:$AB$376,0)),1,0)</f>
        <v>1</v>
      </c>
      <c r="AE1046" s="423" t="str">
        <f t="shared" si="16"/>
        <v>OsornoH1-A</v>
      </c>
    </row>
    <row r="1047" spans="1:31" x14ac:dyDescent="0.25">
      <c r="A1047" s="423">
        <v>1046</v>
      </c>
      <c r="B1047" s="423" t="s">
        <v>369</v>
      </c>
      <c r="C1047" s="423" t="s">
        <v>1284</v>
      </c>
      <c r="D1047" s="973" t="s">
        <v>990</v>
      </c>
      <c r="E1047" s="973" t="s">
        <v>991</v>
      </c>
      <c r="F1047" s="973" t="s">
        <v>992</v>
      </c>
      <c r="G1047" s="973" t="s">
        <v>1997</v>
      </c>
      <c r="H1047" s="973" t="s">
        <v>1998</v>
      </c>
      <c r="I1047" s="973" t="s">
        <v>1999</v>
      </c>
      <c r="J1047" s="973" t="s">
        <v>697</v>
      </c>
      <c r="K1047" s="973" t="s">
        <v>995</v>
      </c>
      <c r="L1047" s="973" t="s">
        <v>996</v>
      </c>
      <c r="M1047" s="973" t="s">
        <v>2000</v>
      </c>
      <c r="N1047" s="973" t="s">
        <v>2001</v>
      </c>
      <c r="O1047" s="973" t="s">
        <v>1971</v>
      </c>
      <c r="P1047" s="973" t="s">
        <v>999</v>
      </c>
      <c r="Q1047" s="973" t="s">
        <v>1000</v>
      </c>
      <c r="R1047" s="973" t="s">
        <v>1001</v>
      </c>
      <c r="S1047" s="973" t="s">
        <v>1002</v>
      </c>
      <c r="T1047" s="423">
        <v>140</v>
      </c>
      <c r="U1047" s="423">
        <v>8</v>
      </c>
      <c r="V1047" s="423">
        <v>80</v>
      </c>
      <c r="W1047" s="423">
        <v>1.6</v>
      </c>
      <c r="X1047" s="423" t="s">
        <v>1041</v>
      </c>
      <c r="Y1047" s="423" t="s">
        <v>1041</v>
      </c>
      <c r="Z1047" s="423" t="s">
        <v>2387</v>
      </c>
      <c r="AD1047" s="423">
        <f>IF(ISNUMBER(MATCH(B1047,'FICHA SOLIC'!$AB$26:$AB$376,0)),1,0)</f>
        <v>1</v>
      </c>
      <c r="AE1047" s="423" t="str">
        <f t="shared" si="16"/>
        <v>OsornoH3</v>
      </c>
    </row>
    <row r="1048" spans="1:31" x14ac:dyDescent="0.25">
      <c r="A1048" s="423">
        <v>1047</v>
      </c>
      <c r="B1048" s="423" t="s">
        <v>139</v>
      </c>
      <c r="C1048" s="423" t="s">
        <v>1489</v>
      </c>
      <c r="D1048" s="973" t="s">
        <v>990</v>
      </c>
      <c r="E1048" s="973" t="s">
        <v>991</v>
      </c>
      <c r="F1048" s="973" t="s">
        <v>992</v>
      </c>
      <c r="G1048" s="973" t="s">
        <v>1997</v>
      </c>
      <c r="H1048" s="973" t="s">
        <v>1998</v>
      </c>
      <c r="I1048" s="973" t="s">
        <v>1999</v>
      </c>
      <c r="J1048" s="973" t="s">
        <v>697</v>
      </c>
      <c r="K1048" s="973" t="s">
        <v>995</v>
      </c>
      <c r="L1048" s="973" t="s">
        <v>996</v>
      </c>
      <c r="M1048" s="973" t="s">
        <v>2000</v>
      </c>
      <c r="N1048" s="973" t="s">
        <v>2001</v>
      </c>
      <c r="O1048" s="973" t="s">
        <v>1971</v>
      </c>
      <c r="P1048" s="973" t="s">
        <v>999</v>
      </c>
      <c r="Q1048" s="973" t="s">
        <v>1000</v>
      </c>
      <c r="R1048" s="973" t="s">
        <v>1001</v>
      </c>
      <c r="S1048" s="973" t="s">
        <v>1002</v>
      </c>
      <c r="T1048" s="423">
        <v>1200</v>
      </c>
      <c r="U1048" s="423" t="s">
        <v>1041</v>
      </c>
      <c r="V1048" s="423">
        <v>70</v>
      </c>
      <c r="W1048" s="423">
        <v>1.6</v>
      </c>
      <c r="X1048" s="423">
        <v>18</v>
      </c>
      <c r="Y1048" s="423" t="s">
        <v>1041</v>
      </c>
      <c r="Z1048" s="423" t="s">
        <v>1058</v>
      </c>
      <c r="AD1048" s="423">
        <f>IF(ISNUMBER(MATCH(B1048,'FICHA SOLIC'!$AB$26:$AB$376,0)),1,0)</f>
        <v>1</v>
      </c>
      <c r="AE1048" s="423" t="str">
        <f t="shared" si="16"/>
        <v>OvalleZAP</v>
      </c>
    </row>
    <row r="1049" spans="1:31" x14ac:dyDescent="0.25">
      <c r="A1049" s="423">
        <v>1048</v>
      </c>
      <c r="B1049" s="423" t="s">
        <v>139</v>
      </c>
      <c r="C1049" s="423" t="s">
        <v>1593</v>
      </c>
      <c r="D1049" s="973" t="s">
        <v>990</v>
      </c>
      <c r="E1049" s="973" t="s">
        <v>991</v>
      </c>
      <c r="F1049" s="973" t="s">
        <v>992</v>
      </c>
      <c r="G1049" s="973" t="s">
        <v>1997</v>
      </c>
      <c r="H1049" s="973" t="s">
        <v>1998</v>
      </c>
      <c r="I1049" s="973" t="s">
        <v>1999</v>
      </c>
      <c r="J1049" s="973" t="s">
        <v>697</v>
      </c>
      <c r="K1049" s="973" t="s">
        <v>995</v>
      </c>
      <c r="L1049" s="973" t="s">
        <v>996</v>
      </c>
      <c r="M1049" s="973" t="s">
        <v>2000</v>
      </c>
      <c r="N1049" s="973" t="s">
        <v>2001</v>
      </c>
      <c r="O1049" s="973" t="s">
        <v>1971</v>
      </c>
      <c r="P1049" s="973" t="s">
        <v>999</v>
      </c>
      <c r="Q1049" s="973" t="s">
        <v>1000</v>
      </c>
      <c r="R1049" s="973" t="s">
        <v>1001</v>
      </c>
      <c r="S1049" s="973" t="s">
        <v>1002</v>
      </c>
      <c r="T1049" s="423">
        <v>400</v>
      </c>
      <c r="U1049" s="423" t="s">
        <v>1041</v>
      </c>
      <c r="V1049" s="423">
        <v>100</v>
      </c>
      <c r="W1049" s="423">
        <v>4.2</v>
      </c>
      <c r="X1049" s="423">
        <v>24</v>
      </c>
      <c r="Y1049" s="423" t="s">
        <v>1041</v>
      </c>
      <c r="Z1049" s="423" t="s">
        <v>1041</v>
      </c>
      <c r="AD1049" s="423">
        <f>IF(ISNUMBER(MATCH(B1049,'FICHA SOLIC'!$AB$26:$AB$376,0)),1,0)</f>
        <v>1</v>
      </c>
      <c r="AE1049" s="423" t="str">
        <f t="shared" si="16"/>
        <v>OvalleZC1</v>
      </c>
    </row>
    <row r="1050" spans="1:31" x14ac:dyDescent="0.25">
      <c r="A1050" s="423">
        <v>1049</v>
      </c>
      <c r="B1050" s="423" t="s">
        <v>139</v>
      </c>
      <c r="C1050" s="423" t="s">
        <v>1594</v>
      </c>
      <c r="D1050" s="973" t="s">
        <v>990</v>
      </c>
      <c r="E1050" s="973" t="s">
        <v>991</v>
      </c>
      <c r="F1050" s="973" t="s">
        <v>992</v>
      </c>
      <c r="G1050" s="973" t="s">
        <v>1997</v>
      </c>
      <c r="H1050" s="973" t="s">
        <v>1998</v>
      </c>
      <c r="I1050" s="973" t="s">
        <v>1999</v>
      </c>
      <c r="J1050" s="973" t="s">
        <v>697</v>
      </c>
      <c r="K1050" s="973" t="s">
        <v>995</v>
      </c>
      <c r="L1050" s="973" t="s">
        <v>996</v>
      </c>
      <c r="M1050" s="973" t="s">
        <v>2000</v>
      </c>
      <c r="N1050" s="973" t="s">
        <v>2001</v>
      </c>
      <c r="O1050" s="973" t="s">
        <v>1971</v>
      </c>
      <c r="P1050" s="973" t="s">
        <v>999</v>
      </c>
      <c r="Q1050" s="973" t="s">
        <v>1000</v>
      </c>
      <c r="R1050" s="973" t="s">
        <v>1001</v>
      </c>
      <c r="S1050" s="973" t="s">
        <v>1002</v>
      </c>
      <c r="T1050" s="423">
        <v>600</v>
      </c>
      <c r="U1050" s="423" t="s">
        <v>1041</v>
      </c>
      <c r="V1050" s="423">
        <v>100</v>
      </c>
      <c r="W1050" s="423">
        <v>6</v>
      </c>
      <c r="X1050" s="423">
        <v>24</v>
      </c>
      <c r="Y1050" s="423" t="s">
        <v>1041</v>
      </c>
      <c r="Z1050" s="423" t="s">
        <v>1041</v>
      </c>
      <c r="AD1050" s="423">
        <f>IF(ISNUMBER(MATCH(B1050,'FICHA SOLIC'!$AB$26:$AB$376,0)),1,0)</f>
        <v>1</v>
      </c>
      <c r="AE1050" s="423" t="str">
        <f t="shared" si="16"/>
        <v>OvalleZC2</v>
      </c>
    </row>
    <row r="1051" spans="1:31" x14ac:dyDescent="0.25">
      <c r="A1051" s="423">
        <v>1050</v>
      </c>
      <c r="B1051" s="423" t="s">
        <v>139</v>
      </c>
      <c r="C1051" s="423" t="s">
        <v>1595</v>
      </c>
      <c r="D1051" s="973" t="s">
        <v>990</v>
      </c>
      <c r="E1051" s="973" t="s">
        <v>991</v>
      </c>
      <c r="F1051" s="973" t="s">
        <v>992</v>
      </c>
      <c r="G1051" s="973" t="s">
        <v>1997</v>
      </c>
      <c r="H1051" s="973" t="s">
        <v>1998</v>
      </c>
      <c r="I1051" s="973" t="s">
        <v>1999</v>
      </c>
      <c r="J1051" s="973" t="s">
        <v>697</v>
      </c>
      <c r="K1051" s="973" t="s">
        <v>995</v>
      </c>
      <c r="L1051" s="973" t="s">
        <v>996</v>
      </c>
      <c r="M1051" s="973" t="s">
        <v>2000</v>
      </c>
      <c r="N1051" s="973" t="s">
        <v>2001</v>
      </c>
      <c r="O1051" s="973" t="s">
        <v>1971</v>
      </c>
      <c r="P1051" s="973" t="s">
        <v>999</v>
      </c>
      <c r="Q1051" s="973" t="s">
        <v>1000</v>
      </c>
      <c r="R1051" s="973" t="s">
        <v>1001</v>
      </c>
      <c r="S1051" s="973" t="s">
        <v>1002</v>
      </c>
      <c r="T1051" s="423">
        <v>600</v>
      </c>
      <c r="U1051" s="423" t="s">
        <v>1041</v>
      </c>
      <c r="V1051" s="423">
        <v>100</v>
      </c>
      <c r="W1051" s="423">
        <v>7</v>
      </c>
      <c r="X1051" s="423">
        <v>18</v>
      </c>
      <c r="Y1051" s="423" t="s">
        <v>1041</v>
      </c>
      <c r="Z1051" s="423" t="s">
        <v>1041</v>
      </c>
      <c r="AD1051" s="423">
        <f>IF(ISNUMBER(MATCH(B1051,'FICHA SOLIC'!$AB$26:$AB$376,0)),1,0)</f>
        <v>1</v>
      </c>
      <c r="AE1051" s="423" t="str">
        <f t="shared" si="16"/>
        <v>OvalleZC3</v>
      </c>
    </row>
    <row r="1052" spans="1:31" x14ac:dyDescent="0.25">
      <c r="A1052" s="423">
        <v>1051</v>
      </c>
      <c r="B1052" s="423" t="s">
        <v>139</v>
      </c>
      <c r="C1052" s="423" t="s">
        <v>1596</v>
      </c>
      <c r="D1052" s="973" t="s">
        <v>990</v>
      </c>
      <c r="E1052" s="973" t="s">
        <v>991</v>
      </c>
      <c r="F1052" s="973" t="s">
        <v>992</v>
      </c>
      <c r="G1052" s="973" t="s">
        <v>1997</v>
      </c>
      <c r="H1052" s="973" t="s">
        <v>1998</v>
      </c>
      <c r="I1052" s="973" t="s">
        <v>1999</v>
      </c>
      <c r="J1052" s="973" t="s">
        <v>697</v>
      </c>
      <c r="K1052" s="973" t="s">
        <v>995</v>
      </c>
      <c r="L1052" s="973" t="s">
        <v>996</v>
      </c>
      <c r="M1052" s="973" t="s">
        <v>2000</v>
      </c>
      <c r="N1052" s="973" t="s">
        <v>2001</v>
      </c>
      <c r="O1052" s="973" t="s">
        <v>1971</v>
      </c>
      <c r="P1052" s="973" t="s">
        <v>999</v>
      </c>
      <c r="Q1052" s="973" t="s">
        <v>1000</v>
      </c>
      <c r="R1052" s="973" t="s">
        <v>1001</v>
      </c>
      <c r="S1052" s="973" t="s">
        <v>1002</v>
      </c>
      <c r="T1052" s="423">
        <v>250</v>
      </c>
      <c r="U1052" s="423" t="s">
        <v>1041</v>
      </c>
      <c r="V1052" s="423">
        <v>80</v>
      </c>
      <c r="W1052" s="423">
        <v>2.5</v>
      </c>
      <c r="X1052" s="423">
        <v>14</v>
      </c>
      <c r="Y1052" s="423" t="s">
        <v>1041</v>
      </c>
      <c r="Z1052" s="423" t="s">
        <v>1041</v>
      </c>
      <c r="AD1052" s="423">
        <f>IF(ISNUMBER(MATCH(B1052,'FICHA SOLIC'!$AB$26:$AB$376,0)),1,0)</f>
        <v>1</v>
      </c>
      <c r="AE1052" s="423" t="str">
        <f t="shared" si="16"/>
        <v>OvalleZC4</v>
      </c>
    </row>
    <row r="1053" spans="1:31" x14ac:dyDescent="0.25">
      <c r="A1053" s="423">
        <v>1052</v>
      </c>
      <c r="B1053" s="423" t="s">
        <v>139</v>
      </c>
      <c r="C1053" s="423" t="s">
        <v>2247</v>
      </c>
      <c r="D1053" s="973" t="s">
        <v>990</v>
      </c>
      <c r="E1053" s="973" t="s">
        <v>991</v>
      </c>
      <c r="F1053" s="973" t="s">
        <v>992</v>
      </c>
      <c r="G1053" s="973" t="s">
        <v>1997</v>
      </c>
      <c r="H1053" s="973" t="s">
        <v>1998</v>
      </c>
      <c r="I1053" s="973" t="s">
        <v>1999</v>
      </c>
      <c r="J1053" s="973" t="s">
        <v>697</v>
      </c>
      <c r="K1053" s="973" t="s">
        <v>995</v>
      </c>
      <c r="L1053" s="973" t="s">
        <v>996</v>
      </c>
      <c r="M1053" s="973" t="s">
        <v>2000</v>
      </c>
      <c r="N1053" s="973" t="s">
        <v>2001</v>
      </c>
      <c r="O1053" s="973" t="s">
        <v>1971</v>
      </c>
      <c r="P1053" s="973" t="s">
        <v>999</v>
      </c>
      <c r="Q1053" s="973" t="s">
        <v>1000</v>
      </c>
      <c r="R1053" s="973" t="s">
        <v>1001</v>
      </c>
      <c r="S1053" s="973" t="s">
        <v>1002</v>
      </c>
      <c r="T1053" s="423">
        <v>200</v>
      </c>
      <c r="U1053" s="423" t="s">
        <v>1041</v>
      </c>
      <c r="V1053" s="423">
        <v>60</v>
      </c>
      <c r="W1053" s="423">
        <v>1.2</v>
      </c>
      <c r="X1053" s="423">
        <v>10.5</v>
      </c>
      <c r="Y1053" s="423" t="s">
        <v>1041</v>
      </c>
      <c r="Z1053" s="423" t="s">
        <v>1058</v>
      </c>
      <c r="AD1053" s="423">
        <f>IF(ISNUMBER(MATCH(B1053,'FICHA SOLIC'!$AB$26:$AB$376,0)),1,0)</f>
        <v>1</v>
      </c>
      <c r="AE1053" s="423" t="str">
        <f t="shared" si="16"/>
        <v>OvalleZCH1</v>
      </c>
    </row>
    <row r="1054" spans="1:31" x14ac:dyDescent="0.25">
      <c r="A1054" s="423">
        <v>1053</v>
      </c>
      <c r="B1054" s="423" t="s">
        <v>139</v>
      </c>
      <c r="C1054" s="423" t="s">
        <v>2313</v>
      </c>
      <c r="D1054" s="973" t="s">
        <v>990</v>
      </c>
      <c r="E1054" s="973" t="s">
        <v>991</v>
      </c>
      <c r="F1054" s="973" t="s">
        <v>992</v>
      </c>
      <c r="G1054" s="973" t="s">
        <v>1997</v>
      </c>
      <c r="H1054" s="973" t="s">
        <v>1998</v>
      </c>
      <c r="I1054" s="973" t="s">
        <v>1999</v>
      </c>
      <c r="J1054" s="973" t="s">
        <v>697</v>
      </c>
      <c r="K1054" s="973" t="s">
        <v>995</v>
      </c>
      <c r="L1054" s="973" t="s">
        <v>996</v>
      </c>
      <c r="M1054" s="973" t="s">
        <v>2000</v>
      </c>
      <c r="N1054" s="973" t="s">
        <v>2001</v>
      </c>
      <c r="O1054" s="973" t="s">
        <v>1971</v>
      </c>
      <c r="P1054" s="973" t="s">
        <v>999</v>
      </c>
      <c r="Q1054" s="973" t="s">
        <v>1000</v>
      </c>
      <c r="R1054" s="973" t="s">
        <v>1001</v>
      </c>
      <c r="S1054" s="973" t="s">
        <v>1002</v>
      </c>
      <c r="T1054" s="423">
        <v>200</v>
      </c>
      <c r="U1054" s="423" t="s">
        <v>1041</v>
      </c>
      <c r="V1054" s="423">
        <v>70</v>
      </c>
      <c r="W1054" s="423">
        <v>0.7</v>
      </c>
      <c r="X1054" s="423">
        <v>6</v>
      </c>
      <c r="Y1054" s="423" t="s">
        <v>1041</v>
      </c>
      <c r="Z1054" s="423" t="s">
        <v>1096</v>
      </c>
      <c r="AD1054" s="423">
        <f>IF(ISNUMBER(MATCH(B1054,'FICHA SOLIC'!$AB$26:$AB$376,0)),1,0)</f>
        <v>1</v>
      </c>
      <c r="AE1054" s="423" t="str">
        <f t="shared" si="16"/>
        <v>OvalleZCH2</v>
      </c>
    </row>
    <row r="1055" spans="1:31" x14ac:dyDescent="0.25">
      <c r="A1055" s="423">
        <v>1054</v>
      </c>
      <c r="B1055" s="423" t="s">
        <v>139</v>
      </c>
      <c r="C1055" s="423" t="s">
        <v>2409</v>
      </c>
      <c r="D1055" s="973" t="s">
        <v>990</v>
      </c>
      <c r="E1055" s="973" t="s">
        <v>991</v>
      </c>
      <c r="F1055" s="973" t="s">
        <v>992</v>
      </c>
      <c r="G1055" s="973" t="s">
        <v>1997</v>
      </c>
      <c r="H1055" s="973" t="s">
        <v>1998</v>
      </c>
      <c r="I1055" s="973" t="s">
        <v>1999</v>
      </c>
      <c r="J1055" s="973" t="s">
        <v>697</v>
      </c>
      <c r="K1055" s="973" t="s">
        <v>995</v>
      </c>
      <c r="L1055" s="973" t="s">
        <v>996</v>
      </c>
      <c r="M1055" s="973" t="s">
        <v>2000</v>
      </c>
      <c r="N1055" s="973" t="s">
        <v>2001</v>
      </c>
      <c r="O1055" s="973" t="s">
        <v>1971</v>
      </c>
      <c r="P1055" s="973" t="s">
        <v>999</v>
      </c>
      <c r="Q1055" s="973" t="s">
        <v>1000</v>
      </c>
      <c r="R1055" s="973" t="s">
        <v>1001</v>
      </c>
      <c r="S1055" s="973" t="s">
        <v>1002</v>
      </c>
      <c r="T1055" s="423">
        <v>800</v>
      </c>
      <c r="U1055" s="423" t="s">
        <v>1041</v>
      </c>
      <c r="V1055" s="423">
        <v>80</v>
      </c>
      <c r="W1055" s="423">
        <v>6</v>
      </c>
      <c r="X1055" s="423">
        <v>30</v>
      </c>
      <c r="Y1055" s="423" t="s">
        <v>1041</v>
      </c>
      <c r="Z1055" s="423" t="s">
        <v>1057</v>
      </c>
      <c r="AD1055" s="423">
        <f>IF(ISNUMBER(MATCH(B1055,'FICHA SOLIC'!$AB$26:$AB$376,0)),1,0)</f>
        <v>1</v>
      </c>
      <c r="AE1055" s="423" t="str">
        <f t="shared" si="16"/>
        <v>OvalleZU1</v>
      </c>
    </row>
    <row r="1056" spans="1:31" x14ac:dyDescent="0.25">
      <c r="A1056" s="423">
        <v>1055</v>
      </c>
      <c r="B1056" s="423" t="s">
        <v>139</v>
      </c>
      <c r="C1056" s="423" t="s">
        <v>1322</v>
      </c>
      <c r="D1056" s="973" t="s">
        <v>990</v>
      </c>
      <c r="E1056" s="973" t="s">
        <v>991</v>
      </c>
      <c r="F1056" s="973" t="s">
        <v>992</v>
      </c>
      <c r="G1056" s="973" t="s">
        <v>1997</v>
      </c>
      <c r="H1056" s="973" t="s">
        <v>1998</v>
      </c>
      <c r="I1056" s="973" t="s">
        <v>1999</v>
      </c>
      <c r="J1056" s="973" t="s">
        <v>697</v>
      </c>
      <c r="K1056" s="973" t="s">
        <v>995</v>
      </c>
      <c r="L1056" s="973" t="s">
        <v>996</v>
      </c>
      <c r="M1056" s="973" t="s">
        <v>2000</v>
      </c>
      <c r="N1056" s="973" t="s">
        <v>2001</v>
      </c>
      <c r="O1056" s="973" t="s">
        <v>1971</v>
      </c>
      <c r="P1056" s="973" t="s">
        <v>999</v>
      </c>
      <c r="Q1056" s="973" t="s">
        <v>1000</v>
      </c>
      <c r="R1056" s="973" t="s">
        <v>1001</v>
      </c>
      <c r="S1056" s="973" t="s">
        <v>1002</v>
      </c>
      <c r="T1056" s="423">
        <v>400</v>
      </c>
      <c r="U1056" s="423" t="s">
        <v>1041</v>
      </c>
      <c r="V1056" s="423">
        <v>80</v>
      </c>
      <c r="W1056" s="423">
        <v>1.8</v>
      </c>
      <c r="X1056" s="423">
        <v>14</v>
      </c>
      <c r="Y1056" s="423" t="s">
        <v>1041</v>
      </c>
      <c r="Z1056" s="423" t="s">
        <v>2387</v>
      </c>
      <c r="AD1056" s="423">
        <f>IF(ISNUMBER(MATCH(B1056,'FICHA SOLIC'!$AB$26:$AB$376,0)),1,0)</f>
        <v>1</v>
      </c>
      <c r="AE1056" s="423" t="str">
        <f t="shared" si="16"/>
        <v>OvalleZU2</v>
      </c>
    </row>
    <row r="1057" spans="1:31" x14ac:dyDescent="0.25">
      <c r="A1057" s="423">
        <v>1056</v>
      </c>
      <c r="B1057" s="423" t="s">
        <v>139</v>
      </c>
      <c r="C1057" s="423" t="s">
        <v>1324</v>
      </c>
      <c r="D1057" s="973" t="s">
        <v>990</v>
      </c>
      <c r="E1057" s="973" t="s">
        <v>991</v>
      </c>
      <c r="F1057" s="973" t="s">
        <v>992</v>
      </c>
      <c r="G1057" s="973" t="s">
        <v>1997</v>
      </c>
      <c r="H1057" s="973" t="s">
        <v>1998</v>
      </c>
      <c r="I1057" s="973" t="s">
        <v>1999</v>
      </c>
      <c r="J1057" s="973" t="s">
        <v>697</v>
      </c>
      <c r="K1057" s="973" t="s">
        <v>995</v>
      </c>
      <c r="L1057" s="973" t="s">
        <v>996</v>
      </c>
      <c r="M1057" s="973" t="s">
        <v>2000</v>
      </c>
      <c r="N1057" s="973" t="s">
        <v>2001</v>
      </c>
      <c r="O1057" s="973" t="s">
        <v>1971</v>
      </c>
      <c r="P1057" s="973" t="s">
        <v>999</v>
      </c>
      <c r="Q1057" s="973" t="s">
        <v>1000</v>
      </c>
      <c r="R1057" s="973" t="s">
        <v>1001</v>
      </c>
      <c r="S1057" s="973" t="s">
        <v>1002</v>
      </c>
      <c r="T1057" s="423">
        <v>450</v>
      </c>
      <c r="U1057" s="423" t="s">
        <v>1041</v>
      </c>
      <c r="V1057" s="423">
        <v>80</v>
      </c>
      <c r="W1057" s="423">
        <v>1.2</v>
      </c>
      <c r="X1057" s="423">
        <v>18</v>
      </c>
      <c r="Y1057" s="423" t="s">
        <v>1041</v>
      </c>
      <c r="Z1057" s="423" t="s">
        <v>2387</v>
      </c>
      <c r="AD1057" s="423">
        <f>IF(ISNUMBER(MATCH(B1057,'FICHA SOLIC'!$AB$26:$AB$376,0)),1,0)</f>
        <v>1</v>
      </c>
      <c r="AE1057" s="423" t="str">
        <f t="shared" si="16"/>
        <v>OvalleZU3</v>
      </c>
    </row>
    <row r="1058" spans="1:31" x14ac:dyDescent="0.25">
      <c r="A1058" s="423">
        <v>1057</v>
      </c>
      <c r="B1058" s="423" t="s">
        <v>139</v>
      </c>
      <c r="C1058" s="423" t="s">
        <v>1325</v>
      </c>
      <c r="D1058" s="973" t="s">
        <v>990</v>
      </c>
      <c r="E1058" s="973" t="s">
        <v>991</v>
      </c>
      <c r="F1058" s="973" t="s">
        <v>992</v>
      </c>
      <c r="G1058" s="973" t="s">
        <v>1997</v>
      </c>
      <c r="H1058" s="973" t="s">
        <v>1998</v>
      </c>
      <c r="I1058" s="973" t="s">
        <v>1999</v>
      </c>
      <c r="J1058" s="973" t="s">
        <v>697</v>
      </c>
      <c r="K1058" s="973" t="s">
        <v>995</v>
      </c>
      <c r="L1058" s="973" t="s">
        <v>996</v>
      </c>
      <c r="M1058" s="973" t="s">
        <v>2000</v>
      </c>
      <c r="N1058" s="973" t="s">
        <v>2001</v>
      </c>
      <c r="O1058" s="973" t="s">
        <v>1971</v>
      </c>
      <c r="P1058" s="973" t="s">
        <v>999</v>
      </c>
      <c r="Q1058" s="973" t="s">
        <v>1000</v>
      </c>
      <c r="R1058" s="973" t="s">
        <v>1001</v>
      </c>
      <c r="S1058" s="973" t="s">
        <v>1002</v>
      </c>
      <c r="T1058" s="423">
        <v>450</v>
      </c>
      <c r="U1058" s="423" t="s">
        <v>1041</v>
      </c>
      <c r="V1058" s="423">
        <v>80</v>
      </c>
      <c r="W1058" s="423">
        <v>1.8</v>
      </c>
      <c r="X1058" s="423">
        <v>14</v>
      </c>
      <c r="Y1058" s="423" t="s">
        <v>1041</v>
      </c>
      <c r="Z1058" s="423" t="s">
        <v>2387</v>
      </c>
      <c r="AD1058" s="423">
        <f>IF(ISNUMBER(MATCH(B1058,'FICHA SOLIC'!$AB$26:$AB$376,0)),1,0)</f>
        <v>1</v>
      </c>
      <c r="AE1058" s="423" t="str">
        <f t="shared" si="16"/>
        <v>OvalleZU4</v>
      </c>
    </row>
    <row r="1059" spans="1:31" x14ac:dyDescent="0.25">
      <c r="A1059" s="423">
        <v>1058</v>
      </c>
      <c r="B1059" s="423" t="s">
        <v>139</v>
      </c>
      <c r="C1059" s="423" t="s">
        <v>1326</v>
      </c>
      <c r="D1059" s="973" t="s">
        <v>990</v>
      </c>
      <c r="E1059" s="973" t="s">
        <v>991</v>
      </c>
      <c r="F1059" s="973" t="s">
        <v>992</v>
      </c>
      <c r="G1059" s="973" t="s">
        <v>1997</v>
      </c>
      <c r="H1059" s="973" t="s">
        <v>1998</v>
      </c>
      <c r="I1059" s="973" t="s">
        <v>1999</v>
      </c>
      <c r="J1059" s="973" t="s">
        <v>697</v>
      </c>
      <c r="K1059" s="973" t="s">
        <v>995</v>
      </c>
      <c r="L1059" s="973" t="s">
        <v>996</v>
      </c>
      <c r="M1059" s="973" t="s">
        <v>2000</v>
      </c>
      <c r="N1059" s="973" t="s">
        <v>2001</v>
      </c>
      <c r="O1059" s="973" t="s">
        <v>1971</v>
      </c>
      <c r="P1059" s="973" t="s">
        <v>999</v>
      </c>
      <c r="Q1059" s="973" t="s">
        <v>1000</v>
      </c>
      <c r="R1059" s="973" t="s">
        <v>1001</v>
      </c>
      <c r="S1059" s="973" t="s">
        <v>1002</v>
      </c>
      <c r="T1059" s="423">
        <v>300</v>
      </c>
      <c r="U1059" s="423" t="s">
        <v>1041</v>
      </c>
      <c r="V1059" s="423">
        <v>80</v>
      </c>
      <c r="W1059" s="423">
        <v>1.8</v>
      </c>
      <c r="X1059" s="423">
        <v>9</v>
      </c>
      <c r="Y1059" s="423" t="s">
        <v>1041</v>
      </c>
      <c r="Z1059" s="423" t="s">
        <v>2387</v>
      </c>
      <c r="AD1059" s="423">
        <f>IF(ISNUMBER(MATCH(B1059,'FICHA SOLIC'!$AB$26:$AB$376,0)),1,0)</f>
        <v>1</v>
      </c>
      <c r="AE1059" s="423" t="str">
        <f t="shared" si="16"/>
        <v>OvalleZU5</v>
      </c>
    </row>
    <row r="1060" spans="1:31" x14ac:dyDescent="0.25">
      <c r="A1060" s="423">
        <v>1059</v>
      </c>
      <c r="B1060" s="423" t="s">
        <v>139</v>
      </c>
      <c r="C1060" s="423" t="s">
        <v>1327</v>
      </c>
      <c r="D1060" s="973" t="s">
        <v>990</v>
      </c>
      <c r="E1060" s="973" t="s">
        <v>991</v>
      </c>
      <c r="F1060" s="973" t="s">
        <v>992</v>
      </c>
      <c r="G1060" s="973" t="s">
        <v>1997</v>
      </c>
      <c r="H1060" s="973" t="s">
        <v>1998</v>
      </c>
      <c r="I1060" s="973" t="s">
        <v>1999</v>
      </c>
      <c r="J1060" s="973" t="s">
        <v>697</v>
      </c>
      <c r="K1060" s="973" t="s">
        <v>995</v>
      </c>
      <c r="L1060" s="973" t="s">
        <v>996</v>
      </c>
      <c r="M1060" s="973" t="s">
        <v>2000</v>
      </c>
      <c r="N1060" s="973" t="s">
        <v>2001</v>
      </c>
      <c r="O1060" s="973" t="s">
        <v>1971</v>
      </c>
      <c r="P1060" s="973" t="s">
        <v>999</v>
      </c>
      <c r="Q1060" s="973" t="s">
        <v>1000</v>
      </c>
      <c r="R1060" s="973" t="s">
        <v>1001</v>
      </c>
      <c r="S1060" s="973" t="s">
        <v>1002</v>
      </c>
      <c r="T1060" s="423">
        <v>160</v>
      </c>
      <c r="U1060" s="423" t="s">
        <v>1041</v>
      </c>
      <c r="V1060" s="423">
        <v>80</v>
      </c>
      <c r="W1060" s="423">
        <v>1.8</v>
      </c>
      <c r="X1060" s="423">
        <v>9</v>
      </c>
      <c r="Y1060" s="423" t="s">
        <v>1041</v>
      </c>
      <c r="Z1060" s="423" t="s">
        <v>2387</v>
      </c>
      <c r="AD1060" s="423">
        <f>IF(ISNUMBER(MATCH(B1060,'FICHA SOLIC'!$AB$26:$AB$376,0)),1,0)</f>
        <v>1</v>
      </c>
      <c r="AE1060" s="423" t="str">
        <f t="shared" si="16"/>
        <v>OvalleZU6</v>
      </c>
    </row>
    <row r="1061" spans="1:31" x14ac:dyDescent="0.25">
      <c r="A1061" s="423">
        <v>1060</v>
      </c>
      <c r="B1061" s="423" t="s">
        <v>139</v>
      </c>
      <c r="C1061" s="423" t="s">
        <v>1328</v>
      </c>
      <c r="D1061" s="973" t="s">
        <v>990</v>
      </c>
      <c r="E1061" s="973" t="s">
        <v>991</v>
      </c>
      <c r="F1061" s="973" t="s">
        <v>992</v>
      </c>
      <c r="G1061" s="973" t="s">
        <v>1997</v>
      </c>
      <c r="H1061" s="973" t="s">
        <v>1998</v>
      </c>
      <c r="I1061" s="973" t="s">
        <v>1999</v>
      </c>
      <c r="J1061" s="973" t="s">
        <v>697</v>
      </c>
      <c r="K1061" s="973" t="s">
        <v>995</v>
      </c>
      <c r="L1061" s="973" t="s">
        <v>996</v>
      </c>
      <c r="M1061" s="973" t="s">
        <v>2000</v>
      </c>
      <c r="N1061" s="973" t="s">
        <v>2001</v>
      </c>
      <c r="O1061" s="973" t="s">
        <v>1971</v>
      </c>
      <c r="P1061" s="973" t="s">
        <v>999</v>
      </c>
      <c r="Q1061" s="973" t="s">
        <v>1000</v>
      </c>
      <c r="R1061" s="973" t="s">
        <v>1001</v>
      </c>
      <c r="S1061" s="973" t="s">
        <v>1002</v>
      </c>
      <c r="T1061" s="423">
        <v>600</v>
      </c>
      <c r="U1061" s="423" t="s">
        <v>1041</v>
      </c>
      <c r="V1061" s="423">
        <v>80</v>
      </c>
      <c r="W1061" s="423">
        <v>1.8</v>
      </c>
      <c r="X1061" s="423">
        <v>14</v>
      </c>
      <c r="Y1061" s="423" t="s">
        <v>1041</v>
      </c>
      <c r="Z1061" s="423" t="s">
        <v>2387</v>
      </c>
      <c r="AD1061" s="423">
        <f>IF(ISNUMBER(MATCH(B1061,'FICHA SOLIC'!$AB$26:$AB$376,0)),1,0)</f>
        <v>1</v>
      </c>
      <c r="AE1061" s="423" t="str">
        <f t="shared" si="16"/>
        <v>OvalleZU7</v>
      </c>
    </row>
    <row r="1062" spans="1:31" x14ac:dyDescent="0.25">
      <c r="A1062" s="423">
        <v>1061</v>
      </c>
      <c r="B1062" s="423" t="s">
        <v>139</v>
      </c>
      <c r="C1062" s="423" t="s">
        <v>1329</v>
      </c>
      <c r="D1062" s="973" t="s">
        <v>990</v>
      </c>
      <c r="E1062" s="973" t="s">
        <v>991</v>
      </c>
      <c r="F1062" s="973" t="s">
        <v>992</v>
      </c>
      <c r="G1062" s="973" t="s">
        <v>1997</v>
      </c>
      <c r="H1062" s="973" t="s">
        <v>1998</v>
      </c>
      <c r="I1062" s="973" t="s">
        <v>1999</v>
      </c>
      <c r="J1062" s="973" t="s">
        <v>697</v>
      </c>
      <c r="K1062" s="973" t="s">
        <v>995</v>
      </c>
      <c r="L1062" s="973" t="s">
        <v>996</v>
      </c>
      <c r="M1062" s="973" t="s">
        <v>2000</v>
      </c>
      <c r="N1062" s="973" t="s">
        <v>2001</v>
      </c>
      <c r="O1062" s="973" t="s">
        <v>1971</v>
      </c>
      <c r="P1062" s="973" t="s">
        <v>999</v>
      </c>
      <c r="Q1062" s="973" t="s">
        <v>1000</v>
      </c>
      <c r="R1062" s="973" t="s">
        <v>1001</v>
      </c>
      <c r="S1062" s="973" t="s">
        <v>1002</v>
      </c>
      <c r="T1062" s="423">
        <v>600</v>
      </c>
      <c r="U1062" s="423" t="s">
        <v>1041</v>
      </c>
      <c r="V1062" s="423">
        <v>80</v>
      </c>
      <c r="W1062" s="423">
        <v>1.6</v>
      </c>
      <c r="X1062" s="423">
        <v>14</v>
      </c>
      <c r="Y1062" s="423" t="s">
        <v>1041</v>
      </c>
      <c r="Z1062" s="423" t="s">
        <v>1041</v>
      </c>
      <c r="AD1062" s="423">
        <f>IF(ISNUMBER(MATCH(B1062,'FICHA SOLIC'!$AB$26:$AB$376,0)),1,0)</f>
        <v>1</v>
      </c>
      <c r="AE1062" s="423" t="str">
        <f t="shared" si="16"/>
        <v>OvalleZU8</v>
      </c>
    </row>
    <row r="1063" spans="1:31" x14ac:dyDescent="0.25">
      <c r="A1063" s="423">
        <v>1062</v>
      </c>
      <c r="B1063" s="423" t="s">
        <v>139</v>
      </c>
      <c r="C1063" s="423" t="s">
        <v>1330</v>
      </c>
      <c r="D1063" s="973" t="s">
        <v>990</v>
      </c>
      <c r="E1063" s="973" t="s">
        <v>991</v>
      </c>
      <c r="F1063" s="973" t="s">
        <v>992</v>
      </c>
      <c r="G1063" s="973" t="s">
        <v>1997</v>
      </c>
      <c r="H1063" s="973" t="s">
        <v>1998</v>
      </c>
      <c r="I1063" s="973" t="s">
        <v>1999</v>
      </c>
      <c r="J1063" s="973" t="s">
        <v>697</v>
      </c>
      <c r="K1063" s="973" t="s">
        <v>995</v>
      </c>
      <c r="L1063" s="973" t="s">
        <v>996</v>
      </c>
      <c r="M1063" s="973" t="s">
        <v>2000</v>
      </c>
      <c r="N1063" s="973" t="s">
        <v>2001</v>
      </c>
      <c r="O1063" s="973" t="s">
        <v>1971</v>
      </c>
      <c r="P1063" s="973" t="s">
        <v>999</v>
      </c>
      <c r="Q1063" s="973" t="s">
        <v>1000</v>
      </c>
      <c r="R1063" s="973" t="s">
        <v>1001</v>
      </c>
      <c r="S1063" s="973" t="s">
        <v>1002</v>
      </c>
      <c r="T1063" s="423">
        <v>2500</v>
      </c>
      <c r="U1063" s="423" t="s">
        <v>1041</v>
      </c>
      <c r="V1063" s="423">
        <v>10</v>
      </c>
      <c r="W1063" s="423">
        <v>0.2</v>
      </c>
      <c r="X1063" s="423">
        <v>8</v>
      </c>
      <c r="Y1063" s="423" t="s">
        <v>1041</v>
      </c>
      <c r="Z1063" s="423" t="s">
        <v>1058</v>
      </c>
      <c r="AD1063" s="423">
        <f>IF(ISNUMBER(MATCH(B1063,'FICHA SOLIC'!$AB$26:$AB$376,0)),1,0)</f>
        <v>1</v>
      </c>
      <c r="AE1063" s="423" t="str">
        <f t="shared" si="16"/>
        <v>OvalleZU9</v>
      </c>
    </row>
    <row r="1064" spans="1:31" x14ac:dyDescent="0.25">
      <c r="A1064" s="423">
        <v>1063</v>
      </c>
      <c r="B1064" s="423" t="s">
        <v>315</v>
      </c>
      <c r="C1064" s="423" t="s">
        <v>1041</v>
      </c>
      <c r="D1064" s="973" t="s">
        <v>990</v>
      </c>
      <c r="E1064" s="973" t="s">
        <v>991</v>
      </c>
      <c r="F1064" s="973" t="s">
        <v>992</v>
      </c>
      <c r="G1064" s="973" t="s">
        <v>1997</v>
      </c>
      <c r="H1064" s="973" t="s">
        <v>1998</v>
      </c>
      <c r="I1064" s="973" t="s">
        <v>1999</v>
      </c>
      <c r="J1064" s="973" t="s">
        <v>697</v>
      </c>
      <c r="K1064" s="973" t="s">
        <v>995</v>
      </c>
      <c r="L1064" s="973" t="s">
        <v>996</v>
      </c>
      <c r="M1064" s="973" t="s">
        <v>2000</v>
      </c>
      <c r="N1064" s="973" t="s">
        <v>2001</v>
      </c>
      <c r="O1064" s="973" t="s">
        <v>1971</v>
      </c>
      <c r="P1064" s="973" t="s">
        <v>999</v>
      </c>
      <c r="Q1064" s="973" t="s">
        <v>1000</v>
      </c>
      <c r="R1064" s="973" t="s">
        <v>1001</v>
      </c>
      <c r="S1064" s="973" t="s">
        <v>1002</v>
      </c>
      <c r="T1064" s="423" t="s">
        <v>1041</v>
      </c>
      <c r="U1064" s="423" t="s">
        <v>1041</v>
      </c>
      <c r="V1064" s="423" t="s">
        <v>1041</v>
      </c>
      <c r="W1064" s="423" t="s">
        <v>1041</v>
      </c>
      <c r="X1064" s="423" t="s">
        <v>1041</v>
      </c>
      <c r="Y1064" s="423" t="s">
        <v>1041</v>
      </c>
      <c r="Z1064" s="423" t="s">
        <v>1041</v>
      </c>
      <c r="AD1064" s="423">
        <f>IF(ISNUMBER(MATCH(B1064,'FICHA SOLIC'!$AB$26:$AB$376,0)),1,0)</f>
        <v>1</v>
      </c>
      <c r="AE1064" s="423" t="str">
        <f t="shared" si="16"/>
        <v>Padre Las CasasOGUC</v>
      </c>
    </row>
    <row r="1065" spans="1:31" x14ac:dyDescent="0.25">
      <c r="A1065" s="423">
        <v>1064</v>
      </c>
      <c r="B1065" s="423" t="s">
        <v>444</v>
      </c>
      <c r="C1065" s="423" t="s">
        <v>1041</v>
      </c>
      <c r="D1065" s="973" t="s">
        <v>990</v>
      </c>
      <c r="E1065" s="973" t="s">
        <v>991</v>
      </c>
      <c r="F1065" s="973" t="s">
        <v>992</v>
      </c>
      <c r="G1065" s="973" t="s">
        <v>1997</v>
      </c>
      <c r="H1065" s="973" t="s">
        <v>1998</v>
      </c>
      <c r="I1065" s="973" t="s">
        <v>1999</v>
      </c>
      <c r="J1065" s="973" t="s">
        <v>697</v>
      </c>
      <c r="K1065" s="973" t="s">
        <v>995</v>
      </c>
      <c r="L1065" s="973" t="s">
        <v>996</v>
      </c>
      <c r="M1065" s="973" t="s">
        <v>2000</v>
      </c>
      <c r="N1065" s="973" t="s">
        <v>2001</v>
      </c>
      <c r="O1065" s="973" t="s">
        <v>1971</v>
      </c>
      <c r="P1065" s="973" t="s">
        <v>999</v>
      </c>
      <c r="Q1065" s="973" t="s">
        <v>1000</v>
      </c>
      <c r="R1065" s="973" t="s">
        <v>1001</v>
      </c>
      <c r="S1065" s="973" t="s">
        <v>1002</v>
      </c>
      <c r="T1065" s="423" t="s">
        <v>1041</v>
      </c>
      <c r="U1065" s="423" t="s">
        <v>1041</v>
      </c>
      <c r="V1065" s="423" t="s">
        <v>1041</v>
      </c>
      <c r="W1065" s="423" t="s">
        <v>1041</v>
      </c>
      <c r="X1065" s="423" t="s">
        <v>1041</v>
      </c>
      <c r="Y1065" s="423" t="s">
        <v>1041</v>
      </c>
      <c r="Z1065" s="423" t="s">
        <v>1041</v>
      </c>
      <c r="AD1065" s="423">
        <f>IF(ISNUMBER(MATCH(B1065,'FICHA SOLIC'!$AB$26:$AB$376,0)),1,0)</f>
        <v>1</v>
      </c>
      <c r="AE1065" s="423" t="str">
        <f t="shared" si="16"/>
        <v>PaineOGUC</v>
      </c>
    </row>
    <row r="1066" spans="1:31" x14ac:dyDescent="0.25">
      <c r="A1066" s="423">
        <v>1065</v>
      </c>
      <c r="B1066" s="423" t="s">
        <v>444</v>
      </c>
      <c r="C1066" s="423" t="s">
        <v>1489</v>
      </c>
      <c r="D1066" s="425" t="s">
        <v>990</v>
      </c>
      <c r="E1066" s="425" t="s">
        <v>991</v>
      </c>
      <c r="F1066" s="425" t="s">
        <v>992</v>
      </c>
      <c r="G1066" s="425" t="s">
        <v>1054</v>
      </c>
      <c r="H1066" s="426" t="s">
        <v>699</v>
      </c>
      <c r="I1066" s="425" t="s">
        <v>1055</v>
      </c>
      <c r="J1066" s="425" t="s">
        <v>697</v>
      </c>
      <c r="K1066" s="425" t="s">
        <v>995</v>
      </c>
      <c r="L1066" s="425" t="s">
        <v>996</v>
      </c>
      <c r="M1066" s="425" t="s">
        <v>997</v>
      </c>
      <c r="N1066" s="425" t="s">
        <v>558</v>
      </c>
      <c r="O1066" s="425" t="s">
        <v>998</v>
      </c>
      <c r="P1066" s="425" t="s">
        <v>999</v>
      </c>
      <c r="Q1066" s="425" t="s">
        <v>1000</v>
      </c>
      <c r="R1066" s="425" t="s">
        <v>1001</v>
      </c>
      <c r="S1066" s="425" t="s">
        <v>1002</v>
      </c>
      <c r="T1066" s="423">
        <v>1000</v>
      </c>
      <c r="U1066" s="423" t="s">
        <v>1041</v>
      </c>
      <c r="V1066" s="423">
        <v>40</v>
      </c>
      <c r="W1066" s="423">
        <v>60</v>
      </c>
      <c r="X1066" s="423">
        <v>1.2</v>
      </c>
      <c r="Y1066" s="423">
        <v>8</v>
      </c>
      <c r="Z1066" s="423" t="s">
        <v>1058</v>
      </c>
      <c r="AD1066" s="423">
        <f>IF(ISNUMBER(MATCH(B1066,'FICHA SOLIC'!$AB$26:$AB$376,0)),1,0)</f>
        <v>1</v>
      </c>
      <c r="AE1066" s="423" t="str">
        <f t="shared" si="16"/>
        <v>PaineZAP</v>
      </c>
    </row>
    <row r="1067" spans="1:31" x14ac:dyDescent="0.25">
      <c r="A1067" s="423">
        <v>1066</v>
      </c>
      <c r="B1067" s="423" t="s">
        <v>444</v>
      </c>
      <c r="C1067" s="423" t="s">
        <v>1454</v>
      </c>
      <c r="D1067" s="425" t="s">
        <v>990</v>
      </c>
      <c r="E1067" s="425" t="s">
        <v>991</v>
      </c>
      <c r="F1067" s="425" t="s">
        <v>992</v>
      </c>
      <c r="G1067" s="425" t="s">
        <v>1054</v>
      </c>
      <c r="H1067" s="426" t="s">
        <v>699</v>
      </c>
      <c r="I1067" s="425" t="s">
        <v>1055</v>
      </c>
      <c r="J1067" s="425" t="s">
        <v>697</v>
      </c>
      <c r="K1067" s="425" t="s">
        <v>995</v>
      </c>
      <c r="L1067" s="425" t="s">
        <v>996</v>
      </c>
      <c r="M1067" s="425" t="s">
        <v>997</v>
      </c>
      <c r="N1067" s="425" t="s">
        <v>558</v>
      </c>
      <c r="O1067" s="425" t="s">
        <v>998</v>
      </c>
      <c r="P1067" s="425" t="s">
        <v>999</v>
      </c>
      <c r="Q1067" s="425" t="s">
        <v>1000</v>
      </c>
      <c r="R1067" s="425" t="s">
        <v>1001</v>
      </c>
      <c r="S1067" s="425" t="s">
        <v>1002</v>
      </c>
      <c r="T1067" s="423">
        <v>1000</v>
      </c>
      <c r="U1067" s="423" t="s">
        <v>1041</v>
      </c>
      <c r="V1067" s="423">
        <v>30</v>
      </c>
      <c r="W1067" s="423">
        <v>0.3</v>
      </c>
      <c r="X1067" s="423">
        <v>8</v>
      </c>
      <c r="Y1067" s="423" t="s">
        <v>1041</v>
      </c>
      <c r="Z1067" s="423" t="s">
        <v>1059</v>
      </c>
      <c r="AD1067" s="423">
        <f>IF(ISNUMBER(MATCH(B1067,'FICHA SOLIC'!$AB$26:$AB$376,0)),1,0)</f>
        <v>1</v>
      </c>
      <c r="AE1067" s="423" t="str">
        <f t="shared" si="16"/>
        <v>PaineZE-1</v>
      </c>
    </row>
    <row r="1068" spans="1:31" x14ac:dyDescent="0.25">
      <c r="A1068" s="423">
        <v>1067</v>
      </c>
      <c r="B1068" s="423" t="s">
        <v>444</v>
      </c>
      <c r="C1068" s="423" t="s">
        <v>1474</v>
      </c>
      <c r="D1068" s="425" t="s">
        <v>990</v>
      </c>
      <c r="E1068" s="425" t="s">
        <v>991</v>
      </c>
      <c r="F1068" s="425" t="s">
        <v>992</v>
      </c>
      <c r="G1068" s="425" t="s">
        <v>1054</v>
      </c>
      <c r="H1068" s="426" t="s">
        <v>699</v>
      </c>
      <c r="I1068" s="425" t="s">
        <v>1055</v>
      </c>
      <c r="J1068" s="425" t="s">
        <v>697</v>
      </c>
      <c r="K1068" s="425" t="s">
        <v>995</v>
      </c>
      <c r="L1068" s="425" t="s">
        <v>996</v>
      </c>
      <c r="M1068" s="425" t="s">
        <v>997</v>
      </c>
      <c r="N1068" s="425" t="s">
        <v>558</v>
      </c>
      <c r="O1068" s="425" t="s">
        <v>998</v>
      </c>
      <c r="P1068" s="425" t="s">
        <v>999</v>
      </c>
      <c r="Q1068" s="425" t="s">
        <v>1000</v>
      </c>
      <c r="R1068" s="425" t="s">
        <v>1001</v>
      </c>
      <c r="S1068" s="425" t="s">
        <v>1002</v>
      </c>
      <c r="T1068" s="423">
        <v>800</v>
      </c>
      <c r="U1068" s="423" t="s">
        <v>1041</v>
      </c>
      <c r="V1068" s="423">
        <v>35</v>
      </c>
      <c r="W1068" s="423">
        <v>0.35</v>
      </c>
      <c r="X1068" s="423">
        <v>7.5</v>
      </c>
      <c r="Y1068" s="423" t="s">
        <v>1041</v>
      </c>
      <c r="Z1068" s="423" t="s">
        <v>1058</v>
      </c>
      <c r="AD1068" s="423">
        <f>IF(ISNUMBER(MATCH(B1068,'FICHA SOLIC'!$AB$26:$AB$376,0)),1,0)</f>
        <v>1</v>
      </c>
      <c r="AE1068" s="423" t="str">
        <f t="shared" si="16"/>
        <v>PaineZE-2</v>
      </c>
    </row>
    <row r="1069" spans="1:31" x14ac:dyDescent="0.25">
      <c r="A1069" s="423">
        <v>1068</v>
      </c>
      <c r="B1069" s="423" t="s">
        <v>444</v>
      </c>
      <c r="C1069" s="423" t="s">
        <v>1475</v>
      </c>
      <c r="D1069" s="425" t="s">
        <v>990</v>
      </c>
      <c r="E1069" s="425" t="s">
        <v>991</v>
      </c>
      <c r="F1069" s="425" t="s">
        <v>992</v>
      </c>
      <c r="G1069" s="425" t="s">
        <v>1054</v>
      </c>
      <c r="H1069" s="426" t="s">
        <v>699</v>
      </c>
      <c r="I1069" s="425" t="s">
        <v>1055</v>
      </c>
      <c r="J1069" s="425" t="s">
        <v>697</v>
      </c>
      <c r="K1069" s="425" t="s">
        <v>995</v>
      </c>
      <c r="L1069" s="425" t="s">
        <v>996</v>
      </c>
      <c r="M1069" s="425" t="s">
        <v>997</v>
      </c>
      <c r="N1069" s="425" t="s">
        <v>558</v>
      </c>
      <c r="O1069" s="425" t="s">
        <v>998</v>
      </c>
      <c r="P1069" s="425" t="s">
        <v>999</v>
      </c>
      <c r="Q1069" s="425" t="s">
        <v>1000</v>
      </c>
      <c r="R1069" s="425" t="s">
        <v>1001</v>
      </c>
      <c r="S1069" s="425" t="s">
        <v>1002</v>
      </c>
      <c r="T1069" s="423">
        <v>800</v>
      </c>
      <c r="U1069" s="423" t="s">
        <v>1041</v>
      </c>
      <c r="V1069" s="423">
        <v>35</v>
      </c>
      <c r="W1069" s="423">
        <v>0.35</v>
      </c>
      <c r="X1069" s="423">
        <v>7.5</v>
      </c>
      <c r="Y1069" s="423" t="s">
        <v>1041</v>
      </c>
      <c r="Z1069" s="423" t="s">
        <v>1058</v>
      </c>
      <c r="AD1069" s="423">
        <f>IF(ISNUMBER(MATCH(B1069,'FICHA SOLIC'!$AB$26:$AB$376,0)),1,0)</f>
        <v>1</v>
      </c>
      <c r="AE1069" s="423" t="str">
        <f t="shared" si="16"/>
        <v>PaineZE-3</v>
      </c>
    </row>
    <row r="1070" spans="1:31" x14ac:dyDescent="0.25">
      <c r="A1070" s="423">
        <v>1069</v>
      </c>
      <c r="B1070" s="423" t="s">
        <v>444</v>
      </c>
      <c r="C1070" s="423" t="s">
        <v>1241</v>
      </c>
      <c r="D1070" s="425" t="s">
        <v>990</v>
      </c>
      <c r="E1070" s="425" t="s">
        <v>991</v>
      </c>
      <c r="F1070" s="425" t="s">
        <v>992</v>
      </c>
      <c r="G1070" s="425" t="s">
        <v>1054</v>
      </c>
      <c r="H1070" s="426" t="s">
        <v>699</v>
      </c>
      <c r="I1070" s="425" t="s">
        <v>1055</v>
      </c>
      <c r="J1070" s="425" t="s">
        <v>697</v>
      </c>
      <c r="K1070" s="425" t="s">
        <v>995</v>
      </c>
      <c r="L1070" s="425" t="s">
        <v>996</v>
      </c>
      <c r="M1070" s="425" t="s">
        <v>997</v>
      </c>
      <c r="N1070" s="425" t="s">
        <v>558</v>
      </c>
      <c r="O1070" s="425" t="s">
        <v>998</v>
      </c>
      <c r="P1070" s="425" t="s">
        <v>999</v>
      </c>
      <c r="Q1070" s="425" t="s">
        <v>1000</v>
      </c>
      <c r="R1070" s="425" t="s">
        <v>1001</v>
      </c>
      <c r="S1070" s="425" t="s">
        <v>1002</v>
      </c>
      <c r="T1070" s="423">
        <v>500</v>
      </c>
      <c r="U1070" s="423" t="s">
        <v>1041</v>
      </c>
      <c r="V1070" s="423">
        <v>50</v>
      </c>
      <c r="W1070" s="423">
        <v>1</v>
      </c>
      <c r="X1070" s="423">
        <v>10</v>
      </c>
      <c r="Y1070" s="423" t="s">
        <v>1041</v>
      </c>
      <c r="Z1070" s="423" t="s">
        <v>1059</v>
      </c>
      <c r="AD1070" s="423">
        <f>IF(ISNUMBER(MATCH(B1070,'FICHA SOLIC'!$AB$26:$AB$376,0)),1,0)</f>
        <v>1</v>
      </c>
      <c r="AE1070" s="423" t="str">
        <f t="shared" si="16"/>
        <v>PaineZU-1</v>
      </c>
    </row>
    <row r="1071" spans="1:31" x14ac:dyDescent="0.25">
      <c r="A1071" s="423">
        <v>1070</v>
      </c>
      <c r="B1071" s="423" t="s">
        <v>444</v>
      </c>
      <c r="C1071" s="423" t="s">
        <v>1242</v>
      </c>
      <c r="D1071" s="425" t="s">
        <v>990</v>
      </c>
      <c r="E1071" s="425" t="s">
        <v>991</v>
      </c>
      <c r="F1071" s="425" t="s">
        <v>992</v>
      </c>
      <c r="G1071" s="425" t="s">
        <v>1054</v>
      </c>
      <c r="H1071" s="426" t="s">
        <v>699</v>
      </c>
      <c r="I1071" s="425" t="s">
        <v>1055</v>
      </c>
      <c r="J1071" s="425" t="s">
        <v>697</v>
      </c>
      <c r="K1071" s="425" t="s">
        <v>995</v>
      </c>
      <c r="L1071" s="425" t="s">
        <v>996</v>
      </c>
      <c r="M1071" s="425" t="s">
        <v>997</v>
      </c>
      <c r="N1071" s="425" t="s">
        <v>558</v>
      </c>
      <c r="O1071" s="425" t="s">
        <v>998</v>
      </c>
      <c r="P1071" s="425" t="s">
        <v>999</v>
      </c>
      <c r="Q1071" s="425" t="s">
        <v>1000</v>
      </c>
      <c r="R1071" s="425" t="s">
        <v>1001</v>
      </c>
      <c r="S1071" s="425" t="s">
        <v>1002</v>
      </c>
      <c r="T1071" s="423">
        <v>500</v>
      </c>
      <c r="U1071" s="423" t="s">
        <v>1041</v>
      </c>
      <c r="V1071" s="423">
        <v>50</v>
      </c>
      <c r="W1071" s="423">
        <v>1.5</v>
      </c>
      <c r="X1071" s="423">
        <v>10</v>
      </c>
      <c r="Y1071" s="423" t="s">
        <v>1041</v>
      </c>
      <c r="Z1071" s="423" t="s">
        <v>1059</v>
      </c>
      <c r="AD1071" s="423">
        <f>IF(ISNUMBER(MATCH(B1071,'FICHA SOLIC'!$AB$26:$AB$376,0)),1,0)</f>
        <v>1</v>
      </c>
      <c r="AE1071" s="423" t="str">
        <f t="shared" si="16"/>
        <v>PaineZU-2</v>
      </c>
    </row>
    <row r="1072" spans="1:31" x14ac:dyDescent="0.25">
      <c r="A1072" s="423">
        <v>1071</v>
      </c>
      <c r="B1072" s="423" t="s">
        <v>444</v>
      </c>
      <c r="C1072" s="423" t="s">
        <v>1243</v>
      </c>
      <c r="D1072" s="425" t="s">
        <v>990</v>
      </c>
      <c r="E1072" s="425" t="s">
        <v>991</v>
      </c>
      <c r="F1072" s="425" t="s">
        <v>992</v>
      </c>
      <c r="G1072" s="425" t="s">
        <v>1054</v>
      </c>
      <c r="H1072" s="426" t="s">
        <v>699</v>
      </c>
      <c r="I1072" s="425" t="s">
        <v>1055</v>
      </c>
      <c r="J1072" s="425" t="s">
        <v>697</v>
      </c>
      <c r="K1072" s="425" t="s">
        <v>995</v>
      </c>
      <c r="L1072" s="425" t="s">
        <v>996</v>
      </c>
      <c r="M1072" s="425" t="s">
        <v>997</v>
      </c>
      <c r="N1072" s="425" t="s">
        <v>558</v>
      </c>
      <c r="O1072" s="425" t="s">
        <v>998</v>
      </c>
      <c r="P1072" s="425" t="s">
        <v>999</v>
      </c>
      <c r="Q1072" s="425" t="s">
        <v>1000</v>
      </c>
      <c r="R1072" s="425" t="s">
        <v>1001</v>
      </c>
      <c r="S1072" s="425" t="s">
        <v>1002</v>
      </c>
      <c r="T1072" s="423">
        <v>200</v>
      </c>
      <c r="U1072" s="423" t="s">
        <v>1041</v>
      </c>
      <c r="V1072" s="423">
        <v>60</v>
      </c>
      <c r="W1072" s="423">
        <v>1.2</v>
      </c>
      <c r="X1072" s="423">
        <v>7</v>
      </c>
      <c r="Y1072" s="423" t="s">
        <v>1041</v>
      </c>
      <c r="Z1072" s="423" t="s">
        <v>1057</v>
      </c>
      <c r="AD1072" s="423">
        <f>IF(ISNUMBER(MATCH(B1072,'FICHA SOLIC'!$AB$26:$AB$376,0)),1,0)</f>
        <v>1</v>
      </c>
      <c r="AE1072" s="423" t="str">
        <f t="shared" si="16"/>
        <v>PaineZU-3</v>
      </c>
    </row>
    <row r="1073" spans="1:31" x14ac:dyDescent="0.25">
      <c r="A1073" s="423">
        <v>1072</v>
      </c>
      <c r="B1073" s="423" t="s">
        <v>444</v>
      </c>
      <c r="C1073" s="423" t="s">
        <v>1244</v>
      </c>
      <c r="D1073" s="425" t="s">
        <v>990</v>
      </c>
      <c r="E1073" s="425" t="s">
        <v>991</v>
      </c>
      <c r="F1073" s="425" t="s">
        <v>992</v>
      </c>
      <c r="G1073" s="425" t="s">
        <v>1054</v>
      </c>
      <c r="H1073" s="426" t="s">
        <v>699</v>
      </c>
      <c r="I1073" s="425" t="s">
        <v>1055</v>
      </c>
      <c r="J1073" s="425" t="s">
        <v>697</v>
      </c>
      <c r="K1073" s="425" t="s">
        <v>995</v>
      </c>
      <c r="L1073" s="425" t="s">
        <v>996</v>
      </c>
      <c r="M1073" s="425" t="s">
        <v>997</v>
      </c>
      <c r="N1073" s="425" t="s">
        <v>558</v>
      </c>
      <c r="O1073" s="425" t="s">
        <v>998</v>
      </c>
      <c r="P1073" s="425" t="s">
        <v>999</v>
      </c>
      <c r="Q1073" s="425" t="s">
        <v>1000</v>
      </c>
      <c r="R1073" s="425" t="s">
        <v>1001</v>
      </c>
      <c r="S1073" s="425" t="s">
        <v>1002</v>
      </c>
      <c r="T1073" s="423">
        <v>350</v>
      </c>
      <c r="U1073" s="423" t="s">
        <v>1041</v>
      </c>
      <c r="V1073" s="423">
        <v>60</v>
      </c>
      <c r="W1073" s="423">
        <v>1.2</v>
      </c>
      <c r="X1073" s="423">
        <v>8</v>
      </c>
      <c r="Y1073" s="423" t="s">
        <v>1041</v>
      </c>
      <c r="Z1073" s="423" t="s">
        <v>1057</v>
      </c>
      <c r="AD1073" s="423">
        <f>IF(ISNUMBER(MATCH(B1073,'FICHA SOLIC'!$AB$26:$AB$376,0)),1,0)</f>
        <v>1</v>
      </c>
      <c r="AE1073" s="423" t="str">
        <f t="shared" si="16"/>
        <v>PaineZU-4</v>
      </c>
    </row>
    <row r="1074" spans="1:31" x14ac:dyDescent="0.25">
      <c r="A1074" s="423">
        <v>1073</v>
      </c>
      <c r="B1074" s="423" t="s">
        <v>444</v>
      </c>
      <c r="C1074" s="423" t="s">
        <v>1245</v>
      </c>
      <c r="D1074" s="425" t="s">
        <v>990</v>
      </c>
      <c r="E1074" s="425" t="s">
        <v>991</v>
      </c>
      <c r="F1074" s="425" t="s">
        <v>992</v>
      </c>
      <c r="G1074" s="425" t="s">
        <v>1054</v>
      </c>
      <c r="H1074" s="426" t="s">
        <v>699</v>
      </c>
      <c r="I1074" s="425" t="s">
        <v>1055</v>
      </c>
      <c r="J1074" s="425" t="s">
        <v>697</v>
      </c>
      <c r="K1074" s="425" t="s">
        <v>995</v>
      </c>
      <c r="L1074" s="425" t="s">
        <v>996</v>
      </c>
      <c r="M1074" s="425" t="s">
        <v>997</v>
      </c>
      <c r="N1074" s="425" t="s">
        <v>558</v>
      </c>
      <c r="O1074" s="425" t="s">
        <v>998</v>
      </c>
      <c r="P1074" s="425" t="s">
        <v>999</v>
      </c>
      <c r="Q1074" s="425" t="s">
        <v>1000</v>
      </c>
      <c r="R1074" s="425" t="s">
        <v>1001</v>
      </c>
      <c r="S1074" s="425" t="s">
        <v>1002</v>
      </c>
      <c r="T1074" s="423">
        <v>800</v>
      </c>
      <c r="U1074" s="423" t="s">
        <v>1041</v>
      </c>
      <c r="V1074" s="423">
        <v>60</v>
      </c>
      <c r="W1074" s="423">
        <v>1.2</v>
      </c>
      <c r="X1074" s="423">
        <v>8</v>
      </c>
      <c r="Y1074" s="423" t="s">
        <v>1041</v>
      </c>
      <c r="Z1074" s="423" t="s">
        <v>1057</v>
      </c>
      <c r="AD1074" s="423">
        <f>IF(ISNUMBER(MATCH(B1074,'FICHA SOLIC'!$AB$26:$AB$376,0)),1,0)</f>
        <v>1</v>
      </c>
      <c r="AE1074" s="423" t="str">
        <f t="shared" si="16"/>
        <v>PaineZU-5</v>
      </c>
    </row>
    <row r="1075" spans="1:31" x14ac:dyDescent="0.25">
      <c r="A1075" s="423">
        <v>1074</v>
      </c>
      <c r="B1075" s="423" t="s">
        <v>444</v>
      </c>
      <c r="C1075" s="423" t="s">
        <v>1246</v>
      </c>
      <c r="D1075" s="425" t="s">
        <v>990</v>
      </c>
      <c r="E1075" s="425" t="s">
        <v>991</v>
      </c>
      <c r="F1075" s="425" t="s">
        <v>992</v>
      </c>
      <c r="G1075" s="425" t="s">
        <v>1054</v>
      </c>
      <c r="H1075" s="426" t="s">
        <v>699</v>
      </c>
      <c r="I1075" s="425" t="s">
        <v>1055</v>
      </c>
      <c r="J1075" s="425" t="s">
        <v>697</v>
      </c>
      <c r="K1075" s="425" t="s">
        <v>995</v>
      </c>
      <c r="L1075" s="425" t="s">
        <v>996</v>
      </c>
      <c r="M1075" s="425" t="s">
        <v>997</v>
      </c>
      <c r="N1075" s="425" t="s">
        <v>558</v>
      </c>
      <c r="O1075" s="425" t="s">
        <v>998</v>
      </c>
      <c r="P1075" s="425" t="s">
        <v>999</v>
      </c>
      <c r="Q1075" s="425" t="s">
        <v>1000</v>
      </c>
      <c r="R1075" s="425" t="s">
        <v>1001</v>
      </c>
      <c r="S1075" s="425" t="s">
        <v>1002</v>
      </c>
      <c r="T1075" s="423">
        <v>500</v>
      </c>
      <c r="U1075" s="423" t="s">
        <v>1041</v>
      </c>
      <c r="V1075" s="423">
        <v>60</v>
      </c>
      <c r="W1075" s="423">
        <v>1.2</v>
      </c>
      <c r="X1075" s="423">
        <v>8</v>
      </c>
      <c r="Y1075" s="423" t="s">
        <v>1041</v>
      </c>
      <c r="Z1075" s="423" t="s">
        <v>1057</v>
      </c>
      <c r="AD1075" s="423">
        <f>IF(ISNUMBER(MATCH(B1075,'FICHA SOLIC'!$AB$26:$AB$376,0)),1,0)</f>
        <v>1</v>
      </c>
      <c r="AE1075" s="423" t="str">
        <f t="shared" si="16"/>
        <v>PaineZU-6</v>
      </c>
    </row>
    <row r="1076" spans="1:31" x14ac:dyDescent="0.25">
      <c r="A1076" s="423">
        <v>1075</v>
      </c>
      <c r="B1076" s="423" t="s">
        <v>444</v>
      </c>
      <c r="C1076" s="423" t="s">
        <v>1247</v>
      </c>
      <c r="D1076" s="425" t="s">
        <v>990</v>
      </c>
      <c r="E1076" s="425" t="s">
        <v>991</v>
      </c>
      <c r="F1076" s="425" t="s">
        <v>992</v>
      </c>
      <c r="G1076" s="425" t="s">
        <v>1054</v>
      </c>
      <c r="H1076" s="426" t="s">
        <v>699</v>
      </c>
      <c r="I1076" s="425" t="s">
        <v>1055</v>
      </c>
      <c r="J1076" s="425" t="s">
        <v>697</v>
      </c>
      <c r="K1076" s="425" t="s">
        <v>995</v>
      </c>
      <c r="L1076" s="425" t="s">
        <v>996</v>
      </c>
      <c r="M1076" s="425" t="s">
        <v>997</v>
      </c>
      <c r="N1076" s="425" t="s">
        <v>558</v>
      </c>
      <c r="O1076" s="425" t="s">
        <v>998</v>
      </c>
      <c r="P1076" s="425" t="s">
        <v>999</v>
      </c>
      <c r="Q1076" s="425" t="s">
        <v>1000</v>
      </c>
      <c r="R1076" s="425" t="s">
        <v>1001</v>
      </c>
      <c r="S1076" s="425" t="s">
        <v>1002</v>
      </c>
      <c r="T1076" s="423">
        <v>800</v>
      </c>
      <c r="U1076" s="423" t="s">
        <v>1041</v>
      </c>
      <c r="V1076" s="423">
        <v>35</v>
      </c>
      <c r="W1076" s="423">
        <v>0.35</v>
      </c>
      <c r="X1076" s="423">
        <v>7.5</v>
      </c>
      <c r="Y1076" s="423" t="s">
        <v>1041</v>
      </c>
      <c r="Z1076" s="423" t="s">
        <v>1058</v>
      </c>
      <c r="AD1076" s="423">
        <f>IF(ISNUMBER(MATCH(B1076,'FICHA SOLIC'!$AB$26:$AB$376,0)),1,0)</f>
        <v>1</v>
      </c>
      <c r="AE1076" s="423" t="str">
        <f t="shared" si="16"/>
        <v>PaineZU-7</v>
      </c>
    </row>
    <row r="1077" spans="1:31" x14ac:dyDescent="0.25">
      <c r="A1077" s="423">
        <v>1076</v>
      </c>
      <c r="B1077" s="423" t="s">
        <v>444</v>
      </c>
      <c r="C1077" s="423" t="s">
        <v>1248</v>
      </c>
      <c r="D1077" s="425" t="s">
        <v>990</v>
      </c>
      <c r="E1077" s="425" t="s">
        <v>991</v>
      </c>
      <c r="F1077" s="425" t="s">
        <v>992</v>
      </c>
      <c r="G1077" s="425" t="s">
        <v>1054</v>
      </c>
      <c r="H1077" s="426" t="s">
        <v>699</v>
      </c>
      <c r="I1077" s="425" t="s">
        <v>1055</v>
      </c>
      <c r="J1077" s="425" t="s">
        <v>697</v>
      </c>
      <c r="K1077" s="425" t="s">
        <v>995</v>
      </c>
      <c r="L1077" s="425" t="s">
        <v>996</v>
      </c>
      <c r="M1077" s="425" t="s">
        <v>997</v>
      </c>
      <c r="N1077" s="425" t="s">
        <v>558</v>
      </c>
      <c r="O1077" s="425" t="s">
        <v>998</v>
      </c>
      <c r="P1077" s="425" t="s">
        <v>999</v>
      </c>
      <c r="Q1077" s="425" t="s">
        <v>1000</v>
      </c>
      <c r="R1077" s="425" t="s">
        <v>1001</v>
      </c>
      <c r="S1077" s="425" t="s">
        <v>1002</v>
      </c>
      <c r="T1077" s="423">
        <v>800</v>
      </c>
      <c r="U1077" s="423" t="s">
        <v>1041</v>
      </c>
      <c r="V1077" s="423">
        <v>35</v>
      </c>
      <c r="W1077" s="423">
        <v>0.35</v>
      </c>
      <c r="X1077" s="423">
        <v>10</v>
      </c>
      <c r="Y1077" s="423" t="s">
        <v>1041</v>
      </c>
      <c r="Z1077" s="423" t="s">
        <v>1058</v>
      </c>
      <c r="AD1077" s="423">
        <f>IF(ISNUMBER(MATCH(B1077,'FICHA SOLIC'!$AB$26:$AB$376,0)),1,0)</f>
        <v>1</v>
      </c>
      <c r="AE1077" s="423" t="str">
        <f t="shared" si="16"/>
        <v>PaineZU-8</v>
      </c>
    </row>
    <row r="1078" spans="1:31" x14ac:dyDescent="0.25">
      <c r="A1078" s="423">
        <v>1077</v>
      </c>
      <c r="B1078" s="423" t="s">
        <v>212</v>
      </c>
      <c r="C1078" s="423" t="s">
        <v>1041</v>
      </c>
      <c r="D1078" s="973" t="s">
        <v>990</v>
      </c>
      <c r="E1078" s="973" t="s">
        <v>991</v>
      </c>
      <c r="F1078" s="973" t="s">
        <v>992</v>
      </c>
      <c r="G1078" s="973" t="s">
        <v>1997</v>
      </c>
      <c r="H1078" s="973" t="s">
        <v>1998</v>
      </c>
      <c r="I1078" s="973" t="s">
        <v>1999</v>
      </c>
      <c r="J1078" s="973" t="s">
        <v>697</v>
      </c>
      <c r="K1078" s="973" t="s">
        <v>995</v>
      </c>
      <c r="L1078" s="973" t="s">
        <v>996</v>
      </c>
      <c r="M1078" s="973" t="s">
        <v>2000</v>
      </c>
      <c r="N1078" s="973" t="s">
        <v>2001</v>
      </c>
      <c r="O1078" s="973" t="s">
        <v>1971</v>
      </c>
      <c r="P1078" s="973" t="s">
        <v>999</v>
      </c>
      <c r="Q1078" s="973" t="s">
        <v>1000</v>
      </c>
      <c r="R1078" s="973" t="s">
        <v>1001</v>
      </c>
      <c r="S1078" s="973" t="s">
        <v>1002</v>
      </c>
      <c r="T1078" s="423" t="s">
        <v>1041</v>
      </c>
      <c r="U1078" s="423" t="s">
        <v>1041</v>
      </c>
      <c r="V1078" s="423" t="s">
        <v>1041</v>
      </c>
      <c r="W1078" s="423" t="s">
        <v>1041</v>
      </c>
      <c r="X1078" s="423" t="s">
        <v>1041</v>
      </c>
      <c r="Y1078" s="423" t="s">
        <v>1041</v>
      </c>
      <c r="Z1078" s="423" t="s">
        <v>1041</v>
      </c>
      <c r="AD1078" s="423">
        <f>IF(ISNUMBER(MATCH(B1078,'FICHA SOLIC'!$AB$26:$AB$376,0)),1,0)</f>
        <v>1</v>
      </c>
      <c r="AE1078" s="423" t="str">
        <f t="shared" si="16"/>
        <v>PalmillaOGUC</v>
      </c>
    </row>
    <row r="1079" spans="1:31" x14ac:dyDescent="0.25">
      <c r="A1079" s="423">
        <v>1078</v>
      </c>
      <c r="B1079" s="423" t="s">
        <v>423</v>
      </c>
      <c r="C1079" s="423" t="s">
        <v>1060</v>
      </c>
      <c r="D1079" s="425" t="s">
        <v>990</v>
      </c>
      <c r="E1079" s="425" t="s">
        <v>991</v>
      </c>
      <c r="F1079" s="425" t="s">
        <v>992</v>
      </c>
      <c r="G1079" s="425" t="s">
        <v>1054</v>
      </c>
      <c r="H1079" s="426" t="s">
        <v>699</v>
      </c>
      <c r="I1079" s="425" t="s">
        <v>1055</v>
      </c>
      <c r="J1079" s="425" t="s">
        <v>697</v>
      </c>
      <c r="K1079" s="425" t="s">
        <v>995</v>
      </c>
      <c r="L1079" s="425" t="s">
        <v>996</v>
      </c>
      <c r="M1079" s="425" t="s">
        <v>997</v>
      </c>
      <c r="N1079" s="425" t="s">
        <v>558</v>
      </c>
      <c r="O1079" s="425" t="s">
        <v>998</v>
      </c>
      <c r="P1079" s="425" t="s">
        <v>999</v>
      </c>
      <c r="Q1079" s="425" t="s">
        <v>1000</v>
      </c>
      <c r="R1079" s="425" t="s">
        <v>1001</v>
      </c>
      <c r="S1079" s="425" t="s">
        <v>1002</v>
      </c>
      <c r="T1079" s="423">
        <v>300</v>
      </c>
      <c r="U1079" s="423">
        <v>10</v>
      </c>
      <c r="V1079" s="423">
        <v>100</v>
      </c>
      <c r="W1079" s="423" t="s">
        <v>1041</v>
      </c>
      <c r="X1079" s="423" t="s">
        <v>1026</v>
      </c>
      <c r="Y1079" s="423" t="s">
        <v>1041</v>
      </c>
      <c r="Z1079" s="423" t="s">
        <v>1059</v>
      </c>
      <c r="AD1079" s="423">
        <f>IF(ISNUMBER(MATCH(B1079,'FICHA SOLIC'!$AB$26:$AB$376,0)),1,0)</f>
        <v>1</v>
      </c>
      <c r="AE1079" s="423" t="str">
        <f t="shared" si="16"/>
        <v>Pedro Aguirre CerdaC</v>
      </c>
    </row>
    <row r="1080" spans="1:31" x14ac:dyDescent="0.25">
      <c r="A1080" s="423">
        <v>1079</v>
      </c>
      <c r="B1080" s="423" t="s">
        <v>423</v>
      </c>
      <c r="C1080" s="423" t="s">
        <v>1179</v>
      </c>
      <c r="D1080" s="425" t="s">
        <v>990</v>
      </c>
      <c r="E1080" s="425" t="s">
        <v>991</v>
      </c>
      <c r="F1080" s="425" t="s">
        <v>992</v>
      </c>
      <c r="G1080" s="425" t="s">
        <v>1054</v>
      </c>
      <c r="H1080" s="426" t="s">
        <v>699</v>
      </c>
      <c r="I1080" s="425" t="s">
        <v>1055</v>
      </c>
      <c r="J1080" s="425" t="s">
        <v>697</v>
      </c>
      <c r="K1080" s="425" t="s">
        <v>995</v>
      </c>
      <c r="L1080" s="425" t="s">
        <v>996</v>
      </c>
      <c r="M1080" s="425" t="s">
        <v>997</v>
      </c>
      <c r="N1080" s="425" t="s">
        <v>558</v>
      </c>
      <c r="O1080" s="425" t="s">
        <v>998</v>
      </c>
      <c r="P1080" s="425" t="s">
        <v>999</v>
      </c>
      <c r="Q1080" s="425" t="s">
        <v>1000</v>
      </c>
      <c r="R1080" s="425" t="s">
        <v>1001</v>
      </c>
      <c r="S1080" s="425" t="s">
        <v>1002</v>
      </c>
      <c r="T1080" s="423">
        <v>250</v>
      </c>
      <c r="U1080" s="423">
        <v>10</v>
      </c>
      <c r="V1080" s="423">
        <v>60</v>
      </c>
      <c r="W1080" s="423" t="s">
        <v>1041</v>
      </c>
      <c r="X1080" s="423">
        <v>12</v>
      </c>
      <c r="Y1080" s="423" t="s">
        <v>1041</v>
      </c>
      <c r="Z1080" s="423" t="s">
        <v>1059</v>
      </c>
      <c r="AD1080" s="423">
        <f>IF(ISNUMBER(MATCH(B1080,'FICHA SOLIC'!$AB$26:$AB$376,0)),1,0)</f>
        <v>1</v>
      </c>
      <c r="AE1080" s="423" t="str">
        <f t="shared" si="16"/>
        <v>Pedro Aguirre CerdaD</v>
      </c>
    </row>
    <row r="1081" spans="1:31" x14ac:dyDescent="0.25">
      <c r="A1081" s="423">
        <v>1080</v>
      </c>
      <c r="B1081" s="423" t="s">
        <v>423</v>
      </c>
      <c r="C1081" s="423" t="s">
        <v>1250</v>
      </c>
      <c r="D1081" s="425" t="s">
        <v>990</v>
      </c>
      <c r="E1081" s="425" t="s">
        <v>991</v>
      </c>
      <c r="F1081" s="425" t="s">
        <v>992</v>
      </c>
      <c r="G1081" s="425" t="s">
        <v>1054</v>
      </c>
      <c r="H1081" s="426" t="s">
        <v>699</v>
      </c>
      <c r="I1081" s="425" t="s">
        <v>1055</v>
      </c>
      <c r="J1081" s="425" t="s">
        <v>697</v>
      </c>
      <c r="K1081" s="425" t="s">
        <v>995</v>
      </c>
      <c r="L1081" s="425" t="s">
        <v>996</v>
      </c>
      <c r="M1081" s="425" t="s">
        <v>997</v>
      </c>
      <c r="N1081" s="425" t="s">
        <v>558</v>
      </c>
      <c r="O1081" s="425" t="s">
        <v>998</v>
      </c>
      <c r="P1081" s="425" t="s">
        <v>999</v>
      </c>
      <c r="Q1081" s="425" t="s">
        <v>1000</v>
      </c>
      <c r="R1081" s="425" t="s">
        <v>1001</v>
      </c>
      <c r="S1081" s="425" t="s">
        <v>1002</v>
      </c>
      <c r="T1081" s="423">
        <v>300</v>
      </c>
      <c r="U1081" s="423">
        <v>10</v>
      </c>
      <c r="V1081" s="423">
        <v>60</v>
      </c>
      <c r="W1081" s="423" t="s">
        <v>1041</v>
      </c>
      <c r="X1081" s="423" t="s">
        <v>1026</v>
      </c>
      <c r="Y1081" s="423" t="s">
        <v>1041</v>
      </c>
      <c r="Z1081" s="423" t="s">
        <v>1059</v>
      </c>
      <c r="AD1081" s="423">
        <f>IF(ISNUMBER(MATCH(B1081,'FICHA SOLIC'!$AB$26:$AB$376,0)),1,0)</f>
        <v>1</v>
      </c>
      <c r="AE1081" s="423" t="str">
        <f t="shared" si="16"/>
        <v>Pedro Aguirre CerdaE</v>
      </c>
    </row>
    <row r="1082" spans="1:31" x14ac:dyDescent="0.25">
      <c r="A1082" s="423">
        <v>1081</v>
      </c>
      <c r="B1082" s="423" t="s">
        <v>423</v>
      </c>
      <c r="C1082" s="423" t="s">
        <v>1061</v>
      </c>
      <c r="D1082" s="425" t="s">
        <v>990</v>
      </c>
      <c r="E1082" s="425" t="s">
        <v>991</v>
      </c>
      <c r="F1082" s="425" t="s">
        <v>992</v>
      </c>
      <c r="G1082" s="425" t="s">
        <v>1054</v>
      </c>
      <c r="H1082" s="426" t="s">
        <v>699</v>
      </c>
      <c r="I1082" s="425" t="s">
        <v>1055</v>
      </c>
      <c r="J1082" s="425" t="s">
        <v>697</v>
      </c>
      <c r="K1082" s="425" t="s">
        <v>995</v>
      </c>
      <c r="L1082" s="425" t="s">
        <v>996</v>
      </c>
      <c r="M1082" s="425" t="s">
        <v>997</v>
      </c>
      <c r="N1082" s="425" t="s">
        <v>558</v>
      </c>
      <c r="O1082" s="425" t="s">
        <v>998</v>
      </c>
      <c r="P1082" s="425" t="s">
        <v>999</v>
      </c>
      <c r="Q1082" s="425" t="s">
        <v>1000</v>
      </c>
      <c r="R1082" s="425" t="s">
        <v>1001</v>
      </c>
      <c r="S1082" s="425" t="s">
        <v>1002</v>
      </c>
      <c r="T1082" s="423">
        <v>160</v>
      </c>
      <c r="U1082" s="423">
        <v>8</v>
      </c>
      <c r="V1082" s="423">
        <v>60</v>
      </c>
      <c r="W1082" s="423" t="s">
        <v>1041</v>
      </c>
      <c r="X1082" s="423">
        <v>12</v>
      </c>
      <c r="Y1082" s="423" t="s">
        <v>1041</v>
      </c>
      <c r="Z1082" s="423" t="s">
        <v>1058</v>
      </c>
      <c r="AD1082" s="423">
        <f>IF(ISNUMBER(MATCH(B1082,'FICHA SOLIC'!$AB$26:$AB$376,0)),1,0)</f>
        <v>1</v>
      </c>
      <c r="AE1082" s="423" t="str">
        <f t="shared" si="16"/>
        <v>Pedro Aguirre CerdaH</v>
      </c>
    </row>
    <row r="1083" spans="1:31" x14ac:dyDescent="0.25">
      <c r="A1083" s="423">
        <v>1082</v>
      </c>
      <c r="B1083" s="423" t="s">
        <v>423</v>
      </c>
      <c r="C1083" s="423" t="s">
        <v>1274</v>
      </c>
      <c r="D1083" s="425" t="s">
        <v>990</v>
      </c>
      <c r="E1083" s="425" t="s">
        <v>991</v>
      </c>
      <c r="F1083" s="425" t="s">
        <v>992</v>
      </c>
      <c r="G1083" s="425" t="s">
        <v>1054</v>
      </c>
      <c r="H1083" s="426" t="s">
        <v>699</v>
      </c>
      <c r="I1083" s="425" t="s">
        <v>1055</v>
      </c>
      <c r="J1083" s="425" t="s">
        <v>697</v>
      </c>
      <c r="K1083" s="425" t="s">
        <v>995</v>
      </c>
      <c r="L1083" s="425" t="s">
        <v>996</v>
      </c>
      <c r="M1083" s="425" t="s">
        <v>997</v>
      </c>
      <c r="N1083" s="425" t="s">
        <v>558</v>
      </c>
      <c r="O1083" s="425" t="s">
        <v>998</v>
      </c>
      <c r="P1083" s="425" t="s">
        <v>999</v>
      </c>
      <c r="Q1083" s="425" t="s">
        <v>1000</v>
      </c>
      <c r="R1083" s="425" t="s">
        <v>1001</v>
      </c>
      <c r="S1083" s="425" t="s">
        <v>1002</v>
      </c>
      <c r="T1083" s="423">
        <v>160</v>
      </c>
      <c r="U1083" s="423">
        <v>8</v>
      </c>
      <c r="V1083" s="423">
        <v>60</v>
      </c>
      <c r="W1083" s="423" t="s">
        <v>1041</v>
      </c>
      <c r="X1083" s="423" t="s">
        <v>1041</v>
      </c>
      <c r="Y1083" s="423" t="s">
        <v>1041</v>
      </c>
      <c r="Z1083" s="423" t="s">
        <v>1059</v>
      </c>
      <c r="AD1083" s="423">
        <f>IF(ISNUMBER(MATCH(B1083,'FICHA SOLIC'!$AB$26:$AB$376,0)),1,0)</f>
        <v>1</v>
      </c>
      <c r="AE1083" s="423" t="str">
        <f t="shared" si="16"/>
        <v>Pedro Aguirre CerdaI-1</v>
      </c>
    </row>
    <row r="1084" spans="1:31" x14ac:dyDescent="0.25">
      <c r="A1084" s="423">
        <v>1083</v>
      </c>
      <c r="B1084" s="423" t="s">
        <v>423</v>
      </c>
      <c r="C1084" s="423" t="s">
        <v>1275</v>
      </c>
      <c r="D1084" s="425" t="s">
        <v>990</v>
      </c>
      <c r="E1084" s="425" t="s">
        <v>991</v>
      </c>
      <c r="F1084" s="425" t="s">
        <v>992</v>
      </c>
      <c r="G1084" s="425" t="s">
        <v>1054</v>
      </c>
      <c r="H1084" s="426" t="s">
        <v>699</v>
      </c>
      <c r="I1084" s="425" t="s">
        <v>1055</v>
      </c>
      <c r="J1084" s="425" t="s">
        <v>697</v>
      </c>
      <c r="K1084" s="425" t="s">
        <v>995</v>
      </c>
      <c r="L1084" s="425" t="s">
        <v>996</v>
      </c>
      <c r="M1084" s="425" t="s">
        <v>997</v>
      </c>
      <c r="N1084" s="425" t="s">
        <v>558</v>
      </c>
      <c r="O1084" s="425" t="s">
        <v>998</v>
      </c>
      <c r="P1084" s="425" t="s">
        <v>999</v>
      </c>
      <c r="Q1084" s="425" t="s">
        <v>1000</v>
      </c>
      <c r="R1084" s="425" t="s">
        <v>1001</v>
      </c>
      <c r="S1084" s="425" t="s">
        <v>1002</v>
      </c>
      <c r="T1084" s="423">
        <v>120</v>
      </c>
      <c r="U1084" s="423">
        <v>7</v>
      </c>
      <c r="V1084" s="423">
        <v>80</v>
      </c>
      <c r="W1084" s="423">
        <v>1.5</v>
      </c>
      <c r="X1084" s="423">
        <v>10.5</v>
      </c>
      <c r="Y1084" s="423" t="s">
        <v>1041</v>
      </c>
      <c r="Z1084" s="423" t="s">
        <v>1058</v>
      </c>
      <c r="AD1084" s="423">
        <f>IF(ISNUMBER(MATCH(B1084,'FICHA SOLIC'!$AB$26:$AB$376,0)),1,0)</f>
        <v>1</v>
      </c>
      <c r="AE1084" s="423" t="str">
        <f t="shared" si="16"/>
        <v>Pedro Aguirre CerdaI-2</v>
      </c>
    </row>
    <row r="1085" spans="1:31" x14ac:dyDescent="0.25">
      <c r="A1085" s="423">
        <v>1084</v>
      </c>
      <c r="B1085" s="423" t="s">
        <v>423</v>
      </c>
      <c r="C1085" s="423" t="s">
        <v>1276</v>
      </c>
      <c r="D1085" s="425" t="s">
        <v>990</v>
      </c>
      <c r="E1085" s="425" t="s">
        <v>991</v>
      </c>
      <c r="F1085" s="425" t="s">
        <v>992</v>
      </c>
      <c r="G1085" s="425" t="s">
        <v>1054</v>
      </c>
      <c r="H1085" s="426" t="s">
        <v>699</v>
      </c>
      <c r="I1085" s="425" t="s">
        <v>1055</v>
      </c>
      <c r="J1085" s="425" t="s">
        <v>697</v>
      </c>
      <c r="K1085" s="425" t="s">
        <v>995</v>
      </c>
      <c r="L1085" s="425" t="s">
        <v>996</v>
      </c>
      <c r="M1085" s="425" t="s">
        <v>997</v>
      </c>
      <c r="N1085" s="425" t="s">
        <v>558</v>
      </c>
      <c r="O1085" s="425" t="s">
        <v>998</v>
      </c>
      <c r="P1085" s="425" t="s">
        <v>999</v>
      </c>
      <c r="Q1085" s="425" t="s">
        <v>1000</v>
      </c>
      <c r="R1085" s="425" t="s">
        <v>1001</v>
      </c>
      <c r="S1085" s="425" t="s">
        <v>1002</v>
      </c>
      <c r="T1085" s="423">
        <v>200</v>
      </c>
      <c r="U1085" s="423">
        <v>10</v>
      </c>
      <c r="V1085" s="423">
        <v>80</v>
      </c>
      <c r="W1085" s="423">
        <v>1.5</v>
      </c>
      <c r="X1085" s="423">
        <v>10.5</v>
      </c>
      <c r="Y1085" s="423" t="s">
        <v>1041</v>
      </c>
      <c r="Z1085" s="423" t="s">
        <v>1059</v>
      </c>
      <c r="AD1085" s="423">
        <f>IF(ISNUMBER(MATCH(B1085,'FICHA SOLIC'!$AB$26:$AB$376,0)),1,0)</f>
        <v>1</v>
      </c>
      <c r="AE1085" s="423" t="str">
        <f t="shared" si="16"/>
        <v>Pedro Aguirre CerdaI-3</v>
      </c>
    </row>
    <row r="1086" spans="1:31" x14ac:dyDescent="0.25">
      <c r="A1086" s="423">
        <v>1085</v>
      </c>
      <c r="B1086" s="423" t="s">
        <v>423</v>
      </c>
      <c r="C1086" s="423" t="s">
        <v>1185</v>
      </c>
      <c r="D1086" s="425" t="s">
        <v>990</v>
      </c>
      <c r="E1086" s="425" t="s">
        <v>991</v>
      </c>
      <c r="F1086" s="425" t="s">
        <v>992</v>
      </c>
      <c r="G1086" s="425" t="s">
        <v>1054</v>
      </c>
      <c r="H1086" s="426" t="s">
        <v>699</v>
      </c>
      <c r="I1086" s="425" t="s">
        <v>1055</v>
      </c>
      <c r="J1086" s="425" t="s">
        <v>697</v>
      </c>
      <c r="K1086" s="425" t="s">
        <v>995</v>
      </c>
      <c r="L1086" s="425" t="s">
        <v>996</v>
      </c>
      <c r="M1086" s="425" t="s">
        <v>997</v>
      </c>
      <c r="N1086" s="425" t="s">
        <v>558</v>
      </c>
      <c r="O1086" s="425" t="s">
        <v>998</v>
      </c>
      <c r="P1086" s="425" t="s">
        <v>999</v>
      </c>
      <c r="Q1086" s="425" t="s">
        <v>1000</v>
      </c>
      <c r="R1086" s="425" t="s">
        <v>1001</v>
      </c>
      <c r="S1086" s="425" t="s">
        <v>1002</v>
      </c>
      <c r="T1086" s="423">
        <v>300</v>
      </c>
      <c r="U1086" s="423">
        <v>12</v>
      </c>
      <c r="V1086" s="423">
        <v>70</v>
      </c>
      <c r="W1086" s="423" t="s">
        <v>1041</v>
      </c>
      <c r="X1086" s="423">
        <v>14</v>
      </c>
      <c r="Y1086" s="423" t="s">
        <v>1041</v>
      </c>
      <c r="Z1086" s="423" t="s">
        <v>1059</v>
      </c>
      <c r="AD1086" s="423">
        <f>IF(ISNUMBER(MATCH(B1086,'FICHA SOLIC'!$AB$26:$AB$376,0)),1,0)</f>
        <v>1</v>
      </c>
      <c r="AE1086" s="423" t="str">
        <f t="shared" si="16"/>
        <v>Pedro Aguirre CerdaM</v>
      </c>
    </row>
    <row r="1087" spans="1:31" x14ac:dyDescent="0.25">
      <c r="A1087" s="423">
        <v>1086</v>
      </c>
      <c r="B1087" s="423" t="s">
        <v>423</v>
      </c>
      <c r="C1087" s="423" t="s">
        <v>1063</v>
      </c>
      <c r="D1087" s="425" t="s">
        <v>990</v>
      </c>
      <c r="E1087" s="425" t="s">
        <v>991</v>
      </c>
      <c r="F1087" s="425" t="s">
        <v>992</v>
      </c>
      <c r="G1087" s="425" t="s">
        <v>1054</v>
      </c>
      <c r="H1087" s="426" t="s">
        <v>699</v>
      </c>
      <c r="I1087" s="425" t="s">
        <v>1055</v>
      </c>
      <c r="J1087" s="425" t="s">
        <v>697</v>
      </c>
      <c r="K1087" s="425" t="s">
        <v>995</v>
      </c>
      <c r="L1087" s="425" t="s">
        <v>996</v>
      </c>
      <c r="M1087" s="425" t="s">
        <v>997</v>
      </c>
      <c r="N1087" s="425" t="s">
        <v>558</v>
      </c>
      <c r="O1087" s="425" t="s">
        <v>998</v>
      </c>
      <c r="P1087" s="425" t="s">
        <v>999</v>
      </c>
      <c r="Q1087" s="425" t="s">
        <v>1000</v>
      </c>
      <c r="R1087" s="425" t="s">
        <v>1001</v>
      </c>
      <c r="S1087" s="425" t="s">
        <v>1002</v>
      </c>
      <c r="T1087" s="423">
        <v>160</v>
      </c>
      <c r="U1087" s="423">
        <v>6</v>
      </c>
      <c r="V1087" s="423">
        <v>70</v>
      </c>
      <c r="W1087" s="423" t="s">
        <v>1041</v>
      </c>
      <c r="X1087" s="423">
        <v>12</v>
      </c>
      <c r="Y1087" s="423" t="s">
        <v>1041</v>
      </c>
      <c r="Z1087" s="423" t="s">
        <v>1057</v>
      </c>
      <c r="AD1087" s="423">
        <f>IF(ISNUMBER(MATCH(B1087,'FICHA SOLIC'!$AB$26:$AB$376,0)),1,0)</f>
        <v>1</v>
      </c>
      <c r="AE1087" s="423" t="str">
        <f t="shared" si="16"/>
        <v>Pedro Aguirre CerdaR</v>
      </c>
    </row>
    <row r="1088" spans="1:31" x14ac:dyDescent="0.25">
      <c r="A1088" s="423">
        <v>1087</v>
      </c>
      <c r="B1088" s="423" t="s">
        <v>454</v>
      </c>
      <c r="C1088" s="423" t="s">
        <v>2032</v>
      </c>
      <c r="D1088" s="425" t="s">
        <v>990</v>
      </c>
      <c r="E1088" s="425" t="s">
        <v>991</v>
      </c>
      <c r="F1088" s="425" t="s">
        <v>992</v>
      </c>
      <c r="G1088" s="425" t="s">
        <v>1054</v>
      </c>
      <c r="H1088" s="426" t="s">
        <v>699</v>
      </c>
      <c r="I1088" s="425" t="s">
        <v>1055</v>
      </c>
      <c r="J1088" s="425" t="s">
        <v>697</v>
      </c>
      <c r="K1088" s="425" t="s">
        <v>995</v>
      </c>
      <c r="L1088" s="425" t="s">
        <v>996</v>
      </c>
      <c r="M1088" s="425" t="s">
        <v>997</v>
      </c>
      <c r="N1088" s="425" t="s">
        <v>558</v>
      </c>
      <c r="O1088" s="425" t="s">
        <v>998</v>
      </c>
      <c r="P1088" s="425" t="s">
        <v>999</v>
      </c>
      <c r="Q1088" s="425" t="s">
        <v>1000</v>
      </c>
      <c r="R1088" s="425" t="s">
        <v>1001</v>
      </c>
      <c r="S1088" s="425" t="s">
        <v>1002</v>
      </c>
      <c r="T1088" s="423" t="s">
        <v>2032</v>
      </c>
      <c r="U1088" s="423" t="s">
        <v>2032</v>
      </c>
      <c r="V1088" s="423" t="s">
        <v>2032</v>
      </c>
      <c r="W1088" s="423" t="s">
        <v>2032</v>
      </c>
      <c r="X1088" s="423" t="s">
        <v>2032</v>
      </c>
      <c r="Y1088" s="423" t="s">
        <v>2032</v>
      </c>
      <c r="Z1088" s="423" t="s">
        <v>2032</v>
      </c>
      <c r="AD1088" s="423">
        <f>IF(ISNUMBER(MATCH(B1088,'FICHA SOLIC'!$AB$26:$AB$376,0)),1,0)</f>
        <v>1</v>
      </c>
      <c r="AE1088" s="423" t="str">
        <f t="shared" si="16"/>
        <v>PeñaflorPRMS</v>
      </c>
    </row>
    <row r="1089" spans="1:31" x14ac:dyDescent="0.25">
      <c r="A1089" s="423">
        <v>1088</v>
      </c>
      <c r="B1089" s="423" t="s">
        <v>424</v>
      </c>
      <c r="C1089" s="423" t="s">
        <v>2416</v>
      </c>
      <c r="D1089" s="425" t="s">
        <v>990</v>
      </c>
      <c r="E1089" s="425" t="s">
        <v>991</v>
      </c>
      <c r="F1089" s="425" t="s">
        <v>992</v>
      </c>
      <c r="G1089" s="425" t="s">
        <v>1054</v>
      </c>
      <c r="H1089" s="426" t="s">
        <v>699</v>
      </c>
      <c r="I1089" s="425" t="s">
        <v>1055</v>
      </c>
      <c r="J1089" s="425" t="s">
        <v>697</v>
      </c>
      <c r="K1089" s="425" t="s">
        <v>995</v>
      </c>
      <c r="L1089" s="425" t="s">
        <v>996</v>
      </c>
      <c r="M1089" s="425" t="s">
        <v>997</v>
      </c>
      <c r="N1089" s="425" t="s">
        <v>558</v>
      </c>
      <c r="O1089" s="425" t="s">
        <v>998</v>
      </c>
      <c r="P1089" s="425" t="s">
        <v>999</v>
      </c>
      <c r="Q1089" s="425" t="s">
        <v>1000</v>
      </c>
      <c r="R1089" s="425" t="s">
        <v>1001</v>
      </c>
      <c r="S1089" s="425" t="s">
        <v>1002</v>
      </c>
      <c r="T1089" s="423">
        <v>2000</v>
      </c>
      <c r="U1089" s="423" t="s">
        <v>1041</v>
      </c>
      <c r="V1089" s="423">
        <v>20</v>
      </c>
      <c r="W1089" s="423">
        <v>1.2</v>
      </c>
      <c r="X1089" s="423" t="s">
        <v>1041</v>
      </c>
      <c r="Y1089" s="423" t="s">
        <v>1041</v>
      </c>
      <c r="Z1089" s="423" t="s">
        <v>1041</v>
      </c>
      <c r="AD1089" s="423">
        <f>IF(ISNUMBER(MATCH(B1089,'FICHA SOLIC'!$AB$26:$AB$376,0)),1,0)</f>
        <v>1</v>
      </c>
      <c r="AE1089" s="423" t="str">
        <f t="shared" si="16"/>
        <v>Peñalolén11ac</v>
      </c>
    </row>
    <row r="1090" spans="1:31" x14ac:dyDescent="0.25">
      <c r="A1090" s="423">
        <v>1089</v>
      </c>
      <c r="B1090" s="423" t="s">
        <v>424</v>
      </c>
      <c r="C1090" s="423" t="s">
        <v>2417</v>
      </c>
      <c r="D1090" s="425" t="s">
        <v>990</v>
      </c>
      <c r="E1090" s="425" t="s">
        <v>991</v>
      </c>
      <c r="F1090" s="425" t="s">
        <v>992</v>
      </c>
      <c r="G1090" s="425" t="s">
        <v>1054</v>
      </c>
      <c r="H1090" s="426" t="s">
        <v>699</v>
      </c>
      <c r="I1090" s="425" t="s">
        <v>1055</v>
      </c>
      <c r="J1090" s="425" t="s">
        <v>697</v>
      </c>
      <c r="K1090" s="425" t="s">
        <v>995</v>
      </c>
      <c r="L1090" s="425" t="s">
        <v>996</v>
      </c>
      <c r="M1090" s="425" t="s">
        <v>997</v>
      </c>
      <c r="N1090" s="425" t="s">
        <v>558</v>
      </c>
      <c r="O1090" s="425" t="s">
        <v>998</v>
      </c>
      <c r="P1090" s="425" t="s">
        <v>999</v>
      </c>
      <c r="Q1090" s="425" t="s">
        <v>1000</v>
      </c>
      <c r="R1090" s="425" t="s">
        <v>1001</v>
      </c>
      <c r="S1090" s="425" t="s">
        <v>1002</v>
      </c>
      <c r="T1090" s="423">
        <v>4000</v>
      </c>
      <c r="U1090" s="423" t="s">
        <v>1041</v>
      </c>
      <c r="V1090" s="423">
        <v>15</v>
      </c>
      <c r="W1090" s="423">
        <v>0.15</v>
      </c>
      <c r="X1090" s="423" t="s">
        <v>1041</v>
      </c>
      <c r="Y1090" s="423" t="s">
        <v>1041</v>
      </c>
      <c r="Z1090" s="423" t="s">
        <v>1041</v>
      </c>
      <c r="AD1090" s="423">
        <f>IF(ISNUMBER(MATCH(B1090,'FICHA SOLIC'!$AB$26:$AB$376,0)),1,0)</f>
        <v>1</v>
      </c>
      <c r="AE1090" s="423" t="str">
        <f t="shared" si="16"/>
        <v>Peñalolén11b</v>
      </c>
    </row>
    <row r="1091" spans="1:31" x14ac:dyDescent="0.25">
      <c r="A1091" s="423">
        <v>1090</v>
      </c>
      <c r="B1091" s="423" t="s">
        <v>424</v>
      </c>
      <c r="C1091" s="423" t="s">
        <v>1213</v>
      </c>
      <c r="D1091" s="425" t="s">
        <v>990</v>
      </c>
      <c r="E1091" s="425" t="s">
        <v>991</v>
      </c>
      <c r="F1091" s="425" t="s">
        <v>992</v>
      </c>
      <c r="G1091" s="425" t="s">
        <v>1054</v>
      </c>
      <c r="H1091" s="426" t="s">
        <v>699</v>
      </c>
      <c r="I1091" s="425" t="s">
        <v>1055</v>
      </c>
      <c r="J1091" s="425" t="s">
        <v>697</v>
      </c>
      <c r="K1091" s="425" t="s">
        <v>995</v>
      </c>
      <c r="L1091" s="425" t="s">
        <v>996</v>
      </c>
      <c r="M1091" s="425" t="s">
        <v>997</v>
      </c>
      <c r="N1091" s="425" t="s">
        <v>558</v>
      </c>
      <c r="O1091" s="425" t="s">
        <v>998</v>
      </c>
      <c r="P1091" s="425" t="s">
        <v>999</v>
      </c>
      <c r="Q1091" s="425" t="s">
        <v>1000</v>
      </c>
      <c r="R1091" s="425" t="s">
        <v>1001</v>
      </c>
      <c r="S1091" s="425" t="s">
        <v>1002</v>
      </c>
      <c r="T1091" s="423">
        <v>800</v>
      </c>
      <c r="U1091" s="423">
        <v>20</v>
      </c>
      <c r="V1091" s="423">
        <v>20</v>
      </c>
      <c r="W1091" s="423">
        <v>0.4</v>
      </c>
      <c r="X1091" s="423">
        <v>8</v>
      </c>
      <c r="Y1091" s="423" t="s">
        <v>1041</v>
      </c>
      <c r="Z1091" s="423" t="s">
        <v>1058</v>
      </c>
      <c r="AD1091" s="423">
        <f>IF(ISNUMBER(MATCH(B1091,'FICHA SOLIC'!$AB$26:$AB$376,0)),1,0)</f>
        <v>1</v>
      </c>
      <c r="AE1091" s="423" t="str">
        <f t="shared" ref="AE1091:AE1154" si="17">B1091&amp;C1091</f>
        <v>PeñalolénA.R.1</v>
      </c>
    </row>
    <row r="1092" spans="1:31" x14ac:dyDescent="0.25">
      <c r="A1092" s="423">
        <v>1091</v>
      </c>
      <c r="B1092" s="423" t="s">
        <v>424</v>
      </c>
      <c r="C1092" s="423" t="s">
        <v>1214</v>
      </c>
      <c r="D1092" s="425" t="s">
        <v>990</v>
      </c>
      <c r="E1092" s="425" t="s">
        <v>991</v>
      </c>
      <c r="F1092" s="425" t="s">
        <v>992</v>
      </c>
      <c r="G1092" s="425" t="s">
        <v>1054</v>
      </c>
      <c r="H1092" s="426" t="s">
        <v>699</v>
      </c>
      <c r="I1092" s="425" t="s">
        <v>1055</v>
      </c>
      <c r="J1092" s="425" t="s">
        <v>697</v>
      </c>
      <c r="K1092" s="425" t="s">
        <v>995</v>
      </c>
      <c r="L1092" s="425" t="s">
        <v>996</v>
      </c>
      <c r="M1092" s="425" t="s">
        <v>997</v>
      </c>
      <c r="N1092" s="425" t="s">
        <v>558</v>
      </c>
      <c r="O1092" s="425" t="s">
        <v>998</v>
      </c>
      <c r="P1092" s="425" t="s">
        <v>999</v>
      </c>
      <c r="Q1092" s="425" t="s">
        <v>1000</v>
      </c>
      <c r="R1092" s="425" t="s">
        <v>1001</v>
      </c>
      <c r="S1092" s="425" t="s">
        <v>1002</v>
      </c>
      <c r="T1092" s="423">
        <v>10000</v>
      </c>
      <c r="U1092" s="423">
        <v>50</v>
      </c>
      <c r="V1092" s="423">
        <v>2.5</v>
      </c>
      <c r="W1092" s="423">
        <v>2.5000000000000001E-2</v>
      </c>
      <c r="Y1092" s="423" t="s">
        <v>1041</v>
      </c>
      <c r="Z1092" s="423" t="s">
        <v>1058</v>
      </c>
      <c r="AD1092" s="423">
        <f>IF(ISNUMBER(MATCH(B1092,'FICHA SOLIC'!$AB$26:$AB$376,0)),1,0)</f>
        <v>1</v>
      </c>
      <c r="AE1092" s="423" t="str">
        <f t="shared" si="17"/>
        <v>PeñalolénA.R.2</v>
      </c>
    </row>
    <row r="1093" spans="1:31" x14ac:dyDescent="0.25">
      <c r="A1093" s="423">
        <v>1092</v>
      </c>
      <c r="B1093" s="423" t="s">
        <v>424</v>
      </c>
      <c r="C1093" s="423" t="s">
        <v>1215</v>
      </c>
      <c r="D1093" s="425" t="s">
        <v>990</v>
      </c>
      <c r="E1093" s="425" t="s">
        <v>991</v>
      </c>
      <c r="F1093" s="425" t="s">
        <v>992</v>
      </c>
      <c r="G1093" s="425" t="s">
        <v>1054</v>
      </c>
      <c r="H1093" s="426" t="s">
        <v>699</v>
      </c>
      <c r="I1093" s="425" t="s">
        <v>1055</v>
      </c>
      <c r="J1093" s="425" t="s">
        <v>697</v>
      </c>
      <c r="K1093" s="425" t="s">
        <v>995</v>
      </c>
      <c r="L1093" s="425" t="s">
        <v>996</v>
      </c>
      <c r="M1093" s="425" t="s">
        <v>997</v>
      </c>
      <c r="N1093" s="425" t="s">
        <v>558</v>
      </c>
      <c r="O1093" s="425" t="s">
        <v>998</v>
      </c>
      <c r="P1093" s="425" t="s">
        <v>999</v>
      </c>
      <c r="Q1093" s="425" t="s">
        <v>1000</v>
      </c>
      <c r="R1093" s="425" t="s">
        <v>1001</v>
      </c>
      <c r="S1093" s="425" t="s">
        <v>1002</v>
      </c>
      <c r="T1093" s="423">
        <v>20000</v>
      </c>
      <c r="U1093" s="423">
        <v>100</v>
      </c>
      <c r="V1093" s="423">
        <v>2.5</v>
      </c>
      <c r="W1093" s="423">
        <v>2.5000000000000001E-2</v>
      </c>
      <c r="X1093" s="423" t="s">
        <v>1041</v>
      </c>
      <c r="Y1093" s="423" t="s">
        <v>1041</v>
      </c>
      <c r="Z1093" s="423" t="s">
        <v>1058</v>
      </c>
      <c r="AD1093" s="423">
        <f>IF(ISNUMBER(MATCH(B1093,'FICHA SOLIC'!$AB$26:$AB$376,0)),1,0)</f>
        <v>1</v>
      </c>
      <c r="AE1093" s="423" t="str">
        <f t="shared" si="17"/>
        <v>PeñalolénA.R.3</v>
      </c>
    </row>
    <row r="1094" spans="1:31" x14ac:dyDescent="0.25">
      <c r="A1094" s="423">
        <v>1093</v>
      </c>
      <c r="B1094" s="423" t="s">
        <v>424</v>
      </c>
      <c r="C1094" s="423" t="s">
        <v>1210</v>
      </c>
      <c r="D1094" s="425" t="s">
        <v>990</v>
      </c>
      <c r="E1094" s="425" t="s">
        <v>991</v>
      </c>
      <c r="F1094" s="425" t="s">
        <v>992</v>
      </c>
      <c r="G1094" s="425" t="s">
        <v>1054</v>
      </c>
      <c r="H1094" s="426" t="s">
        <v>699</v>
      </c>
      <c r="I1094" s="425" t="s">
        <v>1055</v>
      </c>
      <c r="J1094" s="425" t="s">
        <v>697</v>
      </c>
      <c r="K1094" s="425" t="s">
        <v>995</v>
      </c>
      <c r="L1094" s="425" t="s">
        <v>996</v>
      </c>
      <c r="M1094" s="425" t="s">
        <v>997</v>
      </c>
      <c r="N1094" s="425" t="s">
        <v>558</v>
      </c>
      <c r="O1094" s="425" t="s">
        <v>998</v>
      </c>
      <c r="P1094" s="425" t="s">
        <v>999</v>
      </c>
      <c r="Q1094" s="425" t="s">
        <v>1000</v>
      </c>
      <c r="R1094" s="425" t="s">
        <v>1001</v>
      </c>
      <c r="S1094" s="425" t="s">
        <v>1002</v>
      </c>
      <c r="T1094" s="423">
        <v>5000</v>
      </c>
      <c r="U1094" s="423">
        <v>25</v>
      </c>
      <c r="V1094" s="423">
        <v>10</v>
      </c>
      <c r="W1094" s="423">
        <v>0.2</v>
      </c>
      <c r="X1094" s="423" t="s">
        <v>1041</v>
      </c>
      <c r="Y1094" s="423" t="s">
        <v>1041</v>
      </c>
      <c r="Z1094" s="423" t="s">
        <v>1058</v>
      </c>
      <c r="AD1094" s="423">
        <f>IF(ISNUMBER(MATCH(B1094,'FICHA SOLIC'!$AB$26:$AB$376,0)),1,0)</f>
        <v>1</v>
      </c>
      <c r="AE1094" s="423" t="str">
        <f t="shared" si="17"/>
        <v>PeñalolénC.C.</v>
      </c>
    </row>
    <row r="1095" spans="1:31" x14ac:dyDescent="0.25">
      <c r="A1095" s="423">
        <v>1094</v>
      </c>
      <c r="B1095" s="423" t="s">
        <v>424</v>
      </c>
      <c r="C1095" s="423" t="s">
        <v>1426</v>
      </c>
      <c r="D1095" s="425" t="s">
        <v>990</v>
      </c>
      <c r="E1095" s="425" t="s">
        <v>991</v>
      </c>
      <c r="F1095" s="425" t="s">
        <v>992</v>
      </c>
      <c r="G1095" s="425" t="s">
        <v>1054</v>
      </c>
      <c r="H1095" s="426" t="s">
        <v>699</v>
      </c>
      <c r="I1095" s="425" t="s">
        <v>1055</v>
      </c>
      <c r="J1095" s="425" t="s">
        <v>697</v>
      </c>
      <c r="K1095" s="425" t="s">
        <v>995</v>
      </c>
      <c r="L1095" s="425" t="s">
        <v>996</v>
      </c>
      <c r="M1095" s="425" t="s">
        <v>997</v>
      </c>
      <c r="N1095" s="425" t="s">
        <v>558</v>
      </c>
      <c r="O1095" s="425" t="s">
        <v>998</v>
      </c>
      <c r="P1095" s="425" t="s">
        <v>999</v>
      </c>
      <c r="Q1095" s="425" t="s">
        <v>1000</v>
      </c>
      <c r="R1095" s="425" t="s">
        <v>1001</v>
      </c>
      <c r="S1095" s="425" t="s">
        <v>1002</v>
      </c>
      <c r="T1095" s="423">
        <v>800</v>
      </c>
      <c r="U1095" s="423">
        <v>20</v>
      </c>
      <c r="V1095" s="423">
        <v>30</v>
      </c>
      <c r="W1095" s="423">
        <v>0.8</v>
      </c>
      <c r="X1095" s="423">
        <v>9</v>
      </c>
      <c r="Y1095" s="423" t="s">
        <v>1041</v>
      </c>
      <c r="Z1095" s="423" t="s">
        <v>1058</v>
      </c>
      <c r="AD1095" s="423">
        <f>IF(ISNUMBER(MATCH(B1095,'FICHA SOLIC'!$AB$26:$AB$376,0)),1,0)</f>
        <v>1</v>
      </c>
      <c r="AE1095" s="423" t="str">
        <f t="shared" si="17"/>
        <v>PeñalolénE1</v>
      </c>
    </row>
    <row r="1096" spans="1:31" x14ac:dyDescent="0.25">
      <c r="A1096" s="423">
        <v>1095</v>
      </c>
      <c r="B1096" s="423" t="s">
        <v>424</v>
      </c>
      <c r="C1096" s="423" t="s">
        <v>1795</v>
      </c>
      <c r="D1096" s="425" t="s">
        <v>990</v>
      </c>
      <c r="E1096" s="425" t="s">
        <v>991</v>
      </c>
      <c r="F1096" s="425" t="s">
        <v>992</v>
      </c>
      <c r="G1096" s="425" t="s">
        <v>1054</v>
      </c>
      <c r="H1096" s="426" t="s">
        <v>699</v>
      </c>
      <c r="I1096" s="425" t="s">
        <v>1055</v>
      </c>
      <c r="J1096" s="425" t="s">
        <v>697</v>
      </c>
      <c r="K1096" s="425" t="s">
        <v>995</v>
      </c>
      <c r="L1096" s="425" t="s">
        <v>996</v>
      </c>
      <c r="M1096" s="425" t="s">
        <v>997</v>
      </c>
      <c r="N1096" s="425" t="s">
        <v>558</v>
      </c>
      <c r="O1096" s="425" t="s">
        <v>998</v>
      </c>
      <c r="P1096" s="425" t="s">
        <v>999</v>
      </c>
      <c r="Q1096" s="425" t="s">
        <v>1000</v>
      </c>
      <c r="R1096" s="425" t="s">
        <v>1001</v>
      </c>
      <c r="S1096" s="425" t="s">
        <v>1002</v>
      </c>
      <c r="T1096" s="423">
        <v>800</v>
      </c>
      <c r="U1096" s="423" t="s">
        <v>1041</v>
      </c>
      <c r="V1096" s="423">
        <v>30</v>
      </c>
      <c r="W1096" s="423">
        <v>0.8</v>
      </c>
      <c r="X1096" s="423">
        <v>9</v>
      </c>
      <c r="Y1096" s="423" t="s">
        <v>1041</v>
      </c>
      <c r="Z1096" s="423" t="s">
        <v>1058</v>
      </c>
      <c r="AD1096" s="423">
        <f>IF(ISNUMBER(MATCH(B1096,'FICHA SOLIC'!$AB$26:$AB$376,0)),1,0)</f>
        <v>1</v>
      </c>
      <c r="AE1096" s="423" t="str">
        <f t="shared" si="17"/>
        <v>PeñalolénE1a</v>
      </c>
    </row>
    <row r="1097" spans="1:31" x14ac:dyDescent="0.25">
      <c r="A1097" s="423">
        <v>1096</v>
      </c>
      <c r="B1097" s="423" t="s">
        <v>424</v>
      </c>
      <c r="C1097" s="423" t="s">
        <v>1565</v>
      </c>
      <c r="D1097" s="425" t="s">
        <v>990</v>
      </c>
      <c r="E1097" s="425" t="s">
        <v>991</v>
      </c>
      <c r="F1097" s="425" t="s">
        <v>992</v>
      </c>
      <c r="G1097" s="425" t="s">
        <v>1054</v>
      </c>
      <c r="H1097" s="426" t="s">
        <v>699</v>
      </c>
      <c r="I1097" s="425" t="s">
        <v>1055</v>
      </c>
      <c r="J1097" s="425" t="s">
        <v>697</v>
      </c>
      <c r="K1097" s="425" t="s">
        <v>995</v>
      </c>
      <c r="L1097" s="425" t="s">
        <v>996</v>
      </c>
      <c r="M1097" s="425" t="s">
        <v>997</v>
      </c>
      <c r="N1097" s="425" t="s">
        <v>558</v>
      </c>
      <c r="O1097" s="425" t="s">
        <v>998</v>
      </c>
      <c r="P1097" s="425" t="s">
        <v>999</v>
      </c>
      <c r="Q1097" s="425" t="s">
        <v>1000</v>
      </c>
      <c r="R1097" s="425" t="s">
        <v>1001</v>
      </c>
      <c r="S1097" s="425" t="s">
        <v>1002</v>
      </c>
      <c r="T1097" s="423">
        <v>600</v>
      </c>
      <c r="U1097" s="423" t="s">
        <v>1041</v>
      </c>
      <c r="V1097" s="423">
        <v>30</v>
      </c>
      <c r="W1097" s="423">
        <v>0.6</v>
      </c>
      <c r="X1097" s="423">
        <v>7.5</v>
      </c>
      <c r="Y1097" s="423" t="s">
        <v>1041</v>
      </c>
      <c r="Z1097" s="423" t="s">
        <v>1059</v>
      </c>
      <c r="AD1097" s="423">
        <f>IF(ISNUMBER(MATCH(B1097,'FICHA SOLIC'!$AB$26:$AB$376,0)),1,0)</f>
        <v>1</v>
      </c>
      <c r="AE1097" s="423" t="str">
        <f t="shared" si="17"/>
        <v>PeñalolénE2</v>
      </c>
    </row>
    <row r="1098" spans="1:31" x14ac:dyDescent="0.25">
      <c r="A1098" s="423">
        <v>1097</v>
      </c>
      <c r="B1098" s="423" t="s">
        <v>424</v>
      </c>
      <c r="C1098" s="423" t="s">
        <v>1621</v>
      </c>
      <c r="D1098" s="425" t="s">
        <v>990</v>
      </c>
      <c r="E1098" s="425" t="s">
        <v>991</v>
      </c>
      <c r="F1098" s="425" t="s">
        <v>992</v>
      </c>
      <c r="G1098" s="425" t="s">
        <v>1054</v>
      </c>
      <c r="H1098" s="426" t="s">
        <v>699</v>
      </c>
      <c r="I1098" s="425" t="s">
        <v>1055</v>
      </c>
      <c r="J1098" s="425" t="s">
        <v>697</v>
      </c>
      <c r="K1098" s="425" t="s">
        <v>995</v>
      </c>
      <c r="L1098" s="425" t="s">
        <v>996</v>
      </c>
      <c r="M1098" s="425" t="s">
        <v>997</v>
      </c>
      <c r="N1098" s="425" t="s">
        <v>558</v>
      </c>
      <c r="O1098" s="425" t="s">
        <v>998</v>
      </c>
      <c r="P1098" s="425" t="s">
        <v>999</v>
      </c>
      <c r="Q1098" s="425" t="s">
        <v>1000</v>
      </c>
      <c r="R1098" s="425" t="s">
        <v>1001</v>
      </c>
      <c r="S1098" s="425" t="s">
        <v>1002</v>
      </c>
      <c r="T1098" s="423">
        <v>2500</v>
      </c>
      <c r="U1098" s="423">
        <v>25</v>
      </c>
      <c r="V1098" s="423">
        <v>10</v>
      </c>
      <c r="W1098" s="423">
        <v>0.1</v>
      </c>
      <c r="X1098" s="423" t="s">
        <v>1041</v>
      </c>
      <c r="Y1098" s="423" t="s">
        <v>1041</v>
      </c>
      <c r="Z1098" s="423" t="s">
        <v>1058</v>
      </c>
      <c r="AD1098" s="423">
        <f>IF(ISNUMBER(MATCH(B1098,'FICHA SOLIC'!$AB$26:$AB$376,0)),1,0)</f>
        <v>1</v>
      </c>
      <c r="AE1098" s="423" t="str">
        <f t="shared" si="17"/>
        <v>PeñalolénEQ</v>
      </c>
    </row>
    <row r="1099" spans="1:31" x14ac:dyDescent="0.25">
      <c r="A1099" s="423">
        <v>1098</v>
      </c>
      <c r="B1099" s="423" t="s">
        <v>424</v>
      </c>
      <c r="C1099" s="423" t="s">
        <v>1796</v>
      </c>
      <c r="D1099" s="425" t="s">
        <v>990</v>
      </c>
      <c r="E1099" s="425" t="s">
        <v>991</v>
      </c>
      <c r="F1099" s="425" t="s">
        <v>992</v>
      </c>
      <c r="G1099" s="425" t="s">
        <v>1054</v>
      </c>
      <c r="H1099" s="426" t="s">
        <v>699</v>
      </c>
      <c r="I1099" s="425" t="s">
        <v>1055</v>
      </c>
      <c r="J1099" s="425" t="s">
        <v>697</v>
      </c>
      <c r="K1099" s="425" t="s">
        <v>995</v>
      </c>
      <c r="L1099" s="425" t="s">
        <v>996</v>
      </c>
      <c r="M1099" s="425" t="s">
        <v>997</v>
      </c>
      <c r="N1099" s="425" t="s">
        <v>558</v>
      </c>
      <c r="O1099" s="425" t="s">
        <v>998</v>
      </c>
      <c r="P1099" s="425" t="s">
        <v>999</v>
      </c>
      <c r="Q1099" s="425" t="s">
        <v>1000</v>
      </c>
      <c r="R1099" s="425" t="s">
        <v>1001</v>
      </c>
      <c r="S1099" s="425" t="s">
        <v>1002</v>
      </c>
      <c r="T1099" s="423">
        <v>2000</v>
      </c>
      <c r="U1099" s="423">
        <v>50</v>
      </c>
      <c r="V1099" s="423">
        <v>50</v>
      </c>
      <c r="W1099" s="423">
        <v>1</v>
      </c>
      <c r="X1099" s="423" t="s">
        <v>1041</v>
      </c>
      <c r="Y1099" s="423" t="s">
        <v>1041</v>
      </c>
      <c r="Z1099" s="423" t="s">
        <v>1058</v>
      </c>
      <c r="AD1099" s="423">
        <f>IF(ISNUMBER(MATCH(B1099,'FICHA SOLIC'!$AB$26:$AB$376,0)),1,0)</f>
        <v>1</v>
      </c>
      <c r="AE1099" s="423" t="str">
        <f t="shared" si="17"/>
        <v>PeñalolénI.E.</v>
      </c>
    </row>
    <row r="1100" spans="1:31" x14ac:dyDescent="0.25">
      <c r="A1100" s="423">
        <v>1099</v>
      </c>
      <c r="B1100" s="423" t="s">
        <v>424</v>
      </c>
      <c r="C1100" s="423" t="s">
        <v>1568</v>
      </c>
      <c r="D1100" s="425" t="s">
        <v>990</v>
      </c>
      <c r="E1100" s="425" t="s">
        <v>991</v>
      </c>
      <c r="F1100" s="425" t="s">
        <v>992</v>
      </c>
      <c r="G1100" s="425" t="s">
        <v>1054</v>
      </c>
      <c r="H1100" s="426" t="s">
        <v>699</v>
      </c>
      <c r="I1100" s="425" t="s">
        <v>1055</v>
      </c>
      <c r="J1100" s="425" t="s">
        <v>697</v>
      </c>
      <c r="K1100" s="425" t="s">
        <v>995</v>
      </c>
      <c r="L1100" s="425" t="s">
        <v>996</v>
      </c>
      <c r="M1100" s="425" t="s">
        <v>997</v>
      </c>
      <c r="N1100" s="425" t="s">
        <v>558</v>
      </c>
      <c r="O1100" s="425" t="s">
        <v>998</v>
      </c>
      <c r="P1100" s="425" t="s">
        <v>999</v>
      </c>
      <c r="Q1100" s="425" t="s">
        <v>1000</v>
      </c>
      <c r="R1100" s="425" t="s">
        <v>1001</v>
      </c>
      <c r="S1100" s="425" t="s">
        <v>1002</v>
      </c>
      <c r="T1100" s="423" t="s">
        <v>1041</v>
      </c>
      <c r="U1100" s="423" t="s">
        <v>1041</v>
      </c>
      <c r="V1100" s="423" t="s">
        <v>1041</v>
      </c>
      <c r="W1100" s="423" t="s">
        <v>1041</v>
      </c>
      <c r="X1100" s="423" t="s">
        <v>1041</v>
      </c>
      <c r="Y1100" s="423" t="s">
        <v>1041</v>
      </c>
      <c r="Z1100" s="423" t="s">
        <v>1041</v>
      </c>
      <c r="AD1100" s="423">
        <f>IF(ISNUMBER(MATCH(B1100,'FICHA SOLIC'!$AB$26:$AB$376,0)),1,0)</f>
        <v>1</v>
      </c>
      <c r="AE1100" s="423" t="str">
        <f t="shared" si="17"/>
        <v>PeñalolénPE</v>
      </c>
    </row>
    <row r="1101" spans="1:31" x14ac:dyDescent="0.25">
      <c r="A1101" s="423">
        <v>1100</v>
      </c>
      <c r="B1101" s="423" t="s">
        <v>424</v>
      </c>
      <c r="C1101" s="423" t="s">
        <v>1434</v>
      </c>
      <c r="D1101" s="425" t="s">
        <v>990</v>
      </c>
      <c r="E1101" s="425" t="s">
        <v>991</v>
      </c>
      <c r="F1101" s="425" t="s">
        <v>992</v>
      </c>
      <c r="G1101" s="425" t="s">
        <v>1054</v>
      </c>
      <c r="H1101" s="426" t="s">
        <v>699</v>
      </c>
      <c r="I1101" s="425" t="s">
        <v>1055</v>
      </c>
      <c r="J1101" s="425" t="s">
        <v>697</v>
      </c>
      <c r="K1101" s="425" t="s">
        <v>995</v>
      </c>
      <c r="L1101" s="425" t="s">
        <v>996</v>
      </c>
      <c r="M1101" s="425" t="s">
        <v>997</v>
      </c>
      <c r="N1101" s="425" t="s">
        <v>558</v>
      </c>
      <c r="O1101" s="425" t="s">
        <v>998</v>
      </c>
      <c r="P1101" s="425" t="s">
        <v>999</v>
      </c>
      <c r="Q1101" s="425" t="s">
        <v>1000</v>
      </c>
      <c r="R1101" s="425" t="s">
        <v>1001</v>
      </c>
      <c r="S1101" s="425" t="s">
        <v>1002</v>
      </c>
      <c r="T1101" s="423">
        <v>200</v>
      </c>
      <c r="U1101" s="423">
        <v>8</v>
      </c>
      <c r="V1101" s="423">
        <v>60</v>
      </c>
      <c r="W1101" s="423">
        <v>1</v>
      </c>
      <c r="X1101" s="423" t="s">
        <v>1041</v>
      </c>
      <c r="Y1101" s="423" t="s">
        <v>1041</v>
      </c>
      <c r="Z1101" s="423" t="s">
        <v>1059</v>
      </c>
      <c r="AD1101" s="423">
        <f>IF(ISNUMBER(MATCH(B1101,'FICHA SOLIC'!$AB$26:$AB$376,0)),1,0)</f>
        <v>1</v>
      </c>
      <c r="AE1101" s="423" t="str">
        <f t="shared" si="17"/>
        <v>PeñalolénR1</v>
      </c>
    </row>
    <row r="1102" spans="1:31" x14ac:dyDescent="0.25">
      <c r="A1102" s="423">
        <v>1101</v>
      </c>
      <c r="B1102" s="423" t="s">
        <v>424</v>
      </c>
      <c r="C1102" s="423" t="s">
        <v>1299</v>
      </c>
      <c r="D1102" s="425" t="s">
        <v>990</v>
      </c>
      <c r="E1102" s="425" t="s">
        <v>991</v>
      </c>
      <c r="F1102" s="425" t="s">
        <v>992</v>
      </c>
      <c r="G1102" s="425" t="s">
        <v>1054</v>
      </c>
      <c r="H1102" s="426" t="s">
        <v>699</v>
      </c>
      <c r="I1102" s="425" t="s">
        <v>1055</v>
      </c>
      <c r="J1102" s="425" t="s">
        <v>697</v>
      </c>
      <c r="K1102" s="425" t="s">
        <v>995</v>
      </c>
      <c r="L1102" s="425" t="s">
        <v>996</v>
      </c>
      <c r="M1102" s="425" t="s">
        <v>997</v>
      </c>
      <c r="N1102" s="425" t="s">
        <v>558</v>
      </c>
      <c r="O1102" s="425" t="s">
        <v>998</v>
      </c>
      <c r="P1102" s="425" t="s">
        <v>999</v>
      </c>
      <c r="Q1102" s="425" t="s">
        <v>1000</v>
      </c>
      <c r="R1102" s="425" t="s">
        <v>1001</v>
      </c>
      <c r="S1102" s="425" t="s">
        <v>1002</v>
      </c>
      <c r="T1102" s="423">
        <v>100</v>
      </c>
      <c r="U1102" s="423">
        <v>8</v>
      </c>
      <c r="V1102" s="423">
        <v>70</v>
      </c>
      <c r="W1102" s="423">
        <v>1.4</v>
      </c>
      <c r="X1102" s="423" t="s">
        <v>1041</v>
      </c>
      <c r="Y1102" s="423" t="s">
        <v>1041</v>
      </c>
      <c r="Z1102" s="423" t="s">
        <v>1059</v>
      </c>
      <c r="AD1102" s="423">
        <f>IF(ISNUMBER(MATCH(B1102,'FICHA SOLIC'!$AB$26:$AB$376,0)),1,0)</f>
        <v>1</v>
      </c>
      <c r="AE1102" s="423" t="str">
        <f t="shared" si="17"/>
        <v>PeñalolénR2</v>
      </c>
    </row>
    <row r="1103" spans="1:31" x14ac:dyDescent="0.25">
      <c r="A1103" s="423">
        <v>1102</v>
      </c>
      <c r="B1103" s="423" t="s">
        <v>424</v>
      </c>
      <c r="C1103" s="423" t="s">
        <v>1300</v>
      </c>
      <c r="D1103" s="425" t="s">
        <v>990</v>
      </c>
      <c r="E1103" s="425" t="s">
        <v>991</v>
      </c>
      <c r="F1103" s="425" t="s">
        <v>992</v>
      </c>
      <c r="G1103" s="425" t="s">
        <v>1054</v>
      </c>
      <c r="H1103" s="426" t="s">
        <v>699</v>
      </c>
      <c r="I1103" s="425" t="s">
        <v>1055</v>
      </c>
      <c r="J1103" s="425" t="s">
        <v>697</v>
      </c>
      <c r="K1103" s="425" t="s">
        <v>995</v>
      </c>
      <c r="L1103" s="425" t="s">
        <v>996</v>
      </c>
      <c r="M1103" s="425" t="s">
        <v>997</v>
      </c>
      <c r="N1103" s="425" t="s">
        <v>558</v>
      </c>
      <c r="O1103" s="425" t="s">
        <v>998</v>
      </c>
      <c r="P1103" s="425" t="s">
        <v>999</v>
      </c>
      <c r="Q1103" s="425" t="s">
        <v>1000</v>
      </c>
      <c r="R1103" s="425" t="s">
        <v>1001</v>
      </c>
      <c r="S1103" s="425" t="s">
        <v>1002</v>
      </c>
      <c r="T1103" s="423">
        <v>160</v>
      </c>
      <c r="U1103" s="423">
        <v>8</v>
      </c>
      <c r="V1103" s="423">
        <v>50</v>
      </c>
      <c r="W1103" s="423">
        <v>1</v>
      </c>
      <c r="X1103" s="423" t="s">
        <v>1041</v>
      </c>
      <c r="Y1103" s="423" t="s">
        <v>1041</v>
      </c>
      <c r="Z1103" s="423" t="s">
        <v>1059</v>
      </c>
      <c r="AD1103" s="423">
        <f>IF(ISNUMBER(MATCH(B1103,'FICHA SOLIC'!$AB$26:$AB$376,0)),1,0)</f>
        <v>1</v>
      </c>
      <c r="AE1103" s="423" t="str">
        <f t="shared" si="17"/>
        <v>PeñalolénR3</v>
      </c>
    </row>
    <row r="1104" spans="1:31" x14ac:dyDescent="0.25">
      <c r="A1104" s="423">
        <v>1103</v>
      </c>
      <c r="B1104" s="423" t="s">
        <v>424</v>
      </c>
      <c r="C1104" s="423" t="s">
        <v>1280</v>
      </c>
      <c r="D1104" s="425" t="s">
        <v>990</v>
      </c>
      <c r="E1104" s="425" t="s">
        <v>991</v>
      </c>
      <c r="F1104" s="425" t="s">
        <v>992</v>
      </c>
      <c r="G1104" s="425" t="s">
        <v>1054</v>
      </c>
      <c r="H1104" s="426" t="s">
        <v>699</v>
      </c>
      <c r="I1104" s="425" t="s">
        <v>1055</v>
      </c>
      <c r="J1104" s="425" t="s">
        <v>697</v>
      </c>
      <c r="K1104" s="425" t="s">
        <v>995</v>
      </c>
      <c r="L1104" s="425" t="s">
        <v>996</v>
      </c>
      <c r="M1104" s="425" t="s">
        <v>997</v>
      </c>
      <c r="N1104" s="425" t="s">
        <v>558</v>
      </c>
      <c r="O1104" s="425" t="s">
        <v>998</v>
      </c>
      <c r="P1104" s="425" t="s">
        <v>999</v>
      </c>
      <c r="Q1104" s="425" t="s">
        <v>1000</v>
      </c>
      <c r="R1104" s="425" t="s">
        <v>1001</v>
      </c>
      <c r="S1104" s="425" t="s">
        <v>1002</v>
      </c>
      <c r="T1104" s="423">
        <v>800</v>
      </c>
      <c r="U1104" s="423">
        <v>20</v>
      </c>
      <c r="V1104" s="423">
        <v>30</v>
      </c>
      <c r="W1104" s="423">
        <v>0.8</v>
      </c>
      <c r="X1104" s="423">
        <v>9</v>
      </c>
      <c r="Y1104" s="423" t="s">
        <v>1041</v>
      </c>
      <c r="Z1104" s="423" t="s">
        <v>1058</v>
      </c>
      <c r="AD1104" s="423">
        <f>IF(ISNUMBER(MATCH(B1104,'FICHA SOLIC'!$AB$26:$AB$376,0)),1,0)</f>
        <v>1</v>
      </c>
      <c r="AE1104" s="423" t="str">
        <f t="shared" si="17"/>
        <v>PeñalolénR4</v>
      </c>
    </row>
    <row r="1105" spans="1:31" x14ac:dyDescent="0.25">
      <c r="A1105" s="423">
        <v>1104</v>
      </c>
      <c r="B1105" s="423" t="s">
        <v>424</v>
      </c>
      <c r="C1105" s="423" t="s">
        <v>1278</v>
      </c>
      <c r="D1105" s="425" t="s">
        <v>990</v>
      </c>
      <c r="E1105" s="425" t="s">
        <v>991</v>
      </c>
      <c r="F1105" s="425" t="s">
        <v>992</v>
      </c>
      <c r="G1105" s="425" t="s">
        <v>1054</v>
      </c>
      <c r="H1105" s="426" t="s">
        <v>699</v>
      </c>
      <c r="I1105" s="425" t="s">
        <v>1055</v>
      </c>
      <c r="J1105" s="425" t="s">
        <v>697</v>
      </c>
      <c r="K1105" s="425" t="s">
        <v>995</v>
      </c>
      <c r="L1105" s="425" t="s">
        <v>996</v>
      </c>
      <c r="M1105" s="425" t="s">
        <v>997</v>
      </c>
      <c r="N1105" s="425" t="s">
        <v>558</v>
      </c>
      <c r="O1105" s="425" t="s">
        <v>998</v>
      </c>
      <c r="P1105" s="425" t="s">
        <v>999</v>
      </c>
      <c r="Q1105" s="425" t="s">
        <v>1000</v>
      </c>
      <c r="R1105" s="425" t="s">
        <v>1001</v>
      </c>
      <c r="S1105" s="425" t="s">
        <v>1002</v>
      </c>
      <c r="T1105" s="423">
        <v>800</v>
      </c>
      <c r="U1105" s="423">
        <v>20</v>
      </c>
      <c r="V1105" s="423">
        <v>20</v>
      </c>
      <c r="W1105" s="423">
        <v>0.5</v>
      </c>
      <c r="X1105" s="423">
        <v>9</v>
      </c>
      <c r="Y1105" s="423" t="s">
        <v>1041</v>
      </c>
      <c r="Z1105" s="423" t="s">
        <v>1058</v>
      </c>
      <c r="AD1105" s="423">
        <f>IF(ISNUMBER(MATCH(B1105,'FICHA SOLIC'!$AB$26:$AB$376,0)),1,0)</f>
        <v>1</v>
      </c>
      <c r="AE1105" s="423" t="str">
        <f t="shared" si="17"/>
        <v>PeñalolénR5</v>
      </c>
    </row>
    <row r="1106" spans="1:31" x14ac:dyDescent="0.25">
      <c r="A1106" s="423">
        <v>1105</v>
      </c>
      <c r="B1106" s="423" t="s">
        <v>424</v>
      </c>
      <c r="C1106" s="423" t="s">
        <v>1435</v>
      </c>
      <c r="D1106" s="425" t="s">
        <v>990</v>
      </c>
      <c r="E1106" s="425" t="s">
        <v>991</v>
      </c>
      <c r="F1106" s="425" t="s">
        <v>992</v>
      </c>
      <c r="G1106" s="425" t="s">
        <v>1054</v>
      </c>
      <c r="H1106" s="426" t="s">
        <v>699</v>
      </c>
      <c r="I1106" s="425" t="s">
        <v>1055</v>
      </c>
      <c r="J1106" s="425" t="s">
        <v>697</v>
      </c>
      <c r="K1106" s="425" t="s">
        <v>995</v>
      </c>
      <c r="L1106" s="425" t="s">
        <v>996</v>
      </c>
      <c r="M1106" s="425" t="s">
        <v>997</v>
      </c>
      <c r="N1106" s="425" t="s">
        <v>558</v>
      </c>
      <c r="O1106" s="425" t="s">
        <v>998</v>
      </c>
      <c r="P1106" s="425" t="s">
        <v>999</v>
      </c>
      <c r="Q1106" s="425" t="s">
        <v>1000</v>
      </c>
      <c r="R1106" s="425" t="s">
        <v>1001</v>
      </c>
      <c r="S1106" s="425" t="s">
        <v>1002</v>
      </c>
      <c r="T1106" s="423">
        <v>1700</v>
      </c>
      <c r="U1106" s="423">
        <v>30</v>
      </c>
      <c r="V1106" s="423">
        <v>15</v>
      </c>
      <c r="W1106" s="423">
        <v>0.4</v>
      </c>
      <c r="X1106" s="423">
        <v>9</v>
      </c>
      <c r="Y1106" s="423" t="s">
        <v>1041</v>
      </c>
      <c r="Z1106" s="423" t="s">
        <v>1058</v>
      </c>
      <c r="AD1106" s="423">
        <f>IF(ISNUMBER(MATCH(B1106,'FICHA SOLIC'!$AB$26:$AB$376,0)),1,0)</f>
        <v>1</v>
      </c>
      <c r="AE1106" s="423" t="str">
        <f t="shared" si="17"/>
        <v>PeñalolénR6</v>
      </c>
    </row>
    <row r="1107" spans="1:31" x14ac:dyDescent="0.25">
      <c r="A1107" s="423">
        <v>1106</v>
      </c>
      <c r="B1107" s="423" t="s">
        <v>424</v>
      </c>
      <c r="C1107" s="423" t="s">
        <v>1436</v>
      </c>
      <c r="D1107" s="425" t="s">
        <v>990</v>
      </c>
      <c r="E1107" s="425" t="s">
        <v>991</v>
      </c>
      <c r="F1107" s="425" t="s">
        <v>992</v>
      </c>
      <c r="G1107" s="425" t="s">
        <v>1054</v>
      </c>
      <c r="H1107" s="426" t="s">
        <v>699</v>
      </c>
      <c r="I1107" s="425" t="s">
        <v>1055</v>
      </c>
      <c r="J1107" s="425" t="s">
        <v>697</v>
      </c>
      <c r="K1107" s="425" t="s">
        <v>995</v>
      </c>
      <c r="L1107" s="425" t="s">
        <v>996</v>
      </c>
      <c r="M1107" s="425" t="s">
        <v>997</v>
      </c>
      <c r="N1107" s="425" t="s">
        <v>558</v>
      </c>
      <c r="O1107" s="425" t="s">
        <v>998</v>
      </c>
      <c r="P1107" s="425" t="s">
        <v>999</v>
      </c>
      <c r="Q1107" s="425" t="s">
        <v>1000</v>
      </c>
      <c r="R1107" s="425" t="s">
        <v>1001</v>
      </c>
      <c r="S1107" s="425" t="s">
        <v>1002</v>
      </c>
      <c r="T1107" s="423">
        <v>600</v>
      </c>
      <c r="U1107" s="423" t="s">
        <v>1041</v>
      </c>
      <c r="V1107" s="423">
        <v>30</v>
      </c>
      <c r="W1107" s="423">
        <v>0.5</v>
      </c>
      <c r="X1107" s="423">
        <v>9</v>
      </c>
      <c r="Y1107" s="423" t="s">
        <v>1041</v>
      </c>
      <c r="Z1107" s="423" t="s">
        <v>1058</v>
      </c>
      <c r="AD1107" s="423">
        <f>IF(ISNUMBER(MATCH(B1107,'FICHA SOLIC'!$AB$26:$AB$376,0)),1,0)</f>
        <v>1</v>
      </c>
      <c r="AE1107" s="423" t="str">
        <f t="shared" si="17"/>
        <v>PeñalolénR7</v>
      </c>
    </row>
    <row r="1108" spans="1:31" x14ac:dyDescent="0.25">
      <c r="A1108" s="423">
        <v>1107</v>
      </c>
      <c r="B1108" s="423" t="s">
        <v>424</v>
      </c>
      <c r="C1108" s="423" t="s">
        <v>1216</v>
      </c>
      <c r="D1108" s="425" t="s">
        <v>990</v>
      </c>
      <c r="E1108" s="425" t="s">
        <v>991</v>
      </c>
      <c r="F1108" s="425" t="s">
        <v>992</v>
      </c>
      <c r="G1108" s="425" t="s">
        <v>1054</v>
      </c>
      <c r="H1108" s="426" t="s">
        <v>699</v>
      </c>
      <c r="I1108" s="425" t="s">
        <v>1055</v>
      </c>
      <c r="J1108" s="425" t="s">
        <v>697</v>
      </c>
      <c r="K1108" s="425" t="s">
        <v>995</v>
      </c>
      <c r="L1108" s="425" t="s">
        <v>996</v>
      </c>
      <c r="M1108" s="425" t="s">
        <v>997</v>
      </c>
      <c r="N1108" s="425" t="s">
        <v>558</v>
      </c>
      <c r="O1108" s="425" t="s">
        <v>998</v>
      </c>
      <c r="P1108" s="425" t="s">
        <v>999</v>
      </c>
      <c r="Q1108" s="425" t="s">
        <v>1000</v>
      </c>
      <c r="R1108" s="425" t="s">
        <v>1001</v>
      </c>
      <c r="S1108" s="425" t="s">
        <v>1002</v>
      </c>
      <c r="T1108" s="423">
        <v>120</v>
      </c>
      <c r="U1108" s="423">
        <v>7</v>
      </c>
      <c r="V1108" s="423">
        <v>70</v>
      </c>
      <c r="W1108" s="423">
        <v>2.8</v>
      </c>
      <c r="X1108" s="423" t="s">
        <v>1041</v>
      </c>
      <c r="Y1108" s="423" t="s">
        <v>1041</v>
      </c>
      <c r="Z1108" s="423" t="s">
        <v>1059</v>
      </c>
      <c r="AD1108" s="423">
        <f>IF(ISNUMBER(MATCH(B1108,'FICHA SOLIC'!$AB$26:$AB$376,0)),1,0)</f>
        <v>1</v>
      </c>
      <c r="AE1108" s="423" t="str">
        <f t="shared" si="17"/>
        <v>PeñalolénS.M.1</v>
      </c>
    </row>
    <row r="1109" spans="1:31" x14ac:dyDescent="0.25">
      <c r="A1109" s="423">
        <v>1108</v>
      </c>
      <c r="B1109" s="423" t="s">
        <v>424</v>
      </c>
      <c r="C1109" s="423" t="s">
        <v>1217</v>
      </c>
      <c r="D1109" s="425" t="s">
        <v>990</v>
      </c>
      <c r="E1109" s="425" t="s">
        <v>991</v>
      </c>
      <c r="F1109" s="425" t="s">
        <v>992</v>
      </c>
      <c r="G1109" s="425" t="s">
        <v>1054</v>
      </c>
      <c r="H1109" s="426" t="s">
        <v>699</v>
      </c>
      <c r="I1109" s="425" t="s">
        <v>1055</v>
      </c>
      <c r="J1109" s="425" t="s">
        <v>697</v>
      </c>
      <c r="K1109" s="425" t="s">
        <v>995</v>
      </c>
      <c r="L1109" s="425" t="s">
        <v>996</v>
      </c>
      <c r="M1109" s="425" t="s">
        <v>997</v>
      </c>
      <c r="N1109" s="425" t="s">
        <v>558</v>
      </c>
      <c r="O1109" s="425" t="s">
        <v>998</v>
      </c>
      <c r="P1109" s="425" t="s">
        <v>999</v>
      </c>
      <c r="Q1109" s="425" t="s">
        <v>1000</v>
      </c>
      <c r="R1109" s="425" t="s">
        <v>1001</v>
      </c>
      <c r="S1109" s="425" t="s">
        <v>1002</v>
      </c>
      <c r="T1109" s="423">
        <v>120</v>
      </c>
      <c r="U1109" s="423">
        <v>7</v>
      </c>
      <c r="V1109" s="423">
        <v>70</v>
      </c>
      <c r="W1109" s="423">
        <v>2.8</v>
      </c>
      <c r="X1109" s="423" t="s">
        <v>1041</v>
      </c>
      <c r="Y1109" s="423" t="s">
        <v>1041</v>
      </c>
      <c r="Z1109" s="423" t="s">
        <v>1059</v>
      </c>
      <c r="AD1109" s="423">
        <f>IF(ISNUMBER(MATCH(B1109,'FICHA SOLIC'!$AB$26:$AB$376,0)),1,0)</f>
        <v>1</v>
      </c>
      <c r="AE1109" s="423" t="str">
        <f t="shared" si="17"/>
        <v>PeñalolénS.M.2</v>
      </c>
    </row>
    <row r="1110" spans="1:31" x14ac:dyDescent="0.25">
      <c r="A1110" s="423">
        <v>1109</v>
      </c>
      <c r="B1110" s="423" t="s">
        <v>424</v>
      </c>
      <c r="C1110" s="423" t="s">
        <v>1211</v>
      </c>
      <c r="D1110" s="425" t="s">
        <v>990</v>
      </c>
      <c r="E1110" s="425" t="s">
        <v>991</v>
      </c>
      <c r="F1110" s="425" t="s">
        <v>992</v>
      </c>
      <c r="G1110" s="425" t="s">
        <v>1054</v>
      </c>
      <c r="H1110" s="426" t="s">
        <v>699</v>
      </c>
      <c r="I1110" s="425" t="s">
        <v>1055</v>
      </c>
      <c r="J1110" s="425" t="s">
        <v>697</v>
      </c>
      <c r="K1110" s="425" t="s">
        <v>995</v>
      </c>
      <c r="L1110" s="425" t="s">
        <v>996</v>
      </c>
      <c r="M1110" s="425" t="s">
        <v>997</v>
      </c>
      <c r="N1110" s="425" t="s">
        <v>558</v>
      </c>
      <c r="O1110" s="425" t="s">
        <v>998</v>
      </c>
      <c r="P1110" s="425" t="s">
        <v>999</v>
      </c>
      <c r="Q1110" s="425" t="s">
        <v>1000</v>
      </c>
      <c r="R1110" s="425" t="s">
        <v>1001</v>
      </c>
      <c r="S1110" s="425" t="s">
        <v>1002</v>
      </c>
      <c r="T1110" s="423">
        <v>480</v>
      </c>
      <c r="U1110" s="423">
        <v>8</v>
      </c>
      <c r="V1110" s="423">
        <v>40</v>
      </c>
      <c r="W1110" s="423">
        <v>0.4</v>
      </c>
      <c r="X1110" s="423" t="s">
        <v>1041</v>
      </c>
      <c r="Y1110" s="423" t="s">
        <v>1041</v>
      </c>
      <c r="Z1110" s="423" t="s">
        <v>1059</v>
      </c>
      <c r="AD1110" s="423">
        <f>IF(ISNUMBER(MATCH(B1110,'FICHA SOLIC'!$AB$26:$AB$376,0)),1,0)</f>
        <v>1</v>
      </c>
      <c r="AE1110" s="423" t="str">
        <f t="shared" si="17"/>
        <v>PeñalolénZ.1</v>
      </c>
    </row>
    <row r="1111" spans="1:31" x14ac:dyDescent="0.25">
      <c r="A1111" s="423">
        <v>1110</v>
      </c>
      <c r="B1111" s="423" t="s">
        <v>424</v>
      </c>
      <c r="C1111" s="423" t="s">
        <v>1212</v>
      </c>
      <c r="D1111" s="425" t="s">
        <v>990</v>
      </c>
      <c r="E1111" s="425" t="s">
        <v>991</v>
      </c>
      <c r="F1111" s="425" t="s">
        <v>992</v>
      </c>
      <c r="G1111" s="425" t="s">
        <v>1054</v>
      </c>
      <c r="H1111" s="426" t="s">
        <v>699</v>
      </c>
      <c r="I1111" s="425" t="s">
        <v>1055</v>
      </c>
      <c r="J1111" s="425" t="s">
        <v>697</v>
      </c>
      <c r="K1111" s="425" t="s">
        <v>995</v>
      </c>
      <c r="L1111" s="425" t="s">
        <v>996</v>
      </c>
      <c r="M1111" s="425" t="s">
        <v>997</v>
      </c>
      <c r="N1111" s="425" t="s">
        <v>558</v>
      </c>
      <c r="O1111" s="425" t="s">
        <v>998</v>
      </c>
      <c r="P1111" s="425" t="s">
        <v>999</v>
      </c>
      <c r="Q1111" s="425" t="s">
        <v>1000</v>
      </c>
      <c r="R1111" s="425" t="s">
        <v>1001</v>
      </c>
      <c r="S1111" s="425" t="s">
        <v>1002</v>
      </c>
      <c r="T1111" s="423">
        <v>480</v>
      </c>
      <c r="U1111" s="423">
        <v>8</v>
      </c>
      <c r="V1111" s="423">
        <v>40</v>
      </c>
      <c r="W1111" s="423">
        <v>0.4</v>
      </c>
      <c r="X1111" s="423" t="s">
        <v>1041</v>
      </c>
      <c r="Y1111" s="423" t="s">
        <v>1041</v>
      </c>
      <c r="Z1111" s="423" t="s">
        <v>1059</v>
      </c>
      <c r="AD1111" s="423">
        <f>IF(ISNUMBER(MATCH(B1111,'FICHA SOLIC'!$AB$26:$AB$376,0)),1,0)</f>
        <v>1</v>
      </c>
      <c r="AE1111" s="423" t="str">
        <f t="shared" si="17"/>
        <v>PeñalolénZ.2</v>
      </c>
    </row>
    <row r="1112" spans="1:31" x14ac:dyDescent="0.25">
      <c r="A1112" s="423">
        <v>1111</v>
      </c>
      <c r="B1112" s="423" t="s">
        <v>424</v>
      </c>
      <c r="C1112" s="423" t="s">
        <v>1797</v>
      </c>
      <c r="D1112" s="425" t="s">
        <v>990</v>
      </c>
      <c r="E1112" s="425" t="s">
        <v>991</v>
      </c>
      <c r="F1112" s="425" t="s">
        <v>992</v>
      </c>
      <c r="G1112" s="425" t="s">
        <v>1054</v>
      </c>
      <c r="H1112" s="426" t="s">
        <v>699</v>
      </c>
      <c r="I1112" s="425" t="s">
        <v>1055</v>
      </c>
      <c r="J1112" s="425" t="s">
        <v>697</v>
      </c>
      <c r="K1112" s="425" t="s">
        <v>995</v>
      </c>
      <c r="L1112" s="425" t="s">
        <v>996</v>
      </c>
      <c r="M1112" s="425" t="s">
        <v>997</v>
      </c>
      <c r="N1112" s="425" t="s">
        <v>558</v>
      </c>
      <c r="O1112" s="425" t="s">
        <v>998</v>
      </c>
      <c r="P1112" s="425" t="s">
        <v>999</v>
      </c>
      <c r="Q1112" s="425" t="s">
        <v>1000</v>
      </c>
      <c r="R1112" s="425" t="s">
        <v>1001</v>
      </c>
      <c r="S1112" s="425" t="s">
        <v>1002</v>
      </c>
      <c r="T1112" s="423">
        <v>3500</v>
      </c>
      <c r="U1112" s="423">
        <v>30</v>
      </c>
      <c r="V1112" s="423">
        <v>30</v>
      </c>
      <c r="W1112" s="423">
        <v>2.5</v>
      </c>
      <c r="X1112" s="423">
        <v>52.5</v>
      </c>
      <c r="Y1112" s="423" t="s">
        <v>1041</v>
      </c>
      <c r="Z1112" s="423" t="s">
        <v>1058</v>
      </c>
      <c r="AD1112" s="423">
        <f>IF(ISNUMBER(MATCH(B1112,'FICHA SOLIC'!$AB$26:$AB$376,0)),1,0)</f>
        <v>1</v>
      </c>
      <c r="AE1112" s="423" t="str">
        <f t="shared" si="17"/>
        <v>PeñalolénZE</v>
      </c>
    </row>
    <row r="1113" spans="1:31" x14ac:dyDescent="0.25">
      <c r="A1113" s="423">
        <v>1112</v>
      </c>
      <c r="B1113" s="423" t="s">
        <v>424</v>
      </c>
      <c r="C1113" s="423" t="s">
        <v>1798</v>
      </c>
      <c r="D1113" s="425" t="s">
        <v>990</v>
      </c>
      <c r="E1113" s="425" t="s">
        <v>991</v>
      </c>
      <c r="F1113" s="425" t="s">
        <v>992</v>
      </c>
      <c r="G1113" s="425" t="s">
        <v>1054</v>
      </c>
      <c r="H1113" s="426" t="s">
        <v>699</v>
      </c>
      <c r="I1113" s="425" t="s">
        <v>1055</v>
      </c>
      <c r="J1113" s="425" t="s">
        <v>697</v>
      </c>
      <c r="K1113" s="425" t="s">
        <v>995</v>
      </c>
      <c r="L1113" s="425" t="s">
        <v>996</v>
      </c>
      <c r="M1113" s="425" t="s">
        <v>997</v>
      </c>
      <c r="N1113" s="425" t="s">
        <v>558</v>
      </c>
      <c r="O1113" s="425" t="s">
        <v>998</v>
      </c>
      <c r="P1113" s="425" t="s">
        <v>999</v>
      </c>
      <c r="Q1113" s="425" t="s">
        <v>1000</v>
      </c>
      <c r="R1113" s="425" t="s">
        <v>1001</v>
      </c>
      <c r="S1113" s="425" t="s">
        <v>1002</v>
      </c>
      <c r="T1113" s="423">
        <v>2500</v>
      </c>
      <c r="U1113" s="423">
        <v>30</v>
      </c>
      <c r="V1113" s="423">
        <v>30</v>
      </c>
      <c r="W1113" s="423">
        <v>2.5</v>
      </c>
      <c r="X1113" s="423">
        <v>52.5</v>
      </c>
      <c r="Y1113" s="423" t="s">
        <v>1041</v>
      </c>
      <c r="Z1113" s="423" t="s">
        <v>1058</v>
      </c>
      <c r="AD1113" s="423">
        <f>IF(ISNUMBER(MATCH(B1113,'FICHA SOLIC'!$AB$26:$AB$376,0)),1,0)</f>
        <v>1</v>
      </c>
      <c r="AE1113" s="423" t="str">
        <f t="shared" si="17"/>
        <v>PeñalolénZHM-1</v>
      </c>
    </row>
    <row r="1114" spans="1:31" x14ac:dyDescent="0.25">
      <c r="A1114" s="423">
        <v>1113</v>
      </c>
      <c r="B1114" s="423" t="s">
        <v>424</v>
      </c>
      <c r="C1114" s="423" t="s">
        <v>1799</v>
      </c>
      <c r="D1114" s="425" t="s">
        <v>990</v>
      </c>
      <c r="E1114" s="425" t="s">
        <v>991</v>
      </c>
      <c r="F1114" s="425" t="s">
        <v>992</v>
      </c>
      <c r="G1114" s="425" t="s">
        <v>1054</v>
      </c>
      <c r="H1114" s="426" t="s">
        <v>699</v>
      </c>
      <c r="I1114" s="425" t="s">
        <v>1055</v>
      </c>
      <c r="J1114" s="425" t="s">
        <v>697</v>
      </c>
      <c r="K1114" s="425" t="s">
        <v>995</v>
      </c>
      <c r="L1114" s="425" t="s">
        <v>996</v>
      </c>
      <c r="M1114" s="425" t="s">
        <v>997</v>
      </c>
      <c r="N1114" s="425" t="s">
        <v>558</v>
      </c>
      <c r="O1114" s="425" t="s">
        <v>998</v>
      </c>
      <c r="P1114" s="425" t="s">
        <v>999</v>
      </c>
      <c r="Q1114" s="425" t="s">
        <v>1000</v>
      </c>
      <c r="R1114" s="425" t="s">
        <v>1001</v>
      </c>
      <c r="S1114" s="425" t="s">
        <v>1002</v>
      </c>
      <c r="T1114" s="423">
        <v>160</v>
      </c>
      <c r="U1114" s="423">
        <v>8</v>
      </c>
      <c r="V1114" s="423">
        <v>40</v>
      </c>
      <c r="W1114" s="423">
        <v>0.8</v>
      </c>
      <c r="X1114" s="423">
        <v>9</v>
      </c>
      <c r="Y1114" s="423" t="s">
        <v>1041</v>
      </c>
      <c r="Z1114" s="423" t="s">
        <v>1059</v>
      </c>
      <c r="AD1114" s="423">
        <f>IF(ISNUMBER(MATCH(B1114,'FICHA SOLIC'!$AB$26:$AB$376,0)),1,0)</f>
        <v>1</v>
      </c>
      <c r="AE1114" s="423" t="str">
        <f t="shared" si="17"/>
        <v>PeñalolénZHM-2</v>
      </c>
    </row>
    <row r="1115" spans="1:31" x14ac:dyDescent="0.25">
      <c r="A1115" s="423">
        <v>1114</v>
      </c>
      <c r="B1115" s="423" t="s">
        <v>424</v>
      </c>
      <c r="C1115" s="423" t="s">
        <v>1800</v>
      </c>
      <c r="D1115" s="425" t="s">
        <v>990</v>
      </c>
      <c r="E1115" s="425" t="s">
        <v>991</v>
      </c>
      <c r="F1115" s="425" t="s">
        <v>992</v>
      </c>
      <c r="G1115" s="425" t="s">
        <v>1054</v>
      </c>
      <c r="H1115" s="426" t="s">
        <v>699</v>
      </c>
      <c r="I1115" s="425" t="s">
        <v>1055</v>
      </c>
      <c r="J1115" s="425" t="s">
        <v>697</v>
      </c>
      <c r="K1115" s="425" t="s">
        <v>995</v>
      </c>
      <c r="L1115" s="425" t="s">
        <v>996</v>
      </c>
      <c r="M1115" s="425" t="s">
        <v>997</v>
      </c>
      <c r="N1115" s="425" t="s">
        <v>558</v>
      </c>
      <c r="O1115" s="425" t="s">
        <v>998</v>
      </c>
      <c r="P1115" s="425" t="s">
        <v>999</v>
      </c>
      <c r="Q1115" s="425" t="s">
        <v>1000</v>
      </c>
      <c r="R1115" s="425" t="s">
        <v>1001</v>
      </c>
      <c r="S1115" s="425" t="s">
        <v>1002</v>
      </c>
      <c r="T1115" s="423">
        <v>200</v>
      </c>
      <c r="U1115" s="423">
        <v>12</v>
      </c>
      <c r="V1115" s="423">
        <v>40</v>
      </c>
      <c r="W1115" s="423">
        <v>0.8</v>
      </c>
      <c r="X1115" s="423">
        <v>9</v>
      </c>
      <c r="Y1115" s="423" t="s">
        <v>1041</v>
      </c>
      <c r="Z1115" s="423" t="s">
        <v>1059</v>
      </c>
      <c r="AD1115" s="423">
        <f>IF(ISNUMBER(MATCH(B1115,'FICHA SOLIC'!$AB$26:$AB$376,0)),1,0)</f>
        <v>1</v>
      </c>
      <c r="AE1115" s="423" t="str">
        <f t="shared" si="17"/>
        <v>PeñalolénZHM-3</v>
      </c>
    </row>
    <row r="1116" spans="1:31" x14ac:dyDescent="0.25">
      <c r="A1116" s="423">
        <v>1115</v>
      </c>
      <c r="B1116" s="423" t="s">
        <v>424</v>
      </c>
      <c r="C1116" s="423" t="s">
        <v>1801</v>
      </c>
      <c r="D1116" s="425" t="s">
        <v>990</v>
      </c>
      <c r="E1116" s="425" t="s">
        <v>991</v>
      </c>
      <c r="F1116" s="425" t="s">
        <v>992</v>
      </c>
      <c r="G1116" s="425" t="s">
        <v>1054</v>
      </c>
      <c r="H1116" s="426" t="s">
        <v>699</v>
      </c>
      <c r="I1116" s="425" t="s">
        <v>1055</v>
      </c>
      <c r="J1116" s="425" t="s">
        <v>697</v>
      </c>
      <c r="K1116" s="425" t="s">
        <v>995</v>
      </c>
      <c r="L1116" s="425" t="s">
        <v>996</v>
      </c>
      <c r="M1116" s="425" t="s">
        <v>997</v>
      </c>
      <c r="N1116" s="425" t="s">
        <v>558</v>
      </c>
      <c r="O1116" s="425" t="s">
        <v>998</v>
      </c>
      <c r="P1116" s="425" t="s">
        <v>999</v>
      </c>
      <c r="Q1116" s="425" t="s">
        <v>1000</v>
      </c>
      <c r="R1116" s="425" t="s">
        <v>1001</v>
      </c>
      <c r="S1116" s="425" t="s">
        <v>1002</v>
      </c>
      <c r="T1116" s="423">
        <v>220</v>
      </c>
      <c r="U1116" s="423">
        <v>12</v>
      </c>
      <c r="V1116" s="423">
        <v>40</v>
      </c>
      <c r="W1116" s="423">
        <v>0.7</v>
      </c>
      <c r="X1116" s="423">
        <v>9</v>
      </c>
      <c r="Y1116" s="423" t="s">
        <v>1041</v>
      </c>
      <c r="Z1116" s="423" t="s">
        <v>1059</v>
      </c>
      <c r="AD1116" s="423">
        <f>IF(ISNUMBER(MATCH(B1116,'FICHA SOLIC'!$AB$26:$AB$376,0)),1,0)</f>
        <v>1</v>
      </c>
      <c r="AE1116" s="423" t="str">
        <f t="shared" si="17"/>
        <v>PeñalolénZHM-4</v>
      </c>
    </row>
    <row r="1117" spans="1:31" x14ac:dyDescent="0.25">
      <c r="A1117" s="423">
        <v>1116</v>
      </c>
      <c r="B1117" s="423" t="s">
        <v>424</v>
      </c>
      <c r="C1117" s="423" t="s">
        <v>1802</v>
      </c>
      <c r="D1117" s="425" t="s">
        <v>990</v>
      </c>
      <c r="E1117" s="425" t="s">
        <v>991</v>
      </c>
      <c r="F1117" s="425" t="s">
        <v>992</v>
      </c>
      <c r="G1117" s="425" t="s">
        <v>1054</v>
      </c>
      <c r="H1117" s="426" t="s">
        <v>699</v>
      </c>
      <c r="I1117" s="425" t="s">
        <v>1055</v>
      </c>
      <c r="J1117" s="425" t="s">
        <v>697</v>
      </c>
      <c r="K1117" s="425" t="s">
        <v>995</v>
      </c>
      <c r="L1117" s="425" t="s">
        <v>996</v>
      </c>
      <c r="M1117" s="425" t="s">
        <v>997</v>
      </c>
      <c r="N1117" s="425" t="s">
        <v>558</v>
      </c>
      <c r="O1117" s="425" t="s">
        <v>998</v>
      </c>
      <c r="P1117" s="425" t="s">
        <v>999</v>
      </c>
      <c r="Q1117" s="425" t="s">
        <v>1000</v>
      </c>
      <c r="R1117" s="425" t="s">
        <v>1001</v>
      </c>
      <c r="S1117" s="425" t="s">
        <v>1002</v>
      </c>
      <c r="T1117" s="423">
        <v>300</v>
      </c>
      <c r="U1117" s="423">
        <v>12</v>
      </c>
      <c r="V1117" s="423">
        <v>40</v>
      </c>
      <c r="W1117" s="423">
        <v>0.8</v>
      </c>
      <c r="X1117" s="423">
        <v>9</v>
      </c>
      <c r="Y1117" s="423" t="s">
        <v>1041</v>
      </c>
      <c r="Z1117" s="423" t="s">
        <v>1059</v>
      </c>
      <c r="AD1117" s="423">
        <f>IF(ISNUMBER(MATCH(B1117,'FICHA SOLIC'!$AB$26:$AB$376,0)),1,0)</f>
        <v>1</v>
      </c>
      <c r="AE1117" s="423" t="str">
        <f t="shared" si="17"/>
        <v>PeñalolénZHM-5</v>
      </c>
    </row>
    <row r="1118" spans="1:31" x14ac:dyDescent="0.25">
      <c r="A1118" s="423">
        <v>1117</v>
      </c>
      <c r="B1118" s="423" t="s">
        <v>201</v>
      </c>
      <c r="C1118" s="423" t="s">
        <v>1412</v>
      </c>
      <c r="D1118" s="425" t="s">
        <v>990</v>
      </c>
      <c r="E1118" s="425" t="s">
        <v>991</v>
      </c>
      <c r="F1118" s="425" t="s">
        <v>992</v>
      </c>
      <c r="G1118" s="425" t="s">
        <v>1054</v>
      </c>
      <c r="H1118" s="426" t="s">
        <v>699</v>
      </c>
      <c r="I1118" s="425" t="s">
        <v>1055</v>
      </c>
      <c r="J1118" s="425" t="s">
        <v>697</v>
      </c>
      <c r="K1118" s="425" t="s">
        <v>995</v>
      </c>
      <c r="L1118" s="425" t="s">
        <v>996</v>
      </c>
      <c r="M1118" s="425" t="s">
        <v>997</v>
      </c>
      <c r="N1118" s="425" t="s">
        <v>558</v>
      </c>
      <c r="O1118" s="425" t="s">
        <v>998</v>
      </c>
      <c r="P1118" s="425" t="s">
        <v>999</v>
      </c>
      <c r="Q1118" s="425" t="s">
        <v>1000</v>
      </c>
      <c r="R1118" s="425" t="s">
        <v>1001</v>
      </c>
      <c r="S1118" s="425" t="s">
        <v>1002</v>
      </c>
      <c r="T1118" s="423">
        <v>250</v>
      </c>
      <c r="U1118" s="423">
        <v>10</v>
      </c>
      <c r="V1118" s="423">
        <v>60</v>
      </c>
      <c r="W1118" s="423">
        <v>0.8</v>
      </c>
      <c r="X1118" s="423">
        <v>10.5</v>
      </c>
      <c r="Y1118" s="423" t="s">
        <v>1041</v>
      </c>
      <c r="Z1118" s="423" t="s">
        <v>1059</v>
      </c>
      <c r="AD1118" s="423">
        <f>IF(ISNUMBER(MATCH(B1118,'FICHA SOLIC'!$AB$26:$AB$376,0)),1,0)</f>
        <v>1</v>
      </c>
      <c r="AE1118" s="423" t="str">
        <f t="shared" si="17"/>
        <v>PichilemuA1</v>
      </c>
    </row>
    <row r="1119" spans="1:31" x14ac:dyDescent="0.25">
      <c r="A1119" s="423">
        <v>1118</v>
      </c>
      <c r="B1119" s="423" t="s">
        <v>201</v>
      </c>
      <c r="C1119" s="423" t="s">
        <v>1413</v>
      </c>
      <c r="D1119" s="425" t="s">
        <v>990</v>
      </c>
      <c r="E1119" s="425" t="s">
        <v>991</v>
      </c>
      <c r="F1119" s="425" t="s">
        <v>992</v>
      </c>
      <c r="G1119" s="425" t="s">
        <v>1054</v>
      </c>
      <c r="H1119" s="426" t="s">
        <v>699</v>
      </c>
      <c r="I1119" s="425" t="s">
        <v>1055</v>
      </c>
      <c r="J1119" s="425" t="s">
        <v>697</v>
      </c>
      <c r="K1119" s="425" t="s">
        <v>995</v>
      </c>
      <c r="L1119" s="425" t="s">
        <v>996</v>
      </c>
      <c r="M1119" s="425" t="s">
        <v>997</v>
      </c>
      <c r="N1119" s="425" t="s">
        <v>558</v>
      </c>
      <c r="O1119" s="425" t="s">
        <v>998</v>
      </c>
      <c r="P1119" s="425" t="s">
        <v>999</v>
      </c>
      <c r="Q1119" s="425" t="s">
        <v>1000</v>
      </c>
      <c r="R1119" s="425" t="s">
        <v>1001</v>
      </c>
      <c r="S1119" s="425" t="s">
        <v>1002</v>
      </c>
      <c r="T1119" s="423">
        <v>300</v>
      </c>
      <c r="U1119" s="423">
        <v>12</v>
      </c>
      <c r="V1119" s="423">
        <v>40</v>
      </c>
      <c r="W1119" s="423">
        <v>0.6</v>
      </c>
      <c r="X1119" s="423">
        <v>9</v>
      </c>
      <c r="Y1119" s="423" t="s">
        <v>1041</v>
      </c>
      <c r="Z1119" s="423" t="s">
        <v>1057</v>
      </c>
      <c r="AD1119" s="423">
        <f>IF(ISNUMBER(MATCH(B1119,'FICHA SOLIC'!$AB$26:$AB$376,0)),1,0)</f>
        <v>1</v>
      </c>
      <c r="AE1119" s="423" t="str">
        <f t="shared" si="17"/>
        <v>PichilemuA2</v>
      </c>
    </row>
    <row r="1120" spans="1:31" x14ac:dyDescent="0.25">
      <c r="A1120" s="423">
        <v>1119</v>
      </c>
      <c r="B1120" s="423" t="s">
        <v>201</v>
      </c>
      <c r="C1120" s="423" t="s">
        <v>1671</v>
      </c>
      <c r="D1120" s="425" t="s">
        <v>990</v>
      </c>
      <c r="E1120" s="425" t="s">
        <v>991</v>
      </c>
      <c r="F1120" s="425" t="s">
        <v>992</v>
      </c>
      <c r="G1120" s="425" t="s">
        <v>1054</v>
      </c>
      <c r="H1120" s="426" t="s">
        <v>699</v>
      </c>
      <c r="I1120" s="425" t="s">
        <v>1055</v>
      </c>
      <c r="J1120" s="425" t="s">
        <v>697</v>
      </c>
      <c r="K1120" s="425" t="s">
        <v>995</v>
      </c>
      <c r="L1120" s="425" t="s">
        <v>996</v>
      </c>
      <c r="M1120" s="425" t="s">
        <v>997</v>
      </c>
      <c r="N1120" s="425" t="s">
        <v>558</v>
      </c>
      <c r="O1120" s="425" t="s">
        <v>998</v>
      </c>
      <c r="P1120" s="425" t="s">
        <v>999</v>
      </c>
      <c r="Q1120" s="425" t="s">
        <v>1000</v>
      </c>
      <c r="R1120" s="425" t="s">
        <v>1001</v>
      </c>
      <c r="S1120" s="425" t="s">
        <v>1002</v>
      </c>
      <c r="T1120" s="423">
        <v>600</v>
      </c>
      <c r="U1120" s="423">
        <v>20</v>
      </c>
      <c r="V1120" s="423">
        <v>40</v>
      </c>
      <c r="W1120" s="423">
        <v>0.8</v>
      </c>
      <c r="X1120" s="423" t="s">
        <v>1437</v>
      </c>
      <c r="Y1120" s="423">
        <v>4</v>
      </c>
      <c r="Z1120" s="423" t="s">
        <v>1058</v>
      </c>
      <c r="AD1120" s="423">
        <f>IF(ISNUMBER(MATCH(B1120,'FICHA SOLIC'!$AB$26:$AB$376,0)),1,0)</f>
        <v>1</v>
      </c>
      <c r="AE1120" s="423" t="str">
        <f t="shared" si="17"/>
        <v>PichilemuA2-e</v>
      </c>
    </row>
    <row r="1121" spans="1:31" x14ac:dyDescent="0.25">
      <c r="A1121" s="423">
        <v>1120</v>
      </c>
      <c r="B1121" s="423" t="s">
        <v>201</v>
      </c>
      <c r="C1121" s="423" t="s">
        <v>1414</v>
      </c>
      <c r="D1121" s="425" t="s">
        <v>990</v>
      </c>
      <c r="E1121" s="425" t="s">
        <v>991</v>
      </c>
      <c r="F1121" s="425" t="s">
        <v>992</v>
      </c>
      <c r="G1121" s="425" t="s">
        <v>1054</v>
      </c>
      <c r="H1121" s="426" t="s">
        <v>699</v>
      </c>
      <c r="I1121" s="425" t="s">
        <v>1055</v>
      </c>
      <c r="J1121" s="425" t="s">
        <v>697</v>
      </c>
      <c r="K1121" s="425" t="s">
        <v>995</v>
      </c>
      <c r="L1121" s="425" t="s">
        <v>996</v>
      </c>
      <c r="M1121" s="425" t="s">
        <v>997</v>
      </c>
      <c r="N1121" s="425" t="s">
        <v>558</v>
      </c>
      <c r="O1121" s="425" t="s">
        <v>998</v>
      </c>
      <c r="P1121" s="425" t="s">
        <v>999</v>
      </c>
      <c r="Q1121" s="425" t="s">
        <v>1000</v>
      </c>
      <c r="R1121" s="425" t="s">
        <v>1001</v>
      </c>
      <c r="S1121" s="425" t="s">
        <v>1002</v>
      </c>
      <c r="T1121" s="423">
        <v>400</v>
      </c>
      <c r="U1121" s="423">
        <v>10</v>
      </c>
      <c r="V1121" s="423">
        <v>40</v>
      </c>
      <c r="W1121" s="423">
        <v>0.4</v>
      </c>
      <c r="X1121" s="423">
        <v>9</v>
      </c>
      <c r="Y1121" s="423" t="s">
        <v>1041</v>
      </c>
      <c r="Z1121" s="423" t="s">
        <v>1059</v>
      </c>
      <c r="AD1121" s="423">
        <f>IF(ISNUMBER(MATCH(B1121,'FICHA SOLIC'!$AB$26:$AB$376,0)),1,0)</f>
        <v>1</v>
      </c>
      <c r="AE1121" s="423" t="str">
        <f t="shared" si="17"/>
        <v>PichilemuA3</v>
      </c>
    </row>
    <row r="1122" spans="1:31" x14ac:dyDescent="0.25">
      <c r="A1122" s="423">
        <v>1121</v>
      </c>
      <c r="B1122" s="423" t="s">
        <v>201</v>
      </c>
      <c r="C1122" s="423" t="s">
        <v>1415</v>
      </c>
      <c r="D1122" s="425" t="s">
        <v>990</v>
      </c>
      <c r="E1122" s="425" t="s">
        <v>991</v>
      </c>
      <c r="F1122" s="425" t="s">
        <v>992</v>
      </c>
      <c r="G1122" s="425" t="s">
        <v>1054</v>
      </c>
      <c r="H1122" s="426" t="s">
        <v>699</v>
      </c>
      <c r="I1122" s="425" t="s">
        <v>1055</v>
      </c>
      <c r="J1122" s="425" t="s">
        <v>697</v>
      </c>
      <c r="K1122" s="425" t="s">
        <v>995</v>
      </c>
      <c r="L1122" s="425" t="s">
        <v>996</v>
      </c>
      <c r="M1122" s="425" t="s">
        <v>997</v>
      </c>
      <c r="N1122" s="425" t="s">
        <v>558</v>
      </c>
      <c r="O1122" s="425" t="s">
        <v>998</v>
      </c>
      <c r="P1122" s="425" t="s">
        <v>999</v>
      </c>
      <c r="Q1122" s="425" t="s">
        <v>1000</v>
      </c>
      <c r="R1122" s="425" t="s">
        <v>1001</v>
      </c>
      <c r="S1122" s="425" t="s">
        <v>1002</v>
      </c>
      <c r="T1122" s="423">
        <v>500</v>
      </c>
      <c r="U1122" s="423">
        <v>12</v>
      </c>
      <c r="V1122" s="423">
        <v>40</v>
      </c>
      <c r="W1122" s="423">
        <v>1</v>
      </c>
      <c r="X1122" s="423">
        <v>9</v>
      </c>
      <c r="Y1122" s="423" t="s">
        <v>1041</v>
      </c>
      <c r="Z1122" s="423" t="s">
        <v>1059</v>
      </c>
      <c r="AD1122" s="423">
        <f>IF(ISNUMBER(MATCH(B1122,'FICHA SOLIC'!$AB$26:$AB$376,0)),1,0)</f>
        <v>1</v>
      </c>
      <c r="AE1122" s="423" t="str">
        <f t="shared" si="17"/>
        <v>PichilemuA4</v>
      </c>
    </row>
    <row r="1123" spans="1:31" x14ac:dyDescent="0.25">
      <c r="A1123" s="423">
        <v>1122</v>
      </c>
      <c r="B1123" s="423" t="s">
        <v>201</v>
      </c>
      <c r="C1123" s="423" t="s">
        <v>1672</v>
      </c>
      <c r="D1123" s="425" t="s">
        <v>990</v>
      </c>
      <c r="E1123" s="425" t="s">
        <v>991</v>
      </c>
      <c r="F1123" s="425" t="s">
        <v>992</v>
      </c>
      <c r="G1123" s="425" t="s">
        <v>1054</v>
      </c>
      <c r="H1123" s="426" t="s">
        <v>699</v>
      </c>
      <c r="I1123" s="425" t="s">
        <v>1055</v>
      </c>
      <c r="J1123" s="425" t="s">
        <v>697</v>
      </c>
      <c r="K1123" s="425" t="s">
        <v>995</v>
      </c>
      <c r="L1123" s="425" t="s">
        <v>996</v>
      </c>
      <c r="M1123" s="425" t="s">
        <v>997</v>
      </c>
      <c r="N1123" s="425" t="s">
        <v>558</v>
      </c>
      <c r="O1123" s="425" t="s">
        <v>998</v>
      </c>
      <c r="P1123" s="425" t="s">
        <v>999</v>
      </c>
      <c r="Q1123" s="425" t="s">
        <v>1000</v>
      </c>
      <c r="R1123" s="425" t="s">
        <v>1001</v>
      </c>
      <c r="S1123" s="425" t="s">
        <v>1002</v>
      </c>
      <c r="T1123" s="423">
        <v>500</v>
      </c>
      <c r="U1123" s="423">
        <v>12</v>
      </c>
      <c r="V1123" s="423">
        <v>40</v>
      </c>
      <c r="W1123" s="423">
        <v>1</v>
      </c>
      <c r="X1123" s="423">
        <v>9</v>
      </c>
      <c r="Y1123" s="423" t="s">
        <v>1041</v>
      </c>
      <c r="Z1123" s="423" t="s">
        <v>1059</v>
      </c>
      <c r="AD1123" s="423">
        <f>IF(ISNUMBER(MATCH(B1123,'FICHA SOLIC'!$AB$26:$AB$376,0)),1,0)</f>
        <v>1</v>
      </c>
      <c r="AE1123" s="423" t="str">
        <f t="shared" si="17"/>
        <v>PichilemuA4 ( C )</v>
      </c>
    </row>
    <row r="1124" spans="1:31" x14ac:dyDescent="0.25">
      <c r="A1124" s="423">
        <v>1123</v>
      </c>
      <c r="B1124" s="423" t="s">
        <v>201</v>
      </c>
      <c r="C1124" s="423" t="s">
        <v>1416</v>
      </c>
      <c r="D1124" s="425" t="s">
        <v>990</v>
      </c>
      <c r="E1124" s="425" t="s">
        <v>991</v>
      </c>
      <c r="F1124" s="425" t="s">
        <v>992</v>
      </c>
      <c r="G1124" s="425" t="s">
        <v>1054</v>
      </c>
      <c r="H1124" s="426" t="s">
        <v>699</v>
      </c>
      <c r="I1124" s="425" t="s">
        <v>1055</v>
      </c>
      <c r="J1124" s="425" t="s">
        <v>697</v>
      </c>
      <c r="K1124" s="425" t="s">
        <v>995</v>
      </c>
      <c r="L1124" s="425" t="s">
        <v>996</v>
      </c>
      <c r="M1124" s="425" t="s">
        <v>997</v>
      </c>
      <c r="N1124" s="425" t="s">
        <v>558</v>
      </c>
      <c r="O1124" s="425" t="s">
        <v>998</v>
      </c>
      <c r="P1124" s="425" t="s">
        <v>999</v>
      </c>
      <c r="Q1124" s="425" t="s">
        <v>1000</v>
      </c>
      <c r="R1124" s="425" t="s">
        <v>1001</v>
      </c>
      <c r="S1124" s="425" t="s">
        <v>1002</v>
      </c>
      <c r="T1124" s="423">
        <v>600</v>
      </c>
      <c r="U1124" s="423">
        <v>15</v>
      </c>
      <c r="V1124" s="423">
        <v>40</v>
      </c>
      <c r="W1124" s="423">
        <v>0.4</v>
      </c>
      <c r="X1124" s="423">
        <v>9</v>
      </c>
      <c r="Y1124" s="423" t="s">
        <v>1041</v>
      </c>
      <c r="Z1124" s="423" t="s">
        <v>1058</v>
      </c>
      <c r="AD1124" s="423">
        <f>IF(ISNUMBER(MATCH(B1124,'FICHA SOLIC'!$AB$26:$AB$376,0)),1,0)</f>
        <v>1</v>
      </c>
      <c r="AE1124" s="423" t="str">
        <f t="shared" si="17"/>
        <v>PichilemuA5</v>
      </c>
    </row>
    <row r="1125" spans="1:31" x14ac:dyDescent="0.25">
      <c r="A1125" s="423">
        <v>1124</v>
      </c>
      <c r="B1125" s="423" t="s">
        <v>201</v>
      </c>
      <c r="C1125" s="423" t="s">
        <v>1417</v>
      </c>
      <c r="D1125" s="425" t="s">
        <v>990</v>
      </c>
      <c r="E1125" s="425" t="s">
        <v>991</v>
      </c>
      <c r="F1125" s="425" t="s">
        <v>992</v>
      </c>
      <c r="G1125" s="425" t="s">
        <v>1054</v>
      </c>
      <c r="H1125" s="426" t="s">
        <v>699</v>
      </c>
      <c r="I1125" s="425" t="s">
        <v>1055</v>
      </c>
      <c r="J1125" s="425" t="s">
        <v>697</v>
      </c>
      <c r="K1125" s="425" t="s">
        <v>995</v>
      </c>
      <c r="L1125" s="425" t="s">
        <v>996</v>
      </c>
      <c r="M1125" s="425" t="s">
        <v>997</v>
      </c>
      <c r="N1125" s="425" t="s">
        <v>558</v>
      </c>
      <c r="O1125" s="425" t="s">
        <v>998</v>
      </c>
      <c r="P1125" s="425" t="s">
        <v>999</v>
      </c>
      <c r="Q1125" s="425" t="s">
        <v>1000</v>
      </c>
      <c r="R1125" s="425" t="s">
        <v>1001</v>
      </c>
      <c r="S1125" s="425" t="s">
        <v>1002</v>
      </c>
      <c r="T1125" s="423">
        <v>800</v>
      </c>
      <c r="U1125" s="423">
        <v>18</v>
      </c>
      <c r="V1125" s="423">
        <v>30</v>
      </c>
      <c r="W1125" s="423">
        <v>0.3</v>
      </c>
      <c r="X1125" s="423">
        <v>7</v>
      </c>
      <c r="Y1125" s="423" t="s">
        <v>1041</v>
      </c>
      <c r="Z1125" s="423" t="s">
        <v>1058</v>
      </c>
      <c r="AD1125" s="423">
        <f>IF(ISNUMBER(MATCH(B1125,'FICHA SOLIC'!$AB$26:$AB$376,0)),1,0)</f>
        <v>1</v>
      </c>
      <c r="AE1125" s="423" t="str">
        <f t="shared" si="17"/>
        <v>PichilemuA6</v>
      </c>
    </row>
    <row r="1126" spans="1:31" x14ac:dyDescent="0.25">
      <c r="A1126" s="423">
        <v>1125</v>
      </c>
      <c r="B1126" s="423" t="s">
        <v>201</v>
      </c>
      <c r="C1126" s="423" t="s">
        <v>1418</v>
      </c>
      <c r="D1126" s="425" t="s">
        <v>990</v>
      </c>
      <c r="E1126" s="425" t="s">
        <v>991</v>
      </c>
      <c r="F1126" s="425" t="s">
        <v>992</v>
      </c>
      <c r="G1126" s="425" t="s">
        <v>1054</v>
      </c>
      <c r="H1126" s="426" t="s">
        <v>699</v>
      </c>
      <c r="I1126" s="425" t="s">
        <v>1055</v>
      </c>
      <c r="J1126" s="425" t="s">
        <v>697</v>
      </c>
      <c r="K1126" s="425" t="s">
        <v>995</v>
      </c>
      <c r="L1126" s="425" t="s">
        <v>996</v>
      </c>
      <c r="M1126" s="425" t="s">
        <v>997</v>
      </c>
      <c r="N1126" s="425" t="s">
        <v>558</v>
      </c>
      <c r="O1126" s="425" t="s">
        <v>998</v>
      </c>
      <c r="P1126" s="425" t="s">
        <v>999</v>
      </c>
      <c r="Q1126" s="425" t="s">
        <v>1000</v>
      </c>
      <c r="R1126" s="425" t="s">
        <v>1001</v>
      </c>
      <c r="S1126" s="425" t="s">
        <v>1002</v>
      </c>
      <c r="T1126" s="423">
        <v>800</v>
      </c>
      <c r="U1126" s="423">
        <v>18</v>
      </c>
      <c r="V1126" s="423">
        <v>30</v>
      </c>
      <c r="W1126" s="423">
        <v>0.3</v>
      </c>
      <c r="X1126" s="423">
        <v>7</v>
      </c>
      <c r="Y1126" s="423" t="s">
        <v>1041</v>
      </c>
      <c r="Z1126" s="423" t="s">
        <v>1058</v>
      </c>
      <c r="AD1126" s="423">
        <f>IF(ISNUMBER(MATCH(B1126,'FICHA SOLIC'!$AB$26:$AB$376,0)),1,0)</f>
        <v>1</v>
      </c>
      <c r="AE1126" s="423" t="str">
        <f t="shared" si="17"/>
        <v>PichilemuA7</v>
      </c>
    </row>
    <row r="1127" spans="1:31" x14ac:dyDescent="0.25">
      <c r="A1127" s="423">
        <v>1126</v>
      </c>
      <c r="B1127" s="423" t="s">
        <v>201</v>
      </c>
      <c r="C1127" s="423" t="s">
        <v>1419</v>
      </c>
      <c r="D1127" s="425" t="s">
        <v>990</v>
      </c>
      <c r="E1127" s="425" t="s">
        <v>991</v>
      </c>
      <c r="F1127" s="425" t="s">
        <v>992</v>
      </c>
      <c r="G1127" s="425" t="s">
        <v>1054</v>
      </c>
      <c r="H1127" s="426" t="s">
        <v>699</v>
      </c>
      <c r="I1127" s="425" t="s">
        <v>1055</v>
      </c>
      <c r="J1127" s="425" t="s">
        <v>697</v>
      </c>
      <c r="K1127" s="425" t="s">
        <v>995</v>
      </c>
      <c r="L1127" s="425" t="s">
        <v>996</v>
      </c>
      <c r="M1127" s="425" t="s">
        <v>997</v>
      </c>
      <c r="N1127" s="425" t="s">
        <v>558</v>
      </c>
      <c r="O1127" s="425" t="s">
        <v>998</v>
      </c>
      <c r="P1127" s="425" t="s">
        <v>999</v>
      </c>
      <c r="Q1127" s="425" t="s">
        <v>1000</v>
      </c>
      <c r="R1127" s="425" t="s">
        <v>1001</v>
      </c>
      <c r="S1127" s="425" t="s">
        <v>1002</v>
      </c>
      <c r="T1127" s="423">
        <v>800</v>
      </c>
      <c r="U1127" s="423">
        <v>18</v>
      </c>
      <c r="V1127" s="423">
        <v>30</v>
      </c>
      <c r="W1127" s="423">
        <v>0.3</v>
      </c>
      <c r="X1127" s="423">
        <v>7</v>
      </c>
      <c r="Y1127" s="423" t="s">
        <v>1041</v>
      </c>
      <c r="Z1127" s="423" t="s">
        <v>1058</v>
      </c>
      <c r="AD1127" s="423">
        <f>IF(ISNUMBER(MATCH(B1127,'FICHA SOLIC'!$AB$26:$AB$376,0)),1,0)</f>
        <v>1</v>
      </c>
      <c r="AE1127" s="423" t="str">
        <f t="shared" si="17"/>
        <v>PichilemuA8</v>
      </c>
    </row>
    <row r="1128" spans="1:31" x14ac:dyDescent="0.25">
      <c r="A1128" s="423">
        <v>1127</v>
      </c>
      <c r="B1128" s="423" t="s">
        <v>201</v>
      </c>
      <c r="C1128" s="423" t="s">
        <v>1673</v>
      </c>
      <c r="D1128" s="425" t="s">
        <v>990</v>
      </c>
      <c r="E1128" s="425" t="s">
        <v>991</v>
      </c>
      <c r="F1128" s="425" t="s">
        <v>992</v>
      </c>
      <c r="G1128" s="425" t="s">
        <v>1054</v>
      </c>
      <c r="H1128" s="426" t="s">
        <v>699</v>
      </c>
      <c r="I1128" s="425" t="s">
        <v>1055</v>
      </c>
      <c r="J1128" s="425" t="s">
        <v>697</v>
      </c>
      <c r="K1128" s="425" t="s">
        <v>995</v>
      </c>
      <c r="L1128" s="425" t="s">
        <v>996</v>
      </c>
      <c r="M1128" s="425" t="s">
        <v>997</v>
      </c>
      <c r="N1128" s="425" t="s">
        <v>558</v>
      </c>
      <c r="O1128" s="425" t="s">
        <v>998</v>
      </c>
      <c r="P1128" s="425" t="s">
        <v>999</v>
      </c>
      <c r="Q1128" s="425" t="s">
        <v>1000</v>
      </c>
      <c r="R1128" s="425" t="s">
        <v>1001</v>
      </c>
      <c r="S1128" s="425" t="s">
        <v>1002</v>
      </c>
      <c r="T1128" s="423">
        <v>5000</v>
      </c>
      <c r="U1128" s="423">
        <v>50</v>
      </c>
      <c r="V1128" s="423">
        <v>20</v>
      </c>
      <c r="W1128" s="423">
        <v>0.8</v>
      </c>
      <c r="X1128" s="423">
        <v>14</v>
      </c>
      <c r="Y1128" s="423" t="s">
        <v>1041</v>
      </c>
      <c r="Z1128" s="423" t="s">
        <v>1058</v>
      </c>
      <c r="AD1128" s="423">
        <f>IF(ISNUMBER(MATCH(B1128,'FICHA SOLIC'!$AB$26:$AB$376,0)),1,0)</f>
        <v>1</v>
      </c>
      <c r="AE1128" s="423" t="str">
        <f t="shared" si="17"/>
        <v>PichilemuA9 ( C )</v>
      </c>
    </row>
    <row r="1129" spans="1:31" x14ac:dyDescent="0.25">
      <c r="A1129" s="423">
        <v>1128</v>
      </c>
      <c r="B1129" s="423" t="s">
        <v>201</v>
      </c>
      <c r="C1129" s="423" t="s">
        <v>1674</v>
      </c>
      <c r="D1129" s="425" t="s">
        <v>990</v>
      </c>
      <c r="E1129" s="425" t="s">
        <v>991</v>
      </c>
      <c r="F1129" s="425" t="s">
        <v>992</v>
      </c>
      <c r="G1129" s="425" t="s">
        <v>1054</v>
      </c>
      <c r="H1129" s="426" t="s">
        <v>699</v>
      </c>
      <c r="I1129" s="425" t="s">
        <v>1055</v>
      </c>
      <c r="J1129" s="425" t="s">
        <v>697</v>
      </c>
      <c r="K1129" s="425" t="s">
        <v>995</v>
      </c>
      <c r="L1129" s="425" t="s">
        <v>996</v>
      </c>
      <c r="M1129" s="425" t="s">
        <v>997</v>
      </c>
      <c r="N1129" s="425" t="s">
        <v>558</v>
      </c>
      <c r="O1129" s="425" t="s">
        <v>998</v>
      </c>
      <c r="P1129" s="425" t="s">
        <v>999</v>
      </c>
      <c r="Q1129" s="425" t="s">
        <v>1000</v>
      </c>
      <c r="R1129" s="425" t="s">
        <v>1001</v>
      </c>
      <c r="S1129" s="425" t="s">
        <v>1002</v>
      </c>
      <c r="T1129" s="423">
        <v>500</v>
      </c>
      <c r="U1129" s="423">
        <v>15</v>
      </c>
      <c r="V1129" s="423">
        <v>60</v>
      </c>
      <c r="W1129" s="423">
        <v>0.8</v>
      </c>
      <c r="X1129" s="423">
        <v>10.5</v>
      </c>
      <c r="Y1129" s="423" t="s">
        <v>1041</v>
      </c>
      <c r="Z1129" s="423" t="s">
        <v>1059</v>
      </c>
      <c r="AD1129" s="423">
        <f>IF(ISNUMBER(MATCH(B1129,'FICHA SOLIC'!$AB$26:$AB$376,0)),1,0)</f>
        <v>1</v>
      </c>
      <c r="AE1129" s="423" t="str">
        <f t="shared" si="17"/>
        <v>PichilemuB1</v>
      </c>
    </row>
    <row r="1130" spans="1:31" x14ac:dyDescent="0.25">
      <c r="A1130" s="423">
        <v>1129</v>
      </c>
      <c r="B1130" s="423" t="s">
        <v>201</v>
      </c>
      <c r="C1130" s="423" t="s">
        <v>1422</v>
      </c>
      <c r="D1130" s="425" t="s">
        <v>990</v>
      </c>
      <c r="E1130" s="425" t="s">
        <v>991</v>
      </c>
      <c r="F1130" s="425" t="s">
        <v>992</v>
      </c>
      <c r="G1130" s="425" t="s">
        <v>1054</v>
      </c>
      <c r="H1130" s="426" t="s">
        <v>699</v>
      </c>
      <c r="I1130" s="425" t="s">
        <v>1055</v>
      </c>
      <c r="J1130" s="425" t="s">
        <v>697</v>
      </c>
      <c r="K1130" s="425" t="s">
        <v>995</v>
      </c>
      <c r="L1130" s="425" t="s">
        <v>996</v>
      </c>
      <c r="M1130" s="425" t="s">
        <v>997</v>
      </c>
      <c r="N1130" s="425" t="s">
        <v>558</v>
      </c>
      <c r="O1130" s="425" t="s">
        <v>998</v>
      </c>
      <c r="P1130" s="425" t="s">
        <v>999</v>
      </c>
      <c r="Q1130" s="425" t="s">
        <v>1000</v>
      </c>
      <c r="R1130" s="425" t="s">
        <v>1001</v>
      </c>
      <c r="S1130" s="425" t="s">
        <v>1002</v>
      </c>
      <c r="T1130" s="423">
        <v>400</v>
      </c>
      <c r="U1130" s="423">
        <v>15</v>
      </c>
      <c r="V1130" s="423">
        <v>60</v>
      </c>
      <c r="W1130" s="423">
        <v>1.2</v>
      </c>
      <c r="X1130" s="423">
        <v>10.5</v>
      </c>
      <c r="Y1130" s="423" t="s">
        <v>1041</v>
      </c>
      <c r="Z1130" s="423" t="s">
        <v>1059</v>
      </c>
      <c r="AD1130" s="423">
        <f>IF(ISNUMBER(MATCH(B1130,'FICHA SOLIC'!$AB$26:$AB$376,0)),1,0)</f>
        <v>1</v>
      </c>
      <c r="AE1130" s="423" t="str">
        <f t="shared" si="17"/>
        <v>PichilemuB2</v>
      </c>
    </row>
    <row r="1131" spans="1:31" x14ac:dyDescent="0.25">
      <c r="A1131" s="423">
        <v>1130</v>
      </c>
      <c r="B1131" s="423" t="s">
        <v>201</v>
      </c>
      <c r="C1131" s="423" t="s">
        <v>1675</v>
      </c>
      <c r="D1131" s="425" t="s">
        <v>990</v>
      </c>
      <c r="E1131" s="425" t="s">
        <v>991</v>
      </c>
      <c r="F1131" s="425" t="s">
        <v>992</v>
      </c>
      <c r="G1131" s="425" t="s">
        <v>1054</v>
      </c>
      <c r="H1131" s="426" t="s">
        <v>699</v>
      </c>
      <c r="I1131" s="425" t="s">
        <v>1055</v>
      </c>
      <c r="J1131" s="425" t="s">
        <v>697</v>
      </c>
      <c r="K1131" s="425" t="s">
        <v>995</v>
      </c>
      <c r="L1131" s="425" t="s">
        <v>996</v>
      </c>
      <c r="M1131" s="425" t="s">
        <v>997</v>
      </c>
      <c r="N1131" s="425" t="s">
        <v>558</v>
      </c>
      <c r="O1131" s="425" t="s">
        <v>998</v>
      </c>
      <c r="P1131" s="425" t="s">
        <v>999</v>
      </c>
      <c r="Q1131" s="425" t="s">
        <v>1000</v>
      </c>
      <c r="R1131" s="425" t="s">
        <v>1001</v>
      </c>
      <c r="S1131" s="425" t="s">
        <v>1002</v>
      </c>
      <c r="T1131" s="423">
        <v>800</v>
      </c>
      <c r="U1131" s="423">
        <v>25</v>
      </c>
      <c r="V1131" s="423">
        <v>60</v>
      </c>
      <c r="W1131" s="423">
        <v>1</v>
      </c>
      <c r="X1131" s="423">
        <v>21</v>
      </c>
      <c r="Y1131" s="423" t="s">
        <v>1041</v>
      </c>
      <c r="Z1131" s="423" t="s">
        <v>1058</v>
      </c>
      <c r="AD1131" s="423">
        <f>IF(ISNUMBER(MATCH(B1131,'FICHA SOLIC'!$AB$26:$AB$376,0)),1,0)</f>
        <v>1</v>
      </c>
      <c r="AE1131" s="423" t="str">
        <f t="shared" si="17"/>
        <v>PichilemuBCD</v>
      </c>
    </row>
    <row r="1132" spans="1:31" x14ac:dyDescent="0.25">
      <c r="A1132" s="423">
        <v>1131</v>
      </c>
      <c r="B1132" s="423" t="s">
        <v>201</v>
      </c>
      <c r="C1132" s="423" t="s">
        <v>1179</v>
      </c>
      <c r="D1132" s="425" t="s">
        <v>990</v>
      </c>
      <c r="E1132" s="425" t="s">
        <v>991</v>
      </c>
      <c r="F1132" s="425" t="s">
        <v>992</v>
      </c>
      <c r="G1132" s="425" t="s">
        <v>1054</v>
      </c>
      <c r="H1132" s="426" t="s">
        <v>699</v>
      </c>
      <c r="I1132" s="425" t="s">
        <v>1055</v>
      </c>
      <c r="J1132" s="425" t="s">
        <v>697</v>
      </c>
      <c r="K1132" s="425" t="s">
        <v>995</v>
      </c>
      <c r="L1132" s="425" t="s">
        <v>996</v>
      </c>
      <c r="M1132" s="425" t="s">
        <v>997</v>
      </c>
      <c r="N1132" s="425" t="s">
        <v>558</v>
      </c>
      <c r="O1132" s="425" t="s">
        <v>998</v>
      </c>
      <c r="P1132" s="425" t="s">
        <v>999</v>
      </c>
      <c r="Q1132" s="425" t="s">
        <v>1000</v>
      </c>
      <c r="R1132" s="425" t="s">
        <v>1001</v>
      </c>
      <c r="S1132" s="425" t="s">
        <v>1002</v>
      </c>
      <c r="T1132" s="423" t="s">
        <v>1025</v>
      </c>
      <c r="U1132" s="423" t="s">
        <v>1025</v>
      </c>
      <c r="V1132" s="423">
        <v>2</v>
      </c>
      <c r="W1132" s="423">
        <v>0.02</v>
      </c>
      <c r="X1132" s="423">
        <v>7</v>
      </c>
      <c r="Y1132" s="423" t="s">
        <v>1041</v>
      </c>
      <c r="Z1132" s="423" t="s">
        <v>1058</v>
      </c>
      <c r="AD1132" s="423">
        <f>IF(ISNUMBER(MATCH(B1132,'FICHA SOLIC'!$AB$26:$AB$376,0)),1,0)</f>
        <v>1</v>
      </c>
      <c r="AE1132" s="423" t="str">
        <f t="shared" si="17"/>
        <v>PichilemuD</v>
      </c>
    </row>
    <row r="1133" spans="1:31" x14ac:dyDescent="0.25">
      <c r="A1133" s="423">
        <v>1132</v>
      </c>
      <c r="B1133" s="423" t="s">
        <v>201</v>
      </c>
      <c r="C1133" s="423" t="s">
        <v>1250</v>
      </c>
      <c r="D1133" s="425" t="s">
        <v>990</v>
      </c>
      <c r="E1133" s="425" t="s">
        <v>991</v>
      </c>
      <c r="F1133" s="425" t="s">
        <v>992</v>
      </c>
      <c r="G1133" s="425" t="s">
        <v>1054</v>
      </c>
      <c r="H1133" s="426" t="s">
        <v>699</v>
      </c>
      <c r="I1133" s="425" t="s">
        <v>1055</v>
      </c>
      <c r="J1133" s="425" t="s">
        <v>697</v>
      </c>
      <c r="K1133" s="425" t="s">
        <v>995</v>
      </c>
      <c r="L1133" s="425" t="s">
        <v>996</v>
      </c>
      <c r="M1133" s="425" t="s">
        <v>997</v>
      </c>
      <c r="N1133" s="425" t="s">
        <v>558</v>
      </c>
      <c r="O1133" s="425" t="s">
        <v>998</v>
      </c>
      <c r="P1133" s="425" t="s">
        <v>999</v>
      </c>
      <c r="Q1133" s="425" t="s">
        <v>1000</v>
      </c>
      <c r="R1133" s="425" t="s">
        <v>1001</v>
      </c>
      <c r="S1133" s="425" t="s">
        <v>1002</v>
      </c>
      <c r="T1133" s="423">
        <v>5000</v>
      </c>
      <c r="U1133" s="423">
        <v>30</v>
      </c>
      <c r="V1133" s="423">
        <v>2</v>
      </c>
      <c r="W1133" s="423">
        <v>0.02</v>
      </c>
      <c r="X1133" s="423">
        <v>3.5</v>
      </c>
      <c r="Y1133" s="423" t="s">
        <v>1041</v>
      </c>
      <c r="Z1133" s="423" t="s">
        <v>1058</v>
      </c>
      <c r="AD1133" s="423">
        <f>IF(ISNUMBER(MATCH(B1133,'FICHA SOLIC'!$AB$26:$AB$376,0)),1,0)</f>
        <v>1</v>
      </c>
      <c r="AE1133" s="423" t="str">
        <f t="shared" si="17"/>
        <v>PichilemuE</v>
      </c>
    </row>
    <row r="1134" spans="1:31" x14ac:dyDescent="0.25">
      <c r="A1134" s="423">
        <v>1133</v>
      </c>
      <c r="B1134" s="423" t="s">
        <v>201</v>
      </c>
      <c r="C1134" s="423" t="s">
        <v>1676</v>
      </c>
      <c r="D1134" s="425" t="s">
        <v>990</v>
      </c>
      <c r="E1134" s="425" t="s">
        <v>991</v>
      </c>
      <c r="F1134" s="425" t="s">
        <v>992</v>
      </c>
      <c r="G1134" s="425" t="s">
        <v>1054</v>
      </c>
      <c r="H1134" s="426" t="s">
        <v>699</v>
      </c>
      <c r="I1134" s="425" t="s">
        <v>1055</v>
      </c>
      <c r="J1134" s="425" t="s">
        <v>697</v>
      </c>
      <c r="K1134" s="425" t="s">
        <v>995</v>
      </c>
      <c r="L1134" s="425" t="s">
        <v>996</v>
      </c>
      <c r="M1134" s="425" t="s">
        <v>997</v>
      </c>
      <c r="N1134" s="425" t="s">
        <v>558</v>
      </c>
      <c r="O1134" s="425" t="s">
        <v>998</v>
      </c>
      <c r="P1134" s="425" t="s">
        <v>999</v>
      </c>
      <c r="Q1134" s="425" t="s">
        <v>1000</v>
      </c>
      <c r="R1134" s="425" t="s">
        <v>1001</v>
      </c>
      <c r="S1134" s="425" t="s">
        <v>1002</v>
      </c>
      <c r="T1134" s="423">
        <v>5000</v>
      </c>
      <c r="U1134" s="423">
        <v>30</v>
      </c>
      <c r="V1134" s="423">
        <v>30</v>
      </c>
      <c r="W1134" s="423">
        <v>0.3</v>
      </c>
      <c r="X1134" s="423">
        <v>7</v>
      </c>
      <c r="Y1134" s="423" t="s">
        <v>1041</v>
      </c>
      <c r="Z1134" s="423" t="s">
        <v>1058</v>
      </c>
      <c r="AD1134" s="423">
        <f>IF(ISNUMBER(MATCH(B1134,'FICHA SOLIC'!$AB$26:$AB$376,0)),1,0)</f>
        <v>1</v>
      </c>
      <c r="AE1134" s="423" t="str">
        <f t="shared" si="17"/>
        <v>PichilemuEB</v>
      </c>
    </row>
    <row r="1135" spans="1:31" x14ac:dyDescent="0.25">
      <c r="A1135" s="423">
        <v>1134</v>
      </c>
      <c r="B1135" s="423" t="s">
        <v>201</v>
      </c>
      <c r="C1135" s="423" t="s">
        <v>1677</v>
      </c>
      <c r="D1135" s="425" t="s">
        <v>990</v>
      </c>
      <c r="E1135" s="425" t="s">
        <v>991</v>
      </c>
      <c r="F1135" s="425" t="s">
        <v>992</v>
      </c>
      <c r="G1135" s="425" t="s">
        <v>1054</v>
      </c>
      <c r="H1135" s="426" t="s">
        <v>699</v>
      </c>
      <c r="I1135" s="425" t="s">
        <v>1055</v>
      </c>
      <c r="J1135" s="425" t="s">
        <v>697</v>
      </c>
      <c r="K1135" s="425" t="s">
        <v>995</v>
      </c>
      <c r="L1135" s="425" t="s">
        <v>996</v>
      </c>
      <c r="M1135" s="425" t="s">
        <v>997</v>
      </c>
      <c r="N1135" s="425" t="s">
        <v>558</v>
      </c>
      <c r="O1135" s="425" t="s">
        <v>998</v>
      </c>
      <c r="P1135" s="425" t="s">
        <v>999</v>
      </c>
      <c r="Q1135" s="425" t="s">
        <v>1000</v>
      </c>
      <c r="R1135" s="425" t="s">
        <v>1001</v>
      </c>
      <c r="S1135" s="425" t="s">
        <v>1002</v>
      </c>
      <c r="T1135" s="423" t="s">
        <v>1097</v>
      </c>
      <c r="U1135" s="423" t="s">
        <v>1041</v>
      </c>
      <c r="V1135" s="423" t="s">
        <v>1041</v>
      </c>
      <c r="W1135" s="423" t="s">
        <v>1041</v>
      </c>
      <c r="X1135" s="423" t="s">
        <v>1680</v>
      </c>
      <c r="Y1135" s="423" t="s">
        <v>1041</v>
      </c>
      <c r="Z1135" s="423" t="s">
        <v>1041</v>
      </c>
      <c r="AD1135" s="423">
        <f>IF(ISNUMBER(MATCH(B1135,'FICHA SOLIC'!$AB$26:$AB$376,0)),1,0)</f>
        <v>1</v>
      </c>
      <c r="AE1135" s="423" t="str">
        <f t="shared" si="17"/>
        <v>PichilemuP1</v>
      </c>
    </row>
    <row r="1136" spans="1:31" x14ac:dyDescent="0.25">
      <c r="A1136" s="423">
        <v>1135</v>
      </c>
      <c r="B1136" s="423" t="s">
        <v>201</v>
      </c>
      <c r="C1136" s="423" t="s">
        <v>1678</v>
      </c>
      <c r="D1136" s="425" t="s">
        <v>990</v>
      </c>
      <c r="E1136" s="425" t="s">
        <v>991</v>
      </c>
      <c r="F1136" s="425" t="s">
        <v>992</v>
      </c>
      <c r="G1136" s="425" t="s">
        <v>1054</v>
      </c>
      <c r="H1136" s="426" t="s">
        <v>699</v>
      </c>
      <c r="I1136" s="425" t="s">
        <v>1055</v>
      </c>
      <c r="J1136" s="425" t="s">
        <v>697</v>
      </c>
      <c r="K1136" s="425" t="s">
        <v>995</v>
      </c>
      <c r="L1136" s="425" t="s">
        <v>996</v>
      </c>
      <c r="M1136" s="425" t="s">
        <v>997</v>
      </c>
      <c r="N1136" s="425" t="s">
        <v>558</v>
      </c>
      <c r="O1136" s="425" t="s">
        <v>998</v>
      </c>
      <c r="P1136" s="425" t="s">
        <v>999</v>
      </c>
      <c r="Q1136" s="425" t="s">
        <v>1000</v>
      </c>
      <c r="R1136" s="425" t="s">
        <v>1001</v>
      </c>
      <c r="S1136" s="425" t="s">
        <v>1002</v>
      </c>
      <c r="T1136" s="423" t="s">
        <v>1097</v>
      </c>
      <c r="U1136" s="423" t="s">
        <v>1041</v>
      </c>
      <c r="V1136" s="423" t="s">
        <v>1041</v>
      </c>
      <c r="W1136" s="423" t="s">
        <v>1041</v>
      </c>
      <c r="X1136" s="423" t="s">
        <v>1680</v>
      </c>
      <c r="Y1136" s="423" t="s">
        <v>1041</v>
      </c>
      <c r="Z1136" s="423" t="s">
        <v>1041</v>
      </c>
      <c r="AD1136" s="423">
        <f>IF(ISNUMBER(MATCH(B1136,'FICHA SOLIC'!$AB$26:$AB$376,0)),1,0)</f>
        <v>1</v>
      </c>
      <c r="AE1136" s="423" t="str">
        <f t="shared" si="17"/>
        <v>PichilemuP2</v>
      </c>
    </row>
    <row r="1137" spans="1:31" x14ac:dyDescent="0.25">
      <c r="A1137" s="423">
        <v>1136</v>
      </c>
      <c r="B1137" s="423" t="s">
        <v>201</v>
      </c>
      <c r="C1137" s="423" t="s">
        <v>1679</v>
      </c>
      <c r="D1137" s="425" t="s">
        <v>990</v>
      </c>
      <c r="E1137" s="425" t="s">
        <v>991</v>
      </c>
      <c r="F1137" s="425" t="s">
        <v>992</v>
      </c>
      <c r="G1137" s="425" t="s">
        <v>1054</v>
      </c>
      <c r="H1137" s="426" t="s">
        <v>699</v>
      </c>
      <c r="I1137" s="425" t="s">
        <v>1055</v>
      </c>
      <c r="J1137" s="425" t="s">
        <v>697</v>
      </c>
      <c r="K1137" s="425" t="s">
        <v>995</v>
      </c>
      <c r="L1137" s="425" t="s">
        <v>996</v>
      </c>
      <c r="M1137" s="425" t="s">
        <v>997</v>
      </c>
      <c r="N1137" s="425" t="s">
        <v>558</v>
      </c>
      <c r="O1137" s="425" t="s">
        <v>998</v>
      </c>
      <c r="P1137" s="425" t="s">
        <v>999</v>
      </c>
      <c r="Q1137" s="425" t="s">
        <v>1000</v>
      </c>
      <c r="R1137" s="425" t="s">
        <v>1001</v>
      </c>
      <c r="S1137" s="425" t="s">
        <v>1002</v>
      </c>
      <c r="T1137" s="423" t="s">
        <v>1041</v>
      </c>
      <c r="U1137" s="423" t="s">
        <v>1041</v>
      </c>
      <c r="V1137" s="423" t="s">
        <v>1041</v>
      </c>
      <c r="W1137" s="423" t="s">
        <v>1041</v>
      </c>
      <c r="X1137" s="423" t="s">
        <v>1041</v>
      </c>
      <c r="Y1137" s="423" t="s">
        <v>1041</v>
      </c>
      <c r="Z1137" s="423" t="s">
        <v>1041</v>
      </c>
      <c r="AD1137" s="423">
        <f>IF(ISNUMBER(MATCH(B1137,'FICHA SOLIC'!$AB$26:$AB$376,0)),1,0)</f>
        <v>1</v>
      </c>
      <c r="AE1137" s="423" t="str">
        <f t="shared" si="17"/>
        <v>PichilemuPPA</v>
      </c>
    </row>
    <row r="1138" spans="1:31" x14ac:dyDescent="0.25">
      <c r="A1138" s="423">
        <v>1137</v>
      </c>
      <c r="B1138" s="423" t="s">
        <v>201</v>
      </c>
      <c r="C1138" s="423" t="s">
        <v>1434</v>
      </c>
      <c r="D1138" s="425" t="s">
        <v>990</v>
      </c>
      <c r="E1138" s="425" t="s">
        <v>991</v>
      </c>
      <c r="F1138" s="425" t="s">
        <v>992</v>
      </c>
      <c r="G1138" s="425" t="s">
        <v>1054</v>
      </c>
      <c r="H1138" s="426" t="s">
        <v>699</v>
      </c>
      <c r="I1138" s="425" t="s">
        <v>1055</v>
      </c>
      <c r="J1138" s="425" t="s">
        <v>697</v>
      </c>
      <c r="K1138" s="425" t="s">
        <v>995</v>
      </c>
      <c r="L1138" s="425" t="s">
        <v>996</v>
      </c>
      <c r="M1138" s="425" t="s">
        <v>997</v>
      </c>
      <c r="N1138" s="425" t="s">
        <v>558</v>
      </c>
      <c r="O1138" s="425" t="s">
        <v>998</v>
      </c>
      <c r="P1138" s="425" t="s">
        <v>999</v>
      </c>
      <c r="Q1138" s="425" t="s">
        <v>1000</v>
      </c>
      <c r="R1138" s="425" t="s">
        <v>1001</v>
      </c>
      <c r="S1138" s="425" t="s">
        <v>1002</v>
      </c>
      <c r="T1138" s="423" t="s">
        <v>1097</v>
      </c>
      <c r="U1138" s="423" t="s">
        <v>1097</v>
      </c>
      <c r="V1138" s="423" t="s">
        <v>1097</v>
      </c>
      <c r="W1138" s="423" t="s">
        <v>1097</v>
      </c>
      <c r="X1138" s="423" t="s">
        <v>1097</v>
      </c>
      <c r="Y1138" s="423" t="s">
        <v>1097</v>
      </c>
      <c r="Z1138" s="423" t="s">
        <v>1097</v>
      </c>
      <c r="AD1138" s="423">
        <f>IF(ISNUMBER(MATCH(B1138,'FICHA SOLIC'!$AB$26:$AB$376,0)),1,0)</f>
        <v>1</v>
      </c>
      <c r="AE1138" s="423" t="str">
        <f t="shared" si="17"/>
        <v>PichilemuR1</v>
      </c>
    </row>
    <row r="1139" spans="1:31" x14ac:dyDescent="0.25">
      <c r="A1139" s="423">
        <v>1138</v>
      </c>
      <c r="B1139" s="423" t="s">
        <v>201</v>
      </c>
      <c r="C1139" s="423" t="s">
        <v>1299</v>
      </c>
      <c r="D1139" s="425" t="s">
        <v>990</v>
      </c>
      <c r="E1139" s="425" t="s">
        <v>991</v>
      </c>
      <c r="F1139" s="425" t="s">
        <v>992</v>
      </c>
      <c r="G1139" s="425" t="s">
        <v>1054</v>
      </c>
      <c r="H1139" s="426" t="s">
        <v>699</v>
      </c>
      <c r="I1139" s="425" t="s">
        <v>1055</v>
      </c>
      <c r="J1139" s="425" t="s">
        <v>697</v>
      </c>
      <c r="K1139" s="425" t="s">
        <v>995</v>
      </c>
      <c r="L1139" s="425" t="s">
        <v>996</v>
      </c>
      <c r="M1139" s="425" t="s">
        <v>997</v>
      </c>
      <c r="N1139" s="425" t="s">
        <v>558</v>
      </c>
      <c r="O1139" s="425" t="s">
        <v>998</v>
      </c>
      <c r="P1139" s="425" t="s">
        <v>999</v>
      </c>
      <c r="Q1139" s="425" t="s">
        <v>1000</v>
      </c>
      <c r="R1139" s="425" t="s">
        <v>1001</v>
      </c>
      <c r="S1139" s="425" t="s">
        <v>1002</v>
      </c>
      <c r="T1139" s="423" t="s">
        <v>1097</v>
      </c>
      <c r="U1139" s="423" t="s">
        <v>1097</v>
      </c>
      <c r="V1139" s="423" t="s">
        <v>1097</v>
      </c>
      <c r="W1139" s="423" t="s">
        <v>1097</v>
      </c>
      <c r="X1139" s="423" t="s">
        <v>1097</v>
      </c>
      <c r="Y1139" s="423" t="s">
        <v>1097</v>
      </c>
      <c r="Z1139" s="423" t="s">
        <v>1097</v>
      </c>
      <c r="AD1139" s="423">
        <f>IF(ISNUMBER(MATCH(B1139,'FICHA SOLIC'!$AB$26:$AB$376,0)),1,0)</f>
        <v>1</v>
      </c>
      <c r="AE1139" s="423" t="str">
        <f t="shared" si="17"/>
        <v>PichilemuR2</v>
      </c>
    </row>
    <row r="1140" spans="1:31" x14ac:dyDescent="0.25">
      <c r="A1140" s="423">
        <v>1139</v>
      </c>
      <c r="B1140" s="423" t="s">
        <v>201</v>
      </c>
      <c r="C1140" s="423" t="s">
        <v>1300</v>
      </c>
      <c r="D1140" s="425" t="s">
        <v>990</v>
      </c>
      <c r="E1140" s="425" t="s">
        <v>991</v>
      </c>
      <c r="F1140" s="425" t="s">
        <v>992</v>
      </c>
      <c r="G1140" s="425" t="s">
        <v>1054</v>
      </c>
      <c r="H1140" s="426" t="s">
        <v>699</v>
      </c>
      <c r="I1140" s="425" t="s">
        <v>1055</v>
      </c>
      <c r="J1140" s="425" t="s">
        <v>697</v>
      </c>
      <c r="K1140" s="425" t="s">
        <v>995</v>
      </c>
      <c r="L1140" s="425" t="s">
        <v>996</v>
      </c>
      <c r="M1140" s="425" t="s">
        <v>997</v>
      </c>
      <c r="N1140" s="425" t="s">
        <v>558</v>
      </c>
      <c r="O1140" s="425" t="s">
        <v>998</v>
      </c>
      <c r="P1140" s="425" t="s">
        <v>999</v>
      </c>
      <c r="Q1140" s="425" t="s">
        <v>1000</v>
      </c>
      <c r="R1140" s="425" t="s">
        <v>1001</v>
      </c>
      <c r="S1140" s="425" t="s">
        <v>1002</v>
      </c>
      <c r="T1140" s="423">
        <v>5000</v>
      </c>
      <c r="X1140" s="423" t="s">
        <v>1097</v>
      </c>
      <c r="AD1140" s="423">
        <f>IF(ISNUMBER(MATCH(B1140,'FICHA SOLIC'!$AB$26:$AB$376,0)),1,0)</f>
        <v>1</v>
      </c>
      <c r="AE1140" s="423" t="str">
        <f t="shared" si="17"/>
        <v>PichilemuR3</v>
      </c>
    </row>
    <row r="1141" spans="1:31" x14ac:dyDescent="0.25">
      <c r="A1141" s="423">
        <v>1140</v>
      </c>
      <c r="B1141" s="423" t="s">
        <v>201</v>
      </c>
      <c r="C1141" s="423" t="s">
        <v>1280</v>
      </c>
      <c r="D1141" s="425" t="s">
        <v>990</v>
      </c>
      <c r="E1141" s="425" t="s">
        <v>991</v>
      </c>
      <c r="F1141" s="425" t="s">
        <v>992</v>
      </c>
      <c r="G1141" s="425" t="s">
        <v>1054</v>
      </c>
      <c r="H1141" s="426" t="s">
        <v>699</v>
      </c>
      <c r="I1141" s="425" t="s">
        <v>1055</v>
      </c>
      <c r="J1141" s="425" t="s">
        <v>697</v>
      </c>
      <c r="K1141" s="425" t="s">
        <v>995</v>
      </c>
      <c r="L1141" s="425" t="s">
        <v>996</v>
      </c>
      <c r="M1141" s="425" t="s">
        <v>997</v>
      </c>
      <c r="N1141" s="425" t="s">
        <v>558</v>
      </c>
      <c r="O1141" s="425" t="s">
        <v>998</v>
      </c>
      <c r="P1141" s="425" t="s">
        <v>999</v>
      </c>
      <c r="Q1141" s="425" t="s">
        <v>1000</v>
      </c>
      <c r="R1141" s="425" t="s">
        <v>1001</v>
      </c>
      <c r="S1141" s="425" t="s">
        <v>1002</v>
      </c>
      <c r="T1141" s="423" t="s">
        <v>1097</v>
      </c>
      <c r="U1141" s="423" t="s">
        <v>1097</v>
      </c>
      <c r="V1141" s="423" t="s">
        <v>1097</v>
      </c>
      <c r="W1141" s="423" t="s">
        <v>1097</v>
      </c>
      <c r="X1141" s="423" t="s">
        <v>1097</v>
      </c>
      <c r="Y1141" s="423" t="s">
        <v>1097</v>
      </c>
      <c r="Z1141" s="423" t="s">
        <v>1097</v>
      </c>
      <c r="AD1141" s="423">
        <f>IF(ISNUMBER(MATCH(B1141,'FICHA SOLIC'!$AB$26:$AB$376,0)),1,0)</f>
        <v>1</v>
      </c>
      <c r="AE1141" s="423" t="str">
        <f t="shared" si="17"/>
        <v>PichilemuR4</v>
      </c>
    </row>
    <row r="1142" spans="1:31" x14ac:dyDescent="0.25">
      <c r="A1142" s="423">
        <v>1141</v>
      </c>
      <c r="B1142" s="423" t="s">
        <v>201</v>
      </c>
      <c r="C1142" s="423" t="s">
        <v>1278</v>
      </c>
      <c r="D1142" s="425" t="s">
        <v>990</v>
      </c>
      <c r="E1142" s="425" t="s">
        <v>991</v>
      </c>
      <c r="F1142" s="425" t="s">
        <v>992</v>
      </c>
      <c r="G1142" s="425" t="s">
        <v>1054</v>
      </c>
      <c r="H1142" s="426" t="s">
        <v>699</v>
      </c>
      <c r="I1142" s="425" t="s">
        <v>1055</v>
      </c>
      <c r="J1142" s="425" t="s">
        <v>697</v>
      </c>
      <c r="K1142" s="425" t="s">
        <v>995</v>
      </c>
      <c r="L1142" s="425" t="s">
        <v>996</v>
      </c>
      <c r="M1142" s="425" t="s">
        <v>997</v>
      </c>
      <c r="N1142" s="425" t="s">
        <v>558</v>
      </c>
      <c r="O1142" s="425" t="s">
        <v>998</v>
      </c>
      <c r="P1142" s="425" t="s">
        <v>999</v>
      </c>
      <c r="Q1142" s="425" t="s">
        <v>1000</v>
      </c>
      <c r="R1142" s="425" t="s">
        <v>1001</v>
      </c>
      <c r="S1142" s="425" t="s">
        <v>1002</v>
      </c>
      <c r="T1142" s="423" t="s">
        <v>1097</v>
      </c>
      <c r="U1142" s="423" t="s">
        <v>1097</v>
      </c>
      <c r="V1142" s="423" t="s">
        <v>1097</v>
      </c>
      <c r="W1142" s="423" t="s">
        <v>1097</v>
      </c>
      <c r="X1142" s="423" t="s">
        <v>1097</v>
      </c>
      <c r="Y1142" s="423" t="s">
        <v>1097</v>
      </c>
      <c r="Z1142" s="423" t="s">
        <v>1097</v>
      </c>
      <c r="AD1142" s="423">
        <f>IF(ISNUMBER(MATCH(B1142,'FICHA SOLIC'!$AB$26:$AB$376,0)),1,0)</f>
        <v>1</v>
      </c>
      <c r="AE1142" s="423" t="str">
        <f t="shared" si="17"/>
        <v>PichilemuR5</v>
      </c>
    </row>
    <row r="1143" spans="1:31" x14ac:dyDescent="0.25">
      <c r="A1143" s="423">
        <v>1142</v>
      </c>
      <c r="B1143" s="423" t="s">
        <v>201</v>
      </c>
      <c r="C1143" s="423" t="s">
        <v>1435</v>
      </c>
      <c r="D1143" s="425" t="s">
        <v>990</v>
      </c>
      <c r="E1143" s="425" t="s">
        <v>991</v>
      </c>
      <c r="F1143" s="425" t="s">
        <v>992</v>
      </c>
      <c r="G1143" s="425" t="s">
        <v>1054</v>
      </c>
      <c r="H1143" s="426" t="s">
        <v>699</v>
      </c>
      <c r="I1143" s="425" t="s">
        <v>1055</v>
      </c>
      <c r="J1143" s="425" t="s">
        <v>697</v>
      </c>
      <c r="K1143" s="425" t="s">
        <v>995</v>
      </c>
      <c r="L1143" s="425" t="s">
        <v>996</v>
      </c>
      <c r="M1143" s="425" t="s">
        <v>997</v>
      </c>
      <c r="N1143" s="425" t="s">
        <v>558</v>
      </c>
      <c r="O1143" s="425" t="s">
        <v>998</v>
      </c>
      <c r="P1143" s="425" t="s">
        <v>999</v>
      </c>
      <c r="Q1143" s="425" t="s">
        <v>1000</v>
      </c>
      <c r="R1143" s="425" t="s">
        <v>1001</v>
      </c>
      <c r="S1143" s="425" t="s">
        <v>1002</v>
      </c>
      <c r="T1143" s="423" t="s">
        <v>1097</v>
      </c>
      <c r="U1143" s="423" t="s">
        <v>1097</v>
      </c>
      <c r="V1143" s="423" t="s">
        <v>1097</v>
      </c>
      <c r="W1143" s="423" t="s">
        <v>1097</v>
      </c>
      <c r="X1143" s="423" t="s">
        <v>1097</v>
      </c>
      <c r="Y1143" s="423" t="s">
        <v>1097</v>
      </c>
      <c r="Z1143" s="423" t="s">
        <v>1097</v>
      </c>
      <c r="AD1143" s="423">
        <f>IF(ISNUMBER(MATCH(B1143,'FICHA SOLIC'!$AB$26:$AB$376,0)),1,0)</f>
        <v>1</v>
      </c>
      <c r="AE1143" s="423" t="str">
        <f t="shared" si="17"/>
        <v>PichilemuR6</v>
      </c>
    </row>
    <row r="1144" spans="1:31" x14ac:dyDescent="0.25">
      <c r="A1144" s="423">
        <v>1143</v>
      </c>
      <c r="B1144" s="423" t="s">
        <v>436</v>
      </c>
      <c r="C1144" s="423" t="s">
        <v>1454</v>
      </c>
      <c r="D1144" s="425" t="s">
        <v>990</v>
      </c>
      <c r="E1144" s="425" t="s">
        <v>991</v>
      </c>
      <c r="F1144" s="425" t="s">
        <v>992</v>
      </c>
      <c r="G1144" s="425" t="s">
        <v>1054</v>
      </c>
      <c r="H1144" s="426" t="s">
        <v>699</v>
      </c>
      <c r="I1144" s="425" t="s">
        <v>1055</v>
      </c>
      <c r="J1144" s="425" t="s">
        <v>697</v>
      </c>
      <c r="K1144" s="425" t="s">
        <v>995</v>
      </c>
      <c r="L1144" s="425" t="s">
        <v>996</v>
      </c>
      <c r="M1144" s="425" t="s">
        <v>997</v>
      </c>
      <c r="N1144" s="425" t="s">
        <v>558</v>
      </c>
      <c r="O1144" s="425" t="s">
        <v>998</v>
      </c>
      <c r="P1144" s="425" t="s">
        <v>999</v>
      </c>
      <c r="Q1144" s="425" t="s">
        <v>1000</v>
      </c>
      <c r="R1144" s="425" t="s">
        <v>1001</v>
      </c>
      <c r="S1144" s="425" t="s">
        <v>1002</v>
      </c>
      <c r="T1144" s="423">
        <v>2500</v>
      </c>
      <c r="U1144" s="423" t="s">
        <v>1041</v>
      </c>
      <c r="V1144" s="423">
        <v>5</v>
      </c>
      <c r="W1144" s="423">
        <v>0.05</v>
      </c>
      <c r="X1144" s="423">
        <v>7</v>
      </c>
      <c r="Y1144" s="423" t="s">
        <v>1041</v>
      </c>
      <c r="Z1144" s="423" t="s">
        <v>1058</v>
      </c>
      <c r="AD1144" s="423">
        <f>IF(ISNUMBER(MATCH(B1144,'FICHA SOLIC'!$AB$26:$AB$376,0)),1,0)</f>
        <v>1</v>
      </c>
      <c r="AE1144" s="423" t="str">
        <f t="shared" si="17"/>
        <v>PirqueZE-1</v>
      </c>
    </row>
    <row r="1145" spans="1:31" x14ac:dyDescent="0.25">
      <c r="A1145" s="423">
        <v>1144</v>
      </c>
      <c r="B1145" s="423" t="s">
        <v>436</v>
      </c>
      <c r="C1145" s="423" t="s">
        <v>1474</v>
      </c>
      <c r="D1145" s="425" t="s">
        <v>990</v>
      </c>
      <c r="E1145" s="425" t="s">
        <v>991</v>
      </c>
      <c r="F1145" s="425" t="s">
        <v>992</v>
      </c>
      <c r="G1145" s="425" t="s">
        <v>1054</v>
      </c>
      <c r="H1145" s="426" t="s">
        <v>699</v>
      </c>
      <c r="I1145" s="425" t="s">
        <v>1055</v>
      </c>
      <c r="J1145" s="425" t="s">
        <v>697</v>
      </c>
      <c r="K1145" s="425" t="s">
        <v>995</v>
      </c>
      <c r="L1145" s="425" t="s">
        <v>996</v>
      </c>
      <c r="M1145" s="425" t="s">
        <v>997</v>
      </c>
      <c r="N1145" s="425" t="s">
        <v>558</v>
      </c>
      <c r="O1145" s="425" t="s">
        <v>998</v>
      </c>
      <c r="P1145" s="425" t="s">
        <v>999</v>
      </c>
      <c r="Q1145" s="425" t="s">
        <v>1000</v>
      </c>
      <c r="R1145" s="425" t="s">
        <v>1001</v>
      </c>
      <c r="S1145" s="425" t="s">
        <v>1002</v>
      </c>
      <c r="T1145" s="423">
        <v>2500</v>
      </c>
      <c r="U1145" s="423" t="s">
        <v>1041</v>
      </c>
      <c r="V1145" s="423">
        <v>10</v>
      </c>
      <c r="W1145" s="423">
        <v>0.1</v>
      </c>
      <c r="X1145" s="423">
        <v>3.5</v>
      </c>
      <c r="Y1145" s="423" t="s">
        <v>1041</v>
      </c>
      <c r="Z1145" s="423" t="s">
        <v>1058</v>
      </c>
      <c r="AD1145" s="423">
        <f>IF(ISNUMBER(MATCH(B1145,'FICHA SOLIC'!$AB$26:$AB$376,0)),1,0)</f>
        <v>1</v>
      </c>
      <c r="AE1145" s="423" t="str">
        <f t="shared" si="17"/>
        <v>PirqueZE-2</v>
      </c>
    </row>
    <row r="1146" spans="1:31" x14ac:dyDescent="0.25">
      <c r="A1146" s="423">
        <v>1145</v>
      </c>
      <c r="B1146" s="423" t="s">
        <v>436</v>
      </c>
      <c r="C1146" s="423" t="s">
        <v>1464</v>
      </c>
      <c r="D1146" s="425" t="s">
        <v>990</v>
      </c>
      <c r="E1146" s="425" t="s">
        <v>991</v>
      </c>
      <c r="F1146" s="425" t="s">
        <v>992</v>
      </c>
      <c r="G1146" s="425" t="s">
        <v>1054</v>
      </c>
      <c r="H1146" s="426" t="s">
        <v>699</v>
      </c>
      <c r="I1146" s="425" t="s">
        <v>1055</v>
      </c>
      <c r="J1146" s="425" t="s">
        <v>697</v>
      </c>
      <c r="K1146" s="425" t="s">
        <v>995</v>
      </c>
      <c r="L1146" s="425" t="s">
        <v>996</v>
      </c>
      <c r="M1146" s="425" t="s">
        <v>997</v>
      </c>
      <c r="N1146" s="425" t="s">
        <v>558</v>
      </c>
      <c r="O1146" s="425" t="s">
        <v>998</v>
      </c>
      <c r="P1146" s="425" t="s">
        <v>999</v>
      </c>
      <c r="Q1146" s="425" t="s">
        <v>1000</v>
      </c>
      <c r="R1146" s="425" t="s">
        <v>1001</v>
      </c>
      <c r="S1146" s="425" t="s">
        <v>1002</v>
      </c>
      <c r="T1146" s="423">
        <v>5000</v>
      </c>
      <c r="U1146" s="423" t="s">
        <v>1041</v>
      </c>
      <c r="V1146" s="423">
        <v>40</v>
      </c>
      <c r="W1146" s="423">
        <v>0.8</v>
      </c>
      <c r="X1146" s="423">
        <v>7.5</v>
      </c>
      <c r="Y1146" s="423">
        <v>3</v>
      </c>
      <c r="Z1146" s="423" t="s">
        <v>1058</v>
      </c>
      <c r="AD1146" s="423">
        <f>IF(ISNUMBER(MATCH(B1146,'FICHA SOLIC'!$AB$26:$AB$376,0)),1,0)</f>
        <v>1</v>
      </c>
      <c r="AE1146" s="423" t="str">
        <f t="shared" si="17"/>
        <v>PirqueZH-1</v>
      </c>
    </row>
    <row r="1147" spans="1:31" x14ac:dyDescent="0.25">
      <c r="A1147" s="423">
        <v>1146</v>
      </c>
      <c r="B1147" s="423" t="s">
        <v>436</v>
      </c>
      <c r="C1147" s="423" t="s">
        <v>1465</v>
      </c>
      <c r="D1147" s="425" t="s">
        <v>990</v>
      </c>
      <c r="E1147" s="425" t="s">
        <v>991</v>
      </c>
      <c r="F1147" s="425" t="s">
        <v>992</v>
      </c>
      <c r="G1147" s="425" t="s">
        <v>1054</v>
      </c>
      <c r="H1147" s="426" t="s">
        <v>699</v>
      </c>
      <c r="I1147" s="425" t="s">
        <v>1055</v>
      </c>
      <c r="J1147" s="425" t="s">
        <v>697</v>
      </c>
      <c r="K1147" s="425" t="s">
        <v>995</v>
      </c>
      <c r="L1147" s="425" t="s">
        <v>996</v>
      </c>
      <c r="M1147" s="425" t="s">
        <v>997</v>
      </c>
      <c r="N1147" s="425" t="s">
        <v>558</v>
      </c>
      <c r="O1147" s="425" t="s">
        <v>998</v>
      </c>
      <c r="P1147" s="425" t="s">
        <v>999</v>
      </c>
      <c r="Q1147" s="425" t="s">
        <v>1000</v>
      </c>
      <c r="R1147" s="425" t="s">
        <v>1001</v>
      </c>
      <c r="S1147" s="425" t="s">
        <v>1002</v>
      </c>
      <c r="T1147" s="423">
        <v>150</v>
      </c>
      <c r="U1147" s="423" t="s">
        <v>1041</v>
      </c>
      <c r="V1147" s="423">
        <v>60</v>
      </c>
      <c r="W1147" s="423">
        <v>1</v>
      </c>
      <c r="X1147" s="423">
        <v>7</v>
      </c>
      <c r="Y1147" s="423" t="s">
        <v>1041</v>
      </c>
      <c r="Z1147" s="423" t="s">
        <v>1057</v>
      </c>
      <c r="AD1147" s="423">
        <f>IF(ISNUMBER(MATCH(B1147,'FICHA SOLIC'!$AB$26:$AB$376,0)),1,0)</f>
        <v>1</v>
      </c>
      <c r="AE1147" s="423" t="str">
        <f t="shared" si="17"/>
        <v>PirqueZH-2</v>
      </c>
    </row>
    <row r="1148" spans="1:31" x14ac:dyDescent="0.25">
      <c r="A1148" s="423">
        <v>1147</v>
      </c>
      <c r="B1148" s="423" t="s">
        <v>436</v>
      </c>
      <c r="C1148" s="423" t="s">
        <v>1153</v>
      </c>
      <c r="D1148" s="425" t="s">
        <v>990</v>
      </c>
      <c r="E1148" s="425" t="s">
        <v>991</v>
      </c>
      <c r="F1148" s="425" t="s">
        <v>992</v>
      </c>
      <c r="G1148" s="425" t="s">
        <v>1054</v>
      </c>
      <c r="H1148" s="426" t="s">
        <v>699</v>
      </c>
      <c r="I1148" s="425" t="s">
        <v>1055</v>
      </c>
      <c r="J1148" s="425" t="s">
        <v>697</v>
      </c>
      <c r="K1148" s="425" t="s">
        <v>995</v>
      </c>
      <c r="L1148" s="425" t="s">
        <v>996</v>
      </c>
      <c r="M1148" s="425" t="s">
        <v>997</v>
      </c>
      <c r="N1148" s="425" t="s">
        <v>558</v>
      </c>
      <c r="O1148" s="425" t="s">
        <v>998</v>
      </c>
      <c r="P1148" s="425" t="s">
        <v>999</v>
      </c>
      <c r="Q1148" s="425" t="s">
        <v>1000</v>
      </c>
      <c r="R1148" s="425" t="s">
        <v>1001</v>
      </c>
      <c r="S1148" s="425" t="s">
        <v>1002</v>
      </c>
      <c r="T1148" s="423">
        <v>1500</v>
      </c>
      <c r="U1148" s="423" t="s">
        <v>1041</v>
      </c>
      <c r="V1148" s="423">
        <v>20</v>
      </c>
      <c r="W1148" s="423">
        <v>0.4</v>
      </c>
      <c r="X1148" s="423">
        <v>10.5</v>
      </c>
      <c r="Y1148" s="423" t="s">
        <v>1041</v>
      </c>
      <c r="Z1148" s="423" t="s">
        <v>1058</v>
      </c>
      <c r="AD1148" s="423">
        <f>IF(ISNUMBER(MATCH(B1148,'FICHA SOLIC'!$AB$26:$AB$376,0)),1,0)</f>
        <v>1</v>
      </c>
      <c r="AE1148" s="423" t="str">
        <f t="shared" si="17"/>
        <v>PirqueZM-1</v>
      </c>
    </row>
    <row r="1149" spans="1:31" x14ac:dyDescent="0.25">
      <c r="A1149" s="423">
        <v>1148</v>
      </c>
      <c r="B1149" s="423" t="s">
        <v>436</v>
      </c>
      <c r="C1149" s="423" t="s">
        <v>1154</v>
      </c>
      <c r="D1149" s="425" t="s">
        <v>990</v>
      </c>
      <c r="E1149" s="425" t="s">
        <v>991</v>
      </c>
      <c r="F1149" s="425" t="s">
        <v>992</v>
      </c>
      <c r="G1149" s="425" t="s">
        <v>1054</v>
      </c>
      <c r="H1149" s="426" t="s">
        <v>699</v>
      </c>
      <c r="I1149" s="425" t="s">
        <v>1055</v>
      </c>
      <c r="J1149" s="425" t="s">
        <v>697</v>
      </c>
      <c r="K1149" s="425" t="s">
        <v>995</v>
      </c>
      <c r="L1149" s="425" t="s">
        <v>996</v>
      </c>
      <c r="M1149" s="425" t="s">
        <v>997</v>
      </c>
      <c r="N1149" s="425" t="s">
        <v>558</v>
      </c>
      <c r="O1149" s="425" t="s">
        <v>998</v>
      </c>
      <c r="P1149" s="425" t="s">
        <v>999</v>
      </c>
      <c r="Q1149" s="425" t="s">
        <v>1000</v>
      </c>
      <c r="R1149" s="425" t="s">
        <v>1001</v>
      </c>
      <c r="S1149" s="425" t="s">
        <v>1002</v>
      </c>
      <c r="T1149" s="423">
        <v>1000</v>
      </c>
      <c r="U1149" s="423" t="s">
        <v>1041</v>
      </c>
      <c r="V1149" s="423">
        <v>40</v>
      </c>
      <c r="W1149" s="423">
        <v>1</v>
      </c>
      <c r="X1149" s="423">
        <v>9</v>
      </c>
      <c r="Y1149" s="423">
        <v>5</v>
      </c>
      <c r="Z1149" s="423" t="s">
        <v>1058</v>
      </c>
      <c r="AD1149" s="423">
        <f>IF(ISNUMBER(MATCH(B1149,'FICHA SOLIC'!$AB$26:$AB$376,0)),1,0)</f>
        <v>1</v>
      </c>
      <c r="AE1149" s="423" t="str">
        <f t="shared" si="17"/>
        <v>PirqueZM-2</v>
      </c>
    </row>
    <row r="1150" spans="1:31" x14ac:dyDescent="0.25">
      <c r="A1150" s="423">
        <v>1149</v>
      </c>
      <c r="B1150" s="423" t="s">
        <v>436</v>
      </c>
      <c r="C1150" s="423" t="s">
        <v>2403</v>
      </c>
      <c r="D1150" s="425" t="s">
        <v>990</v>
      </c>
      <c r="E1150" s="425" t="s">
        <v>991</v>
      </c>
      <c r="F1150" s="425" t="s">
        <v>992</v>
      </c>
      <c r="G1150" s="425" t="s">
        <v>1054</v>
      </c>
      <c r="H1150" s="426" t="s">
        <v>699</v>
      </c>
      <c r="I1150" s="425" t="s">
        <v>1055</v>
      </c>
      <c r="J1150" s="425" t="s">
        <v>697</v>
      </c>
      <c r="K1150" s="425" t="s">
        <v>995</v>
      </c>
      <c r="L1150" s="425" t="s">
        <v>996</v>
      </c>
      <c r="M1150" s="425" t="s">
        <v>997</v>
      </c>
      <c r="N1150" s="425" t="s">
        <v>558</v>
      </c>
      <c r="O1150" s="425" t="s">
        <v>998</v>
      </c>
      <c r="P1150" s="425" t="s">
        <v>999</v>
      </c>
      <c r="Q1150" s="425" t="s">
        <v>1000</v>
      </c>
      <c r="R1150" s="425" t="s">
        <v>1001</v>
      </c>
      <c r="S1150" s="425" t="s">
        <v>1002</v>
      </c>
      <c r="T1150" s="423">
        <v>2500</v>
      </c>
      <c r="U1150" s="423" t="s">
        <v>1041</v>
      </c>
      <c r="V1150" s="423">
        <v>60</v>
      </c>
      <c r="W1150" s="423">
        <v>0.8</v>
      </c>
      <c r="X1150" s="423">
        <v>7.5</v>
      </c>
      <c r="Y1150" s="423" t="s">
        <v>1041</v>
      </c>
      <c r="Z1150" s="423" t="s">
        <v>1058</v>
      </c>
      <c r="AD1150" s="423">
        <f>IF(ISNUMBER(MATCH(B1150,'FICHA SOLIC'!$AB$26:$AB$376,0)),1,0)</f>
        <v>1</v>
      </c>
      <c r="AE1150" s="423" t="str">
        <f t="shared" si="17"/>
        <v>PirqueZP-1</v>
      </c>
    </row>
    <row r="1151" spans="1:31" x14ac:dyDescent="0.25">
      <c r="A1151" s="423">
        <v>1150</v>
      </c>
      <c r="B1151" s="423" t="s">
        <v>436</v>
      </c>
      <c r="C1151" s="423" t="s">
        <v>2418</v>
      </c>
      <c r="D1151" s="425" t="s">
        <v>990</v>
      </c>
      <c r="E1151" s="425" t="s">
        <v>991</v>
      </c>
      <c r="F1151" s="425" t="s">
        <v>992</v>
      </c>
      <c r="G1151" s="425" t="s">
        <v>1054</v>
      </c>
      <c r="H1151" s="426" t="s">
        <v>699</v>
      </c>
      <c r="I1151" s="425" t="s">
        <v>1055</v>
      </c>
      <c r="J1151" s="425" t="s">
        <v>697</v>
      </c>
      <c r="K1151" s="425" t="s">
        <v>995</v>
      </c>
      <c r="L1151" s="425" t="s">
        <v>996</v>
      </c>
      <c r="M1151" s="425" t="s">
        <v>997</v>
      </c>
      <c r="N1151" s="425" t="s">
        <v>558</v>
      </c>
      <c r="O1151" s="425" t="s">
        <v>998</v>
      </c>
      <c r="P1151" s="425" t="s">
        <v>999</v>
      </c>
      <c r="Q1151" s="425" t="s">
        <v>1000</v>
      </c>
      <c r="R1151" s="425" t="s">
        <v>1001</v>
      </c>
      <c r="S1151" s="425" t="s">
        <v>1002</v>
      </c>
      <c r="T1151" s="423">
        <v>1500</v>
      </c>
      <c r="U1151" s="423" t="s">
        <v>1041</v>
      </c>
      <c r="V1151" s="423">
        <v>60</v>
      </c>
      <c r="W1151" s="423">
        <v>0.6</v>
      </c>
      <c r="X1151" s="423">
        <v>10.5</v>
      </c>
      <c r="Y1151" s="423" t="s">
        <v>1041</v>
      </c>
      <c r="Z1151" s="423" t="s">
        <v>1058</v>
      </c>
      <c r="AD1151" s="423">
        <f>IF(ISNUMBER(MATCH(B1151,'FICHA SOLIC'!$AB$26:$AB$376,0)),1,0)</f>
        <v>1</v>
      </c>
      <c r="AE1151" s="423" t="str">
        <f t="shared" si="17"/>
        <v>PirqueZP-E</v>
      </c>
    </row>
    <row r="1152" spans="1:31" x14ac:dyDescent="0.25">
      <c r="A1152" s="423">
        <v>1151</v>
      </c>
      <c r="B1152" s="423" t="s">
        <v>425</v>
      </c>
      <c r="C1152" s="423" t="s">
        <v>1037</v>
      </c>
      <c r="D1152" s="425" t="s">
        <v>990</v>
      </c>
      <c r="E1152" s="425" t="s">
        <v>991</v>
      </c>
      <c r="F1152" s="425" t="s">
        <v>992</v>
      </c>
      <c r="G1152" s="425" t="s">
        <v>993</v>
      </c>
      <c r="H1152" s="426" t="s">
        <v>489</v>
      </c>
      <c r="I1152" s="425" t="s">
        <v>994</v>
      </c>
      <c r="J1152" s="425" t="s">
        <v>697</v>
      </c>
      <c r="K1152" s="425" t="s">
        <v>995</v>
      </c>
      <c r="L1152" s="425" t="s">
        <v>996</v>
      </c>
      <c r="M1152" s="425" t="s">
        <v>997</v>
      </c>
      <c r="N1152" s="425" t="s">
        <v>558</v>
      </c>
      <c r="O1152" s="425" t="s">
        <v>998</v>
      </c>
      <c r="P1152" s="425" t="s">
        <v>999</v>
      </c>
      <c r="Q1152" s="425" t="s">
        <v>1000</v>
      </c>
      <c r="R1152" s="425" t="s">
        <v>1001</v>
      </c>
      <c r="S1152" s="425" t="s">
        <v>1002</v>
      </c>
      <c r="T1152" s="423">
        <v>800</v>
      </c>
      <c r="U1152" s="423" t="s">
        <v>1041</v>
      </c>
      <c r="V1152" s="423">
        <v>20</v>
      </c>
      <c r="W1152" s="423">
        <v>1.7</v>
      </c>
      <c r="X1152" s="423">
        <v>37</v>
      </c>
      <c r="Y1152" s="423" t="s">
        <v>1041</v>
      </c>
      <c r="Z1152" s="423" t="s">
        <v>1004</v>
      </c>
      <c r="AD1152" s="423">
        <f>IF(ISNUMBER(MATCH(B1152,'FICHA SOLIC'!$AB$26:$AB$376,0)),1,0)</f>
        <v>1</v>
      </c>
      <c r="AE1152" s="423" t="str">
        <f t="shared" si="17"/>
        <v>ProvidenciaEA12</v>
      </c>
    </row>
    <row r="1153" spans="1:31" x14ac:dyDescent="0.25">
      <c r="A1153" s="423">
        <v>1152</v>
      </c>
      <c r="B1153" s="423" t="s">
        <v>425</v>
      </c>
      <c r="C1153" s="423" t="s">
        <v>1034</v>
      </c>
      <c r="D1153" s="425" t="s">
        <v>990</v>
      </c>
      <c r="E1153" s="425" t="s">
        <v>991</v>
      </c>
      <c r="F1153" s="425" t="s">
        <v>992</v>
      </c>
      <c r="G1153" s="425" t="s">
        <v>993</v>
      </c>
      <c r="H1153" s="426" t="s">
        <v>489</v>
      </c>
      <c r="I1153" s="425" t="s">
        <v>994</v>
      </c>
      <c r="J1153" s="425" t="s">
        <v>697</v>
      </c>
      <c r="K1153" s="425" t="s">
        <v>995</v>
      </c>
      <c r="L1153" s="425" t="s">
        <v>996</v>
      </c>
      <c r="M1153" s="425" t="s">
        <v>997</v>
      </c>
      <c r="N1153" s="425" t="s">
        <v>558</v>
      </c>
      <c r="O1153" s="425" t="s">
        <v>998</v>
      </c>
      <c r="P1153" s="425" t="s">
        <v>999</v>
      </c>
      <c r="Q1153" s="425" t="s">
        <v>1000</v>
      </c>
      <c r="R1153" s="425" t="s">
        <v>1001</v>
      </c>
      <c r="S1153" s="425" t="s">
        <v>1002</v>
      </c>
      <c r="T1153" s="423">
        <v>800</v>
      </c>
      <c r="U1153" s="423" t="s">
        <v>1041</v>
      </c>
      <c r="V1153" s="423">
        <v>40</v>
      </c>
      <c r="W1153" s="423">
        <v>0.7</v>
      </c>
      <c r="X1153" s="423">
        <v>10</v>
      </c>
      <c r="Y1153" s="423" t="s">
        <v>1041</v>
      </c>
      <c r="Z1153" s="423" t="s">
        <v>1004</v>
      </c>
      <c r="AD1153" s="423">
        <f>IF(ISNUMBER(MATCH(B1153,'FICHA SOLIC'!$AB$26:$AB$376,0)),1,0)</f>
        <v>1</v>
      </c>
      <c r="AE1153" s="423" t="str">
        <f t="shared" si="17"/>
        <v>ProvidenciaEA3</v>
      </c>
    </row>
    <row r="1154" spans="1:31" x14ac:dyDescent="0.25">
      <c r="A1154" s="423">
        <v>1153</v>
      </c>
      <c r="B1154" s="423" t="s">
        <v>425</v>
      </c>
      <c r="C1154" s="423" t="s">
        <v>1035</v>
      </c>
      <c r="D1154" s="425" t="s">
        <v>990</v>
      </c>
      <c r="E1154" s="425" t="s">
        <v>991</v>
      </c>
      <c r="F1154" s="425" t="s">
        <v>992</v>
      </c>
      <c r="G1154" s="425" t="s">
        <v>993</v>
      </c>
      <c r="H1154" s="426" t="s">
        <v>489</v>
      </c>
      <c r="I1154" s="425" t="s">
        <v>994</v>
      </c>
      <c r="J1154" s="425" t="s">
        <v>697</v>
      </c>
      <c r="K1154" s="425" t="s">
        <v>995</v>
      </c>
      <c r="L1154" s="425" t="s">
        <v>996</v>
      </c>
      <c r="M1154" s="425" t="s">
        <v>997</v>
      </c>
      <c r="N1154" s="425" t="s">
        <v>558</v>
      </c>
      <c r="O1154" s="425" t="s">
        <v>998</v>
      </c>
      <c r="P1154" s="425" t="s">
        <v>999</v>
      </c>
      <c r="Q1154" s="425" t="s">
        <v>1000</v>
      </c>
      <c r="R1154" s="425" t="s">
        <v>1001</v>
      </c>
      <c r="S1154" s="425" t="s">
        <v>1002</v>
      </c>
      <c r="T1154" s="423">
        <v>800</v>
      </c>
      <c r="U1154" s="423" t="s">
        <v>1041</v>
      </c>
      <c r="V1154" s="423">
        <v>30</v>
      </c>
      <c r="W1154" s="423">
        <v>1.2</v>
      </c>
      <c r="X1154" s="423">
        <v>16</v>
      </c>
      <c r="Y1154" s="423" t="s">
        <v>1041</v>
      </c>
      <c r="Z1154" s="423" t="s">
        <v>1004</v>
      </c>
      <c r="AD1154" s="423">
        <f>IF(ISNUMBER(MATCH(B1154,'FICHA SOLIC'!$AB$26:$AB$376,0)),1,0)</f>
        <v>1</v>
      </c>
      <c r="AE1154" s="423" t="str">
        <f t="shared" si="17"/>
        <v>ProvidenciaEA5</v>
      </c>
    </row>
    <row r="1155" spans="1:31" x14ac:dyDescent="0.25">
      <c r="A1155" s="423">
        <v>1154</v>
      </c>
      <c r="B1155" s="423" t="s">
        <v>425</v>
      </c>
      <c r="C1155" s="423" t="s">
        <v>1036</v>
      </c>
      <c r="D1155" s="425" t="s">
        <v>990</v>
      </c>
      <c r="E1155" s="425" t="s">
        <v>991</v>
      </c>
      <c r="F1155" s="425" t="s">
        <v>992</v>
      </c>
      <c r="G1155" s="425" t="s">
        <v>993</v>
      </c>
      <c r="H1155" s="426" t="s">
        <v>489</v>
      </c>
      <c r="I1155" s="425" t="s">
        <v>994</v>
      </c>
      <c r="J1155" s="425" t="s">
        <v>697</v>
      </c>
      <c r="K1155" s="425" t="s">
        <v>995</v>
      </c>
      <c r="L1155" s="425" t="s">
        <v>996</v>
      </c>
      <c r="M1155" s="425" t="s">
        <v>997</v>
      </c>
      <c r="N1155" s="425" t="s">
        <v>558</v>
      </c>
      <c r="O1155" s="425" t="s">
        <v>998</v>
      </c>
      <c r="P1155" s="425" t="s">
        <v>999</v>
      </c>
      <c r="Q1155" s="425" t="s">
        <v>1000</v>
      </c>
      <c r="R1155" s="425" t="s">
        <v>1001</v>
      </c>
      <c r="S1155" s="425" t="s">
        <v>1002</v>
      </c>
      <c r="T1155" s="423">
        <v>800</v>
      </c>
      <c r="U1155" s="423" t="s">
        <v>1041</v>
      </c>
      <c r="V1155" s="423">
        <v>20</v>
      </c>
      <c r="W1155" s="423">
        <v>1.6</v>
      </c>
      <c r="X1155" s="423">
        <v>22</v>
      </c>
      <c r="Y1155" s="423" t="s">
        <v>1041</v>
      </c>
      <c r="Z1155" s="423" t="s">
        <v>1004</v>
      </c>
      <c r="AD1155" s="423">
        <f>IF(ISNUMBER(MATCH(B1155,'FICHA SOLIC'!$AB$26:$AB$376,0)),1,0)</f>
        <v>1</v>
      </c>
      <c r="AE1155" s="423" t="str">
        <f t="shared" ref="AE1155:AE1218" si="18">B1155&amp;C1155</f>
        <v>ProvidenciaEA7</v>
      </c>
    </row>
    <row r="1156" spans="1:31" x14ac:dyDescent="0.25">
      <c r="A1156" s="423">
        <v>1155</v>
      </c>
      <c r="B1156" s="423" t="s">
        <v>425</v>
      </c>
      <c r="C1156" s="423" t="s">
        <v>1038</v>
      </c>
      <c r="D1156" s="425" t="s">
        <v>990</v>
      </c>
      <c r="E1156" s="425" t="s">
        <v>991</v>
      </c>
      <c r="F1156" s="425" t="s">
        <v>992</v>
      </c>
      <c r="G1156" s="425" t="s">
        <v>993</v>
      </c>
      <c r="H1156" s="426" t="s">
        <v>489</v>
      </c>
      <c r="I1156" s="425" t="s">
        <v>994</v>
      </c>
      <c r="J1156" s="425" t="s">
        <v>697</v>
      </c>
      <c r="K1156" s="425" t="s">
        <v>995</v>
      </c>
      <c r="L1156" s="425" t="s">
        <v>996</v>
      </c>
      <c r="M1156" s="425" t="s">
        <v>997</v>
      </c>
      <c r="N1156" s="425" t="s">
        <v>558</v>
      </c>
      <c r="O1156" s="425" t="s">
        <v>998</v>
      </c>
      <c r="P1156" s="425" t="s">
        <v>999</v>
      </c>
      <c r="Q1156" s="425" t="s">
        <v>1000</v>
      </c>
      <c r="R1156" s="425" t="s">
        <v>1001</v>
      </c>
      <c r="S1156" s="425" t="s">
        <v>1002</v>
      </c>
      <c r="T1156" s="423">
        <v>800</v>
      </c>
      <c r="U1156" s="423" t="s">
        <v>1041</v>
      </c>
      <c r="V1156" s="423">
        <v>20</v>
      </c>
      <c r="W1156" s="423">
        <v>2.9</v>
      </c>
      <c r="X1156" s="423" t="s">
        <v>1026</v>
      </c>
      <c r="Y1156" s="423" t="s">
        <v>1041</v>
      </c>
      <c r="Z1156" s="423" t="s">
        <v>1004</v>
      </c>
      <c r="AD1156" s="423">
        <f>IF(ISNUMBER(MATCH(B1156,'FICHA SOLIC'!$AB$26:$AB$376,0)),1,0)</f>
        <v>1</v>
      </c>
      <c r="AE1156" s="423" t="str">
        <f t="shared" si="18"/>
        <v>ProvidenciaEAL/PA</v>
      </c>
    </row>
    <row r="1157" spans="1:31" x14ac:dyDescent="0.25">
      <c r="A1157" s="423">
        <v>1156</v>
      </c>
      <c r="B1157" s="423" t="s">
        <v>425</v>
      </c>
      <c r="C1157" s="423" t="s">
        <v>1030</v>
      </c>
      <c r="D1157" s="425" t="s">
        <v>990</v>
      </c>
      <c r="E1157" s="425" t="s">
        <v>991</v>
      </c>
      <c r="F1157" s="425" t="s">
        <v>992</v>
      </c>
      <c r="G1157" s="425" t="s">
        <v>993</v>
      </c>
      <c r="H1157" s="426" t="s">
        <v>489</v>
      </c>
      <c r="I1157" s="425" t="s">
        <v>994</v>
      </c>
      <c r="J1157" s="425" t="s">
        <v>697</v>
      </c>
      <c r="K1157" s="425" t="s">
        <v>995</v>
      </c>
      <c r="L1157" s="425" t="s">
        <v>996</v>
      </c>
      <c r="M1157" s="425" t="s">
        <v>997</v>
      </c>
      <c r="N1157" s="425" t="s">
        <v>558</v>
      </c>
      <c r="O1157" s="425" t="s">
        <v>998</v>
      </c>
      <c r="P1157" s="425" t="s">
        <v>999</v>
      </c>
      <c r="Q1157" s="425" t="s">
        <v>1000</v>
      </c>
      <c r="R1157" s="425" t="s">
        <v>1001</v>
      </c>
      <c r="S1157" s="425" t="s">
        <v>1002</v>
      </c>
      <c r="T1157" s="423">
        <v>800</v>
      </c>
      <c r="U1157" s="423" t="s">
        <v>1041</v>
      </c>
      <c r="V1157" s="423">
        <v>60</v>
      </c>
      <c r="W1157" s="423">
        <v>4.3</v>
      </c>
      <c r="X1157" s="423">
        <v>37</v>
      </c>
      <c r="Y1157" s="423" t="s">
        <v>1041</v>
      </c>
      <c r="Z1157" s="423" t="s">
        <v>1039</v>
      </c>
      <c r="AD1157" s="423">
        <f>IF(ISNUMBER(MATCH(B1157,'FICHA SOLIC'!$AB$26:$AB$376,0)),1,0)</f>
        <v>1</v>
      </c>
      <c r="AE1157" s="423" t="str">
        <f t="shared" si="18"/>
        <v>ProvidenciaEC12</v>
      </c>
    </row>
    <row r="1158" spans="1:31" x14ac:dyDescent="0.25">
      <c r="A1158" s="423">
        <v>1157</v>
      </c>
      <c r="B1158" s="423" t="s">
        <v>425</v>
      </c>
      <c r="C1158" s="423" t="s">
        <v>1031</v>
      </c>
      <c r="D1158" s="425" t="s">
        <v>990</v>
      </c>
      <c r="E1158" s="425" t="s">
        <v>991</v>
      </c>
      <c r="F1158" s="425" t="s">
        <v>992</v>
      </c>
      <c r="G1158" s="425" t="s">
        <v>993</v>
      </c>
      <c r="H1158" s="426" t="s">
        <v>489</v>
      </c>
      <c r="I1158" s="425" t="s">
        <v>994</v>
      </c>
      <c r="J1158" s="425" t="s">
        <v>697</v>
      </c>
      <c r="K1158" s="425" t="s">
        <v>995</v>
      </c>
      <c r="L1158" s="425" t="s">
        <v>996</v>
      </c>
      <c r="M1158" s="425" t="s">
        <v>997</v>
      </c>
      <c r="N1158" s="425" t="s">
        <v>558</v>
      </c>
      <c r="O1158" s="425" t="s">
        <v>998</v>
      </c>
      <c r="P1158" s="425" t="s">
        <v>999</v>
      </c>
      <c r="Q1158" s="425" t="s">
        <v>1000</v>
      </c>
      <c r="R1158" s="425" t="s">
        <v>1001</v>
      </c>
      <c r="S1158" s="425" t="s">
        <v>1002</v>
      </c>
      <c r="T1158" s="423">
        <v>800</v>
      </c>
      <c r="U1158" s="423" t="s">
        <v>1041</v>
      </c>
      <c r="V1158" s="423">
        <v>60</v>
      </c>
      <c r="W1158" s="423">
        <v>1.2</v>
      </c>
      <c r="Y1158" s="423" t="s">
        <v>1041</v>
      </c>
      <c r="Z1158" s="423" t="s">
        <v>1040</v>
      </c>
      <c r="AD1158" s="423">
        <f>IF(ISNUMBER(MATCH(B1158,'FICHA SOLIC'!$AB$26:$AB$376,0)),1,0)</f>
        <v>1</v>
      </c>
      <c r="AE1158" s="423" t="str">
        <f t="shared" si="18"/>
        <v>ProvidenciaEC2+A5</v>
      </c>
    </row>
    <row r="1159" spans="1:31" x14ac:dyDescent="0.25">
      <c r="A1159" s="423">
        <v>1158</v>
      </c>
      <c r="B1159" s="423" t="s">
        <v>425</v>
      </c>
      <c r="C1159" s="423" t="s">
        <v>1032</v>
      </c>
      <c r="D1159" s="425" t="s">
        <v>990</v>
      </c>
      <c r="E1159" s="425" t="s">
        <v>991</v>
      </c>
      <c r="F1159" s="425" t="s">
        <v>992</v>
      </c>
      <c r="G1159" s="425" t="s">
        <v>993</v>
      </c>
      <c r="H1159" s="426" t="s">
        <v>489</v>
      </c>
      <c r="I1159" s="425" t="s">
        <v>994</v>
      </c>
      <c r="J1159" s="425" t="s">
        <v>697</v>
      </c>
      <c r="K1159" s="425" t="s">
        <v>995</v>
      </c>
      <c r="L1159" s="425" t="s">
        <v>996</v>
      </c>
      <c r="M1159" s="425" t="s">
        <v>997</v>
      </c>
      <c r="N1159" s="425" t="s">
        <v>558</v>
      </c>
      <c r="O1159" s="425" t="s">
        <v>998</v>
      </c>
      <c r="P1159" s="425" t="s">
        <v>999</v>
      </c>
      <c r="Q1159" s="425" t="s">
        <v>1000</v>
      </c>
      <c r="R1159" s="425" t="s">
        <v>1001</v>
      </c>
      <c r="S1159" s="425" t="s">
        <v>1002</v>
      </c>
      <c r="T1159" s="423">
        <v>800</v>
      </c>
      <c r="U1159" s="423" t="s">
        <v>1041</v>
      </c>
      <c r="V1159" s="423">
        <v>60</v>
      </c>
      <c r="W1159" s="423">
        <v>1.2</v>
      </c>
      <c r="X1159" s="423">
        <v>7</v>
      </c>
      <c r="Y1159" s="423" t="s">
        <v>1041</v>
      </c>
      <c r="Z1159" s="423" t="s">
        <v>1040</v>
      </c>
      <c r="AD1159" s="423">
        <f>IF(ISNUMBER(MATCH(B1159,'FICHA SOLIC'!$AB$26:$AB$376,0)),1,0)</f>
        <v>1</v>
      </c>
      <c r="AE1159" s="423" t="str">
        <f t="shared" si="18"/>
        <v>ProvidenciaEC2+A8</v>
      </c>
    </row>
    <row r="1160" spans="1:31" x14ac:dyDescent="0.25">
      <c r="A1160" s="423">
        <v>1159</v>
      </c>
      <c r="B1160" s="423" t="s">
        <v>425</v>
      </c>
      <c r="C1160" s="423" t="s">
        <v>1027</v>
      </c>
      <c r="D1160" s="425" t="s">
        <v>990</v>
      </c>
      <c r="E1160" s="425" t="s">
        <v>991</v>
      </c>
      <c r="F1160" s="425" t="s">
        <v>992</v>
      </c>
      <c r="G1160" s="425" t="s">
        <v>993</v>
      </c>
      <c r="H1160" s="426" t="s">
        <v>489</v>
      </c>
      <c r="I1160" s="425" t="s">
        <v>994</v>
      </c>
      <c r="J1160" s="425" t="s">
        <v>697</v>
      </c>
      <c r="K1160" s="425" t="s">
        <v>995</v>
      </c>
      <c r="L1160" s="425" t="s">
        <v>996</v>
      </c>
      <c r="M1160" s="425" t="s">
        <v>997</v>
      </c>
      <c r="N1160" s="425" t="s">
        <v>558</v>
      </c>
      <c r="O1160" s="425" t="s">
        <v>998</v>
      </c>
      <c r="P1160" s="425" t="s">
        <v>999</v>
      </c>
      <c r="Q1160" s="425" t="s">
        <v>1000</v>
      </c>
      <c r="R1160" s="425" t="s">
        <v>1001</v>
      </c>
      <c r="S1160" s="425" t="s">
        <v>1002</v>
      </c>
      <c r="T1160" s="423">
        <v>800</v>
      </c>
      <c r="U1160" s="423" t="s">
        <v>1041</v>
      </c>
      <c r="V1160" s="423">
        <v>60</v>
      </c>
      <c r="W1160" s="423">
        <v>1.1000000000000001</v>
      </c>
      <c r="X1160" s="423">
        <v>100</v>
      </c>
      <c r="Y1160" s="423" t="s">
        <v>1041</v>
      </c>
      <c r="Z1160" s="423" t="s">
        <v>1039</v>
      </c>
      <c r="AD1160" s="423">
        <f>IF(ISNUMBER(MATCH(B1160,'FICHA SOLIC'!$AB$26:$AB$376,0)),1,0)</f>
        <v>1</v>
      </c>
      <c r="AE1160" s="423" t="str">
        <f t="shared" si="18"/>
        <v>ProvidenciaEC3</v>
      </c>
    </row>
    <row r="1161" spans="1:31" x14ac:dyDescent="0.25">
      <c r="A1161" s="423">
        <v>1160</v>
      </c>
      <c r="B1161" s="423" t="s">
        <v>425</v>
      </c>
      <c r="C1161" s="423" t="s">
        <v>1033</v>
      </c>
      <c r="D1161" s="425" t="s">
        <v>990</v>
      </c>
      <c r="E1161" s="425" t="s">
        <v>991</v>
      </c>
      <c r="F1161" s="425" t="s">
        <v>992</v>
      </c>
      <c r="G1161" s="425" t="s">
        <v>993</v>
      </c>
      <c r="H1161" s="426" t="s">
        <v>489</v>
      </c>
      <c r="I1161" s="425" t="s">
        <v>994</v>
      </c>
      <c r="J1161" s="425" t="s">
        <v>697</v>
      </c>
      <c r="K1161" s="425" t="s">
        <v>995</v>
      </c>
      <c r="L1161" s="425" t="s">
        <v>996</v>
      </c>
      <c r="M1161" s="425" t="s">
        <v>997</v>
      </c>
      <c r="N1161" s="425" t="s">
        <v>558</v>
      </c>
      <c r="O1161" s="425" t="s">
        <v>998</v>
      </c>
      <c r="P1161" s="425" t="s">
        <v>999</v>
      </c>
      <c r="Q1161" s="425" t="s">
        <v>1000</v>
      </c>
      <c r="R1161" s="425" t="s">
        <v>1001</v>
      </c>
      <c r="S1161" s="425" t="s">
        <v>1002</v>
      </c>
      <c r="T1161" s="423">
        <v>800</v>
      </c>
      <c r="U1161" s="423" t="s">
        <v>1041</v>
      </c>
      <c r="V1161" s="423">
        <v>100</v>
      </c>
      <c r="W1161" s="423">
        <v>3</v>
      </c>
      <c r="X1161" s="423">
        <v>10.5</v>
      </c>
      <c r="Y1161" s="423" t="s">
        <v>1041</v>
      </c>
      <c r="Z1161" s="423" t="s">
        <v>1040</v>
      </c>
      <c r="AD1161" s="423">
        <f>IF(ISNUMBER(MATCH(B1161,'FICHA SOLIC'!$AB$26:$AB$376,0)),1,0)</f>
        <v>1</v>
      </c>
      <c r="AE1161" s="423" t="str">
        <f t="shared" si="18"/>
        <v>ProvidenciaEC3+AL</v>
      </c>
    </row>
    <row r="1162" spans="1:31" x14ac:dyDescent="0.25">
      <c r="A1162" s="423">
        <v>1161</v>
      </c>
      <c r="B1162" s="423" t="s">
        <v>425</v>
      </c>
      <c r="C1162" s="423" t="s">
        <v>1028</v>
      </c>
      <c r="D1162" s="425" t="s">
        <v>990</v>
      </c>
      <c r="E1162" s="425" t="s">
        <v>991</v>
      </c>
      <c r="F1162" s="425" t="s">
        <v>992</v>
      </c>
      <c r="G1162" s="425" t="s">
        <v>993</v>
      </c>
      <c r="H1162" s="426" t="s">
        <v>489</v>
      </c>
      <c r="I1162" s="425" t="s">
        <v>994</v>
      </c>
      <c r="J1162" s="425" t="s">
        <v>697</v>
      </c>
      <c r="K1162" s="425" t="s">
        <v>995</v>
      </c>
      <c r="L1162" s="425" t="s">
        <v>996</v>
      </c>
      <c r="M1162" s="425" t="s">
        <v>997</v>
      </c>
      <c r="N1162" s="425" t="s">
        <v>558</v>
      </c>
      <c r="O1162" s="425" t="s">
        <v>998</v>
      </c>
      <c r="P1162" s="425" t="s">
        <v>999</v>
      </c>
      <c r="Q1162" s="425" t="s">
        <v>1000</v>
      </c>
      <c r="R1162" s="425" t="s">
        <v>1001</v>
      </c>
      <c r="S1162" s="425" t="s">
        <v>1002</v>
      </c>
      <c r="T1162" s="423">
        <v>800</v>
      </c>
      <c r="U1162" s="423" t="s">
        <v>1041</v>
      </c>
      <c r="V1162" s="423">
        <v>60</v>
      </c>
      <c r="W1162" s="423">
        <v>1.8</v>
      </c>
      <c r="X1162" s="423">
        <v>16</v>
      </c>
      <c r="Y1162" s="423" t="s">
        <v>1041</v>
      </c>
      <c r="Z1162" s="423" t="s">
        <v>1039</v>
      </c>
      <c r="AD1162" s="423">
        <f>IF(ISNUMBER(MATCH(B1162,'FICHA SOLIC'!$AB$26:$AB$376,0)),1,0)</f>
        <v>1</v>
      </c>
      <c r="AE1162" s="423" t="str">
        <f t="shared" si="18"/>
        <v>ProvidenciaEC5</v>
      </c>
    </row>
    <row r="1163" spans="1:31" x14ac:dyDescent="0.25">
      <c r="A1163" s="423">
        <v>1162</v>
      </c>
      <c r="B1163" s="423" t="s">
        <v>425</v>
      </c>
      <c r="C1163" s="423" t="s">
        <v>1029</v>
      </c>
      <c r="D1163" s="425" t="s">
        <v>990</v>
      </c>
      <c r="E1163" s="425" t="s">
        <v>991</v>
      </c>
      <c r="F1163" s="425" t="s">
        <v>992</v>
      </c>
      <c r="G1163" s="425" t="s">
        <v>993</v>
      </c>
      <c r="H1163" s="426" t="s">
        <v>489</v>
      </c>
      <c r="I1163" s="425" t="s">
        <v>994</v>
      </c>
      <c r="J1163" s="425" t="s">
        <v>697</v>
      </c>
      <c r="K1163" s="425" t="s">
        <v>995</v>
      </c>
      <c r="L1163" s="425" t="s">
        <v>996</v>
      </c>
      <c r="M1163" s="425" t="s">
        <v>997</v>
      </c>
      <c r="N1163" s="425" t="s">
        <v>558</v>
      </c>
      <c r="O1163" s="425" t="s">
        <v>998</v>
      </c>
      <c r="P1163" s="425" t="s">
        <v>999</v>
      </c>
      <c r="Q1163" s="425" t="s">
        <v>1000</v>
      </c>
      <c r="R1163" s="425" t="s">
        <v>1001</v>
      </c>
      <c r="S1163" s="425" t="s">
        <v>1002</v>
      </c>
      <c r="T1163" s="423">
        <v>800</v>
      </c>
      <c r="U1163" s="423" t="s">
        <v>1041</v>
      </c>
      <c r="V1163" s="423">
        <v>60</v>
      </c>
      <c r="W1163" s="423">
        <v>2.5</v>
      </c>
      <c r="X1163" s="423">
        <v>22</v>
      </c>
      <c r="Y1163" s="423" t="s">
        <v>1041</v>
      </c>
      <c r="Z1163" s="423" t="s">
        <v>1039</v>
      </c>
      <c r="AD1163" s="423">
        <f>IF(ISNUMBER(MATCH(B1163,'FICHA SOLIC'!$AB$26:$AB$376,0)),1,0)</f>
        <v>1</v>
      </c>
      <c r="AE1163" s="423" t="str">
        <f t="shared" si="18"/>
        <v>ProvidenciaEC7</v>
      </c>
    </row>
    <row r="1164" spans="1:31" x14ac:dyDescent="0.25">
      <c r="A1164" s="423">
        <v>1163</v>
      </c>
      <c r="B1164" s="423" t="s">
        <v>149</v>
      </c>
      <c r="C1164" s="423" t="s">
        <v>2014</v>
      </c>
      <c r="D1164" s="973" t="s">
        <v>990</v>
      </c>
      <c r="E1164" s="973" t="s">
        <v>991</v>
      </c>
      <c r="F1164" s="973" t="s">
        <v>992</v>
      </c>
      <c r="G1164" s="973" t="s">
        <v>1997</v>
      </c>
      <c r="H1164" s="973" t="s">
        <v>1998</v>
      </c>
      <c r="I1164" s="973" t="s">
        <v>1999</v>
      </c>
      <c r="J1164" s="973" t="s">
        <v>697</v>
      </c>
      <c r="K1164" s="973" t="s">
        <v>995</v>
      </c>
      <c r="L1164" s="973" t="s">
        <v>996</v>
      </c>
      <c r="M1164" s="973" t="s">
        <v>2000</v>
      </c>
      <c r="N1164" s="973" t="s">
        <v>2001</v>
      </c>
      <c r="O1164" s="973" t="s">
        <v>1971</v>
      </c>
      <c r="P1164" s="973" t="s">
        <v>999</v>
      </c>
      <c r="Q1164" s="973" t="s">
        <v>1000</v>
      </c>
      <c r="R1164" s="973" t="s">
        <v>1001</v>
      </c>
      <c r="S1164" s="973" t="s">
        <v>1002</v>
      </c>
      <c r="T1164" s="423">
        <v>350</v>
      </c>
      <c r="U1164" s="423" t="s">
        <v>1041</v>
      </c>
      <c r="V1164" s="423">
        <v>100</v>
      </c>
      <c r="W1164" s="423">
        <v>3</v>
      </c>
      <c r="X1164" s="423">
        <v>14</v>
      </c>
      <c r="Y1164" s="423" t="s">
        <v>1041</v>
      </c>
      <c r="Z1164" s="423" t="s">
        <v>2068</v>
      </c>
      <c r="AD1164" s="423">
        <f>IF(ISNUMBER(MATCH(B1164,'FICHA SOLIC'!$AB$26:$AB$376,0)),1,0)</f>
        <v>1</v>
      </c>
      <c r="AE1164" s="423" t="str">
        <f t="shared" si="18"/>
        <v>PuchuncavíZ1</v>
      </c>
    </row>
    <row r="1165" spans="1:31" x14ac:dyDescent="0.25">
      <c r="A1165" s="423">
        <v>1164</v>
      </c>
      <c r="B1165" s="423" t="s">
        <v>149</v>
      </c>
      <c r="C1165" s="423" t="s">
        <v>2015</v>
      </c>
      <c r="D1165" s="973" t="s">
        <v>990</v>
      </c>
      <c r="E1165" s="973" t="s">
        <v>991</v>
      </c>
      <c r="F1165" s="973" t="s">
        <v>992</v>
      </c>
      <c r="G1165" s="973" t="s">
        <v>1997</v>
      </c>
      <c r="H1165" s="973" t="s">
        <v>1998</v>
      </c>
      <c r="I1165" s="973" t="s">
        <v>1999</v>
      </c>
      <c r="J1165" s="973" t="s">
        <v>697</v>
      </c>
      <c r="K1165" s="973" t="s">
        <v>995</v>
      </c>
      <c r="L1165" s="973" t="s">
        <v>996</v>
      </c>
      <c r="M1165" s="973" t="s">
        <v>2000</v>
      </c>
      <c r="N1165" s="973" t="s">
        <v>2001</v>
      </c>
      <c r="O1165" s="973" t="s">
        <v>1971</v>
      </c>
      <c r="P1165" s="973" t="s">
        <v>999</v>
      </c>
      <c r="Q1165" s="973" t="s">
        <v>1000</v>
      </c>
      <c r="R1165" s="973" t="s">
        <v>1001</v>
      </c>
      <c r="S1165" s="973" t="s">
        <v>1002</v>
      </c>
      <c r="T1165" s="423">
        <v>600</v>
      </c>
      <c r="U1165" s="423" t="s">
        <v>1041</v>
      </c>
      <c r="V1165" s="423">
        <v>30</v>
      </c>
      <c r="W1165" s="423">
        <v>0.6</v>
      </c>
      <c r="X1165" s="423">
        <v>35</v>
      </c>
      <c r="Y1165" s="423" t="s">
        <v>1041</v>
      </c>
      <c r="Z1165" s="423" t="s">
        <v>1057</v>
      </c>
      <c r="AD1165" s="423">
        <f>IF(ISNUMBER(MATCH(B1165,'FICHA SOLIC'!$AB$26:$AB$376,0)),1,0)</f>
        <v>1</v>
      </c>
      <c r="AE1165" s="423" t="str">
        <f t="shared" si="18"/>
        <v>PuchuncavíZ10</v>
      </c>
    </row>
    <row r="1166" spans="1:31" x14ac:dyDescent="0.25">
      <c r="A1166" s="423">
        <v>1165</v>
      </c>
      <c r="B1166" s="423" t="s">
        <v>149</v>
      </c>
      <c r="C1166" s="423" t="s">
        <v>2016</v>
      </c>
      <c r="D1166" s="973" t="s">
        <v>990</v>
      </c>
      <c r="E1166" s="973" t="s">
        <v>991</v>
      </c>
      <c r="F1166" s="973" t="s">
        <v>992</v>
      </c>
      <c r="G1166" s="973" t="s">
        <v>1997</v>
      </c>
      <c r="H1166" s="973" t="s">
        <v>1998</v>
      </c>
      <c r="I1166" s="973" t="s">
        <v>1999</v>
      </c>
      <c r="J1166" s="973" t="s">
        <v>697</v>
      </c>
      <c r="K1166" s="973" t="s">
        <v>995</v>
      </c>
      <c r="L1166" s="973" t="s">
        <v>996</v>
      </c>
      <c r="M1166" s="973" t="s">
        <v>2000</v>
      </c>
      <c r="N1166" s="973" t="s">
        <v>2001</v>
      </c>
      <c r="O1166" s="973" t="s">
        <v>1971</v>
      </c>
      <c r="P1166" s="973" t="s">
        <v>999</v>
      </c>
      <c r="Q1166" s="973" t="s">
        <v>1000</v>
      </c>
      <c r="R1166" s="973" t="s">
        <v>1001</v>
      </c>
      <c r="S1166" s="973" t="s">
        <v>1002</v>
      </c>
      <c r="T1166" s="423">
        <v>1000</v>
      </c>
      <c r="U1166" s="423" t="s">
        <v>1041</v>
      </c>
      <c r="V1166" s="423">
        <v>25</v>
      </c>
      <c r="W1166" s="423">
        <v>0.4</v>
      </c>
      <c r="X1166" s="423">
        <v>35</v>
      </c>
      <c r="Y1166" s="423" t="s">
        <v>1041</v>
      </c>
      <c r="Z1166" s="423" t="s">
        <v>1057</v>
      </c>
      <c r="AD1166" s="423">
        <f>IF(ISNUMBER(MATCH(B1166,'FICHA SOLIC'!$AB$26:$AB$376,0)),1,0)</f>
        <v>1</v>
      </c>
      <c r="AE1166" s="423" t="str">
        <f t="shared" si="18"/>
        <v>PuchuncavíZ11</v>
      </c>
    </row>
    <row r="1167" spans="1:31" x14ac:dyDescent="0.25">
      <c r="A1167" s="423">
        <v>1166</v>
      </c>
      <c r="B1167" s="423" t="s">
        <v>149</v>
      </c>
      <c r="C1167" s="423" t="s">
        <v>1458</v>
      </c>
      <c r="D1167" s="973" t="s">
        <v>990</v>
      </c>
      <c r="E1167" s="973" t="s">
        <v>991</v>
      </c>
      <c r="F1167" s="973" t="s">
        <v>992</v>
      </c>
      <c r="G1167" s="973" t="s">
        <v>1997</v>
      </c>
      <c r="H1167" s="973" t="s">
        <v>1998</v>
      </c>
      <c r="I1167" s="973" t="s">
        <v>1999</v>
      </c>
      <c r="J1167" s="973" t="s">
        <v>697</v>
      </c>
      <c r="K1167" s="973" t="s">
        <v>995</v>
      </c>
      <c r="L1167" s="973" t="s">
        <v>996</v>
      </c>
      <c r="M1167" s="973" t="s">
        <v>2000</v>
      </c>
      <c r="N1167" s="973" t="s">
        <v>2001</v>
      </c>
      <c r="O1167" s="973" t="s">
        <v>1971</v>
      </c>
      <c r="P1167" s="973" t="s">
        <v>999</v>
      </c>
      <c r="Q1167" s="973" t="s">
        <v>1000</v>
      </c>
      <c r="R1167" s="973" t="s">
        <v>1001</v>
      </c>
      <c r="S1167" s="973" t="s">
        <v>1002</v>
      </c>
      <c r="T1167" s="423">
        <v>350</v>
      </c>
      <c r="U1167" s="423" t="s">
        <v>1041</v>
      </c>
      <c r="V1167" s="423">
        <v>30</v>
      </c>
      <c r="W1167" s="423">
        <v>1.5</v>
      </c>
      <c r="X1167" s="423">
        <v>21</v>
      </c>
      <c r="Y1167" s="423" t="s">
        <v>1041</v>
      </c>
      <c r="Z1167" s="423" t="s">
        <v>1057</v>
      </c>
      <c r="AD1167" s="423">
        <f>IF(ISNUMBER(MATCH(B1167,'FICHA SOLIC'!$AB$26:$AB$376,0)),1,0)</f>
        <v>1</v>
      </c>
      <c r="AE1167" s="423" t="str">
        <f t="shared" si="18"/>
        <v>PuchuncavíZ2</v>
      </c>
    </row>
    <row r="1168" spans="1:31" x14ac:dyDescent="0.25">
      <c r="A1168" s="423">
        <v>1167</v>
      </c>
      <c r="B1168" s="423" t="s">
        <v>149</v>
      </c>
      <c r="C1168" s="423" t="s">
        <v>2022</v>
      </c>
      <c r="D1168" s="973" t="s">
        <v>990</v>
      </c>
      <c r="E1168" s="973" t="s">
        <v>991</v>
      </c>
      <c r="F1168" s="973" t="s">
        <v>992</v>
      </c>
      <c r="G1168" s="973" t="s">
        <v>1997</v>
      </c>
      <c r="H1168" s="973" t="s">
        <v>1998</v>
      </c>
      <c r="I1168" s="973" t="s">
        <v>1999</v>
      </c>
      <c r="J1168" s="973" t="s">
        <v>697</v>
      </c>
      <c r="K1168" s="973" t="s">
        <v>995</v>
      </c>
      <c r="L1168" s="973" t="s">
        <v>996</v>
      </c>
      <c r="M1168" s="973" t="s">
        <v>2000</v>
      </c>
      <c r="N1168" s="973" t="s">
        <v>2001</v>
      </c>
      <c r="O1168" s="973" t="s">
        <v>1971</v>
      </c>
      <c r="P1168" s="973" t="s">
        <v>999</v>
      </c>
      <c r="Q1168" s="973" t="s">
        <v>1000</v>
      </c>
      <c r="R1168" s="973" t="s">
        <v>1001</v>
      </c>
      <c r="S1168" s="973" t="s">
        <v>1002</v>
      </c>
      <c r="T1168" s="423">
        <v>160</v>
      </c>
      <c r="U1168" s="423" t="s">
        <v>1041</v>
      </c>
      <c r="V1168" s="423">
        <v>40</v>
      </c>
      <c r="W1168" s="423">
        <v>0.8</v>
      </c>
      <c r="X1168" s="423">
        <v>10</v>
      </c>
      <c r="Y1168" s="423" t="s">
        <v>1041</v>
      </c>
      <c r="Z1168" s="423" t="s">
        <v>1059</v>
      </c>
      <c r="AD1168" s="423">
        <f>IF(ISNUMBER(MATCH(B1168,'FICHA SOLIC'!$AB$26:$AB$376,0)),1,0)</f>
        <v>1</v>
      </c>
      <c r="AE1168" s="423" t="str">
        <f t="shared" si="18"/>
        <v>PuchuncavíZ3</v>
      </c>
    </row>
    <row r="1169" spans="1:31" x14ac:dyDescent="0.25">
      <c r="A1169" s="423">
        <v>1168</v>
      </c>
      <c r="B1169" s="423" t="s">
        <v>149</v>
      </c>
      <c r="C1169" s="423" t="s">
        <v>2024</v>
      </c>
      <c r="D1169" s="973" t="s">
        <v>990</v>
      </c>
      <c r="E1169" s="973" t="s">
        <v>991</v>
      </c>
      <c r="F1169" s="973" t="s">
        <v>992</v>
      </c>
      <c r="G1169" s="973" t="s">
        <v>1997</v>
      </c>
      <c r="H1169" s="973" t="s">
        <v>1998</v>
      </c>
      <c r="I1169" s="973" t="s">
        <v>1999</v>
      </c>
      <c r="J1169" s="973" t="s">
        <v>697</v>
      </c>
      <c r="K1169" s="973" t="s">
        <v>995</v>
      </c>
      <c r="L1169" s="973" t="s">
        <v>996</v>
      </c>
      <c r="M1169" s="973" t="s">
        <v>2000</v>
      </c>
      <c r="N1169" s="973" t="s">
        <v>2001</v>
      </c>
      <c r="O1169" s="973" t="s">
        <v>1971</v>
      </c>
      <c r="P1169" s="973" t="s">
        <v>999</v>
      </c>
      <c r="Q1169" s="973" t="s">
        <v>1000</v>
      </c>
      <c r="R1169" s="973" t="s">
        <v>1001</v>
      </c>
      <c r="S1169" s="973" t="s">
        <v>1002</v>
      </c>
      <c r="T1169" s="423">
        <v>800</v>
      </c>
      <c r="U1169" s="423" t="s">
        <v>1041</v>
      </c>
      <c r="V1169" s="423">
        <v>25</v>
      </c>
      <c r="W1169" s="423">
        <v>0.25</v>
      </c>
      <c r="X1169" s="423">
        <v>10</v>
      </c>
      <c r="Y1169" s="423" t="s">
        <v>1041</v>
      </c>
      <c r="Z1169" s="423" t="s">
        <v>1058</v>
      </c>
      <c r="AD1169" s="423">
        <f>IF(ISNUMBER(MATCH(B1169,'FICHA SOLIC'!$AB$26:$AB$376,0)),1,0)</f>
        <v>1</v>
      </c>
      <c r="AE1169" s="423" t="str">
        <f t="shared" si="18"/>
        <v>PuchuncavíZ4</v>
      </c>
    </row>
    <row r="1170" spans="1:31" x14ac:dyDescent="0.25">
      <c r="A1170" s="423">
        <v>1169</v>
      </c>
      <c r="B1170" s="423" t="s">
        <v>149</v>
      </c>
      <c r="C1170" s="423" t="s">
        <v>2025</v>
      </c>
      <c r="D1170" s="973" t="s">
        <v>990</v>
      </c>
      <c r="E1170" s="973" t="s">
        <v>991</v>
      </c>
      <c r="F1170" s="973" t="s">
        <v>992</v>
      </c>
      <c r="G1170" s="973" t="s">
        <v>1997</v>
      </c>
      <c r="H1170" s="973" t="s">
        <v>1998</v>
      </c>
      <c r="I1170" s="973" t="s">
        <v>1999</v>
      </c>
      <c r="J1170" s="973" t="s">
        <v>697</v>
      </c>
      <c r="K1170" s="973" t="s">
        <v>995</v>
      </c>
      <c r="L1170" s="973" t="s">
        <v>996</v>
      </c>
      <c r="M1170" s="973" t="s">
        <v>2000</v>
      </c>
      <c r="N1170" s="973" t="s">
        <v>2001</v>
      </c>
      <c r="O1170" s="973" t="s">
        <v>1971</v>
      </c>
      <c r="P1170" s="973" t="s">
        <v>999</v>
      </c>
      <c r="Q1170" s="973" t="s">
        <v>1000</v>
      </c>
      <c r="R1170" s="973" t="s">
        <v>1001</v>
      </c>
      <c r="S1170" s="973" t="s">
        <v>1002</v>
      </c>
      <c r="T1170" s="423">
        <v>400</v>
      </c>
      <c r="U1170" s="423" t="s">
        <v>1041</v>
      </c>
      <c r="V1170" s="423">
        <v>40</v>
      </c>
      <c r="W1170" s="423">
        <v>0.7</v>
      </c>
      <c r="X1170" s="423">
        <v>7</v>
      </c>
      <c r="Y1170" s="423" t="s">
        <v>1041</v>
      </c>
      <c r="Z1170" s="423" t="s">
        <v>1058</v>
      </c>
      <c r="AD1170" s="423">
        <f>IF(ISNUMBER(MATCH(B1170,'FICHA SOLIC'!$AB$26:$AB$376,0)),1,0)</f>
        <v>1</v>
      </c>
      <c r="AE1170" s="423" t="str">
        <f t="shared" si="18"/>
        <v>PuchuncavíZ5</v>
      </c>
    </row>
    <row r="1171" spans="1:31" x14ac:dyDescent="0.25">
      <c r="A1171" s="423">
        <v>1170</v>
      </c>
      <c r="B1171" s="423" t="s">
        <v>149</v>
      </c>
      <c r="C1171" s="423" t="s">
        <v>2026</v>
      </c>
      <c r="D1171" s="973" t="s">
        <v>990</v>
      </c>
      <c r="E1171" s="973" t="s">
        <v>991</v>
      </c>
      <c r="F1171" s="973" t="s">
        <v>992</v>
      </c>
      <c r="G1171" s="973" t="s">
        <v>1997</v>
      </c>
      <c r="H1171" s="973" t="s">
        <v>1998</v>
      </c>
      <c r="I1171" s="973" t="s">
        <v>1999</v>
      </c>
      <c r="J1171" s="973" t="s">
        <v>697</v>
      </c>
      <c r="K1171" s="973" t="s">
        <v>995</v>
      </c>
      <c r="L1171" s="973" t="s">
        <v>996</v>
      </c>
      <c r="M1171" s="973" t="s">
        <v>2000</v>
      </c>
      <c r="N1171" s="973" t="s">
        <v>2001</v>
      </c>
      <c r="O1171" s="973" t="s">
        <v>1971</v>
      </c>
      <c r="P1171" s="973" t="s">
        <v>999</v>
      </c>
      <c r="Q1171" s="973" t="s">
        <v>1000</v>
      </c>
      <c r="R1171" s="973" t="s">
        <v>1001</v>
      </c>
      <c r="S1171" s="973" t="s">
        <v>1002</v>
      </c>
      <c r="T1171" s="423">
        <v>300</v>
      </c>
      <c r="U1171" s="423" t="s">
        <v>1041</v>
      </c>
      <c r="V1171" s="423">
        <v>20</v>
      </c>
      <c r="W1171" s="423">
        <v>0.2</v>
      </c>
      <c r="X1171" s="423">
        <v>3.5</v>
      </c>
      <c r="Y1171" s="423" t="s">
        <v>1041</v>
      </c>
      <c r="Z1171" s="423" t="s">
        <v>1058</v>
      </c>
      <c r="AD1171" s="423">
        <f>IF(ISNUMBER(MATCH(B1171,'FICHA SOLIC'!$AB$26:$AB$376,0)),1,0)</f>
        <v>1</v>
      </c>
      <c r="AE1171" s="423" t="str">
        <f t="shared" si="18"/>
        <v>PuchuncavíZ6</v>
      </c>
    </row>
    <row r="1172" spans="1:31" x14ac:dyDescent="0.25">
      <c r="A1172" s="423">
        <v>1171</v>
      </c>
      <c r="B1172" s="423" t="s">
        <v>149</v>
      </c>
      <c r="C1172" s="423" t="s">
        <v>2297</v>
      </c>
      <c r="D1172" s="973" t="s">
        <v>990</v>
      </c>
      <c r="E1172" s="973" t="s">
        <v>991</v>
      </c>
      <c r="F1172" s="973" t="s">
        <v>992</v>
      </c>
      <c r="G1172" s="973" t="s">
        <v>1997</v>
      </c>
      <c r="H1172" s="973" t="s">
        <v>1998</v>
      </c>
      <c r="I1172" s="973" t="s">
        <v>1999</v>
      </c>
      <c r="J1172" s="973" t="s">
        <v>697</v>
      </c>
      <c r="K1172" s="973" t="s">
        <v>995</v>
      </c>
      <c r="L1172" s="973" t="s">
        <v>996</v>
      </c>
      <c r="M1172" s="973" t="s">
        <v>2000</v>
      </c>
      <c r="N1172" s="973" t="s">
        <v>2001</v>
      </c>
      <c r="O1172" s="973" t="s">
        <v>1971</v>
      </c>
      <c r="P1172" s="973" t="s">
        <v>999</v>
      </c>
      <c r="Q1172" s="973" t="s">
        <v>1000</v>
      </c>
      <c r="R1172" s="973" t="s">
        <v>1001</v>
      </c>
      <c r="S1172" s="973" t="s">
        <v>1002</v>
      </c>
      <c r="T1172" s="423">
        <v>400</v>
      </c>
      <c r="U1172" s="423" t="s">
        <v>1041</v>
      </c>
      <c r="V1172" s="423">
        <v>30</v>
      </c>
      <c r="W1172" s="423">
        <v>0.6</v>
      </c>
      <c r="X1172" s="423">
        <v>7</v>
      </c>
      <c r="Y1172" s="423" t="s">
        <v>1041</v>
      </c>
      <c r="Z1172" s="423" t="s">
        <v>1058</v>
      </c>
      <c r="AD1172" s="423">
        <f>IF(ISNUMBER(MATCH(B1172,'FICHA SOLIC'!$AB$26:$AB$376,0)),1,0)</f>
        <v>1</v>
      </c>
      <c r="AE1172" s="423" t="str">
        <f t="shared" si="18"/>
        <v>PuchuncavíZ7</v>
      </c>
    </row>
    <row r="1173" spans="1:31" x14ac:dyDescent="0.25">
      <c r="A1173" s="423">
        <v>1172</v>
      </c>
      <c r="B1173" s="423" t="s">
        <v>149</v>
      </c>
      <c r="C1173" s="423" t="s">
        <v>2029</v>
      </c>
      <c r="D1173" s="973" t="s">
        <v>990</v>
      </c>
      <c r="E1173" s="973" t="s">
        <v>991</v>
      </c>
      <c r="F1173" s="973" t="s">
        <v>992</v>
      </c>
      <c r="G1173" s="973" t="s">
        <v>1997</v>
      </c>
      <c r="H1173" s="973" t="s">
        <v>1998</v>
      </c>
      <c r="I1173" s="973" t="s">
        <v>1999</v>
      </c>
      <c r="J1173" s="973" t="s">
        <v>697</v>
      </c>
      <c r="K1173" s="973" t="s">
        <v>995</v>
      </c>
      <c r="L1173" s="973" t="s">
        <v>996</v>
      </c>
      <c r="M1173" s="973" t="s">
        <v>2000</v>
      </c>
      <c r="N1173" s="973" t="s">
        <v>2001</v>
      </c>
      <c r="O1173" s="973" t="s">
        <v>1971</v>
      </c>
      <c r="P1173" s="973" t="s">
        <v>999</v>
      </c>
      <c r="Q1173" s="973" t="s">
        <v>1000</v>
      </c>
      <c r="R1173" s="973" t="s">
        <v>1001</v>
      </c>
      <c r="S1173" s="973" t="s">
        <v>1002</v>
      </c>
      <c r="T1173" s="423">
        <v>300</v>
      </c>
      <c r="U1173" s="423" t="s">
        <v>1041</v>
      </c>
      <c r="V1173" s="423">
        <v>20</v>
      </c>
      <c r="W1173" s="423">
        <v>0.4</v>
      </c>
      <c r="X1173" s="423">
        <v>7</v>
      </c>
      <c r="Y1173" s="423" t="s">
        <v>1041</v>
      </c>
      <c r="Z1173" s="423" t="s">
        <v>1058</v>
      </c>
      <c r="AD1173" s="423">
        <f>IF(ISNUMBER(MATCH(B1173,'FICHA SOLIC'!$AB$26:$AB$376,0)),1,0)</f>
        <v>1</v>
      </c>
      <c r="AE1173" s="423" t="str">
        <f t="shared" si="18"/>
        <v>PuchuncavíZ8</v>
      </c>
    </row>
    <row r="1174" spans="1:31" x14ac:dyDescent="0.25">
      <c r="A1174" s="423">
        <v>1173</v>
      </c>
      <c r="B1174" s="423" t="s">
        <v>149</v>
      </c>
      <c r="C1174" s="423" t="s">
        <v>2030</v>
      </c>
      <c r="D1174" s="973" t="s">
        <v>990</v>
      </c>
      <c r="E1174" s="973" t="s">
        <v>991</v>
      </c>
      <c r="F1174" s="973" t="s">
        <v>992</v>
      </c>
      <c r="G1174" s="973" t="s">
        <v>1997</v>
      </c>
      <c r="H1174" s="973" t="s">
        <v>1998</v>
      </c>
      <c r="I1174" s="973" t="s">
        <v>1999</v>
      </c>
      <c r="J1174" s="973" t="s">
        <v>697</v>
      </c>
      <c r="K1174" s="973" t="s">
        <v>995</v>
      </c>
      <c r="L1174" s="973" t="s">
        <v>996</v>
      </c>
      <c r="M1174" s="973" t="s">
        <v>2000</v>
      </c>
      <c r="N1174" s="973" t="s">
        <v>2001</v>
      </c>
      <c r="O1174" s="973" t="s">
        <v>1971</v>
      </c>
      <c r="P1174" s="973" t="s">
        <v>999</v>
      </c>
      <c r="Q1174" s="973" t="s">
        <v>1000</v>
      </c>
      <c r="R1174" s="973" t="s">
        <v>1001</v>
      </c>
      <c r="S1174" s="973" t="s">
        <v>1002</v>
      </c>
      <c r="T1174" s="423">
        <v>350</v>
      </c>
      <c r="U1174" s="423" t="s">
        <v>1041</v>
      </c>
      <c r="V1174" s="423">
        <v>50</v>
      </c>
      <c r="W1174" s="423">
        <v>1</v>
      </c>
      <c r="X1174" s="423">
        <v>7</v>
      </c>
      <c r="Y1174" s="423" t="s">
        <v>1041</v>
      </c>
      <c r="Z1174" s="423" t="s">
        <v>1057</v>
      </c>
      <c r="AD1174" s="423">
        <f>IF(ISNUMBER(MATCH(B1174,'FICHA SOLIC'!$AB$26:$AB$376,0)),1,0)</f>
        <v>1</v>
      </c>
      <c r="AE1174" s="423" t="str">
        <f t="shared" si="18"/>
        <v>PuchuncavíZ9</v>
      </c>
    </row>
    <row r="1175" spans="1:31" x14ac:dyDescent="0.25">
      <c r="A1175" s="423">
        <v>1174</v>
      </c>
      <c r="B1175" s="423" t="s">
        <v>149</v>
      </c>
      <c r="C1175" s="423" t="s">
        <v>2040</v>
      </c>
      <c r="D1175" s="973" t="s">
        <v>990</v>
      </c>
      <c r="E1175" s="973" t="s">
        <v>991</v>
      </c>
      <c r="F1175" s="973" t="s">
        <v>992</v>
      </c>
      <c r="G1175" s="973" t="s">
        <v>1997</v>
      </c>
      <c r="H1175" s="973" t="s">
        <v>1998</v>
      </c>
      <c r="I1175" s="973" t="s">
        <v>1999</v>
      </c>
      <c r="J1175" s="973" t="s">
        <v>697</v>
      </c>
      <c r="K1175" s="973" t="s">
        <v>995</v>
      </c>
      <c r="L1175" s="973" t="s">
        <v>996</v>
      </c>
      <c r="M1175" s="973" t="s">
        <v>2000</v>
      </c>
      <c r="N1175" s="973" t="s">
        <v>2001</v>
      </c>
      <c r="O1175" s="973" t="s">
        <v>1971</v>
      </c>
      <c r="P1175" s="973" t="s">
        <v>999</v>
      </c>
      <c r="Q1175" s="973" t="s">
        <v>1000</v>
      </c>
      <c r="R1175" s="973" t="s">
        <v>1001</v>
      </c>
      <c r="S1175" s="973" t="s">
        <v>1002</v>
      </c>
      <c r="T1175" s="423">
        <v>1000</v>
      </c>
      <c r="U1175" s="423" t="s">
        <v>1041</v>
      </c>
      <c r="V1175" s="423">
        <v>20</v>
      </c>
      <c r="W1175" s="423">
        <v>0.2</v>
      </c>
      <c r="X1175" s="423">
        <v>14</v>
      </c>
      <c r="Y1175" s="423" t="s">
        <v>1041</v>
      </c>
      <c r="Z1175" s="423" t="s">
        <v>1058</v>
      </c>
      <c r="AD1175" s="423">
        <f>IF(ISNUMBER(MATCH(B1175,'FICHA SOLIC'!$AB$26:$AB$376,0)),1,0)</f>
        <v>1</v>
      </c>
      <c r="AE1175" s="423" t="str">
        <f t="shared" si="18"/>
        <v>PuchuncavíZED</v>
      </c>
    </row>
    <row r="1176" spans="1:31" x14ac:dyDescent="0.25">
      <c r="A1176" s="423">
        <v>1175</v>
      </c>
      <c r="B1176" s="423" t="s">
        <v>149</v>
      </c>
      <c r="C1176" s="423" t="s">
        <v>2298</v>
      </c>
      <c r="D1176" s="973" t="s">
        <v>990</v>
      </c>
      <c r="E1176" s="973" t="s">
        <v>991</v>
      </c>
      <c r="F1176" s="973" t="s">
        <v>992</v>
      </c>
      <c r="G1176" s="973" t="s">
        <v>1997</v>
      </c>
      <c r="H1176" s="973" t="s">
        <v>1998</v>
      </c>
      <c r="I1176" s="973" t="s">
        <v>1999</v>
      </c>
      <c r="J1176" s="973" t="s">
        <v>697</v>
      </c>
      <c r="K1176" s="973" t="s">
        <v>995</v>
      </c>
      <c r="L1176" s="973" t="s">
        <v>996</v>
      </c>
      <c r="M1176" s="973" t="s">
        <v>2000</v>
      </c>
      <c r="N1176" s="973" t="s">
        <v>2001</v>
      </c>
      <c r="O1176" s="973" t="s">
        <v>1971</v>
      </c>
      <c r="P1176" s="973" t="s">
        <v>999</v>
      </c>
      <c r="Q1176" s="973" t="s">
        <v>1000</v>
      </c>
      <c r="R1176" s="973" t="s">
        <v>1001</v>
      </c>
      <c r="S1176" s="973" t="s">
        <v>1002</v>
      </c>
      <c r="T1176" s="423">
        <v>5000</v>
      </c>
      <c r="U1176" s="423" t="s">
        <v>1041</v>
      </c>
      <c r="V1176" s="423">
        <v>40</v>
      </c>
      <c r="W1176" s="423">
        <v>4</v>
      </c>
      <c r="X1176" s="423">
        <v>28</v>
      </c>
      <c r="Y1176" s="423" t="s">
        <v>1041</v>
      </c>
      <c r="Z1176" s="423" t="s">
        <v>1058</v>
      </c>
      <c r="AD1176" s="423">
        <f>IF(ISNUMBER(MATCH(B1176,'FICHA SOLIC'!$AB$26:$AB$376,0)),1,0)</f>
        <v>1</v>
      </c>
      <c r="AE1176" s="423" t="str">
        <f t="shared" si="18"/>
        <v>PuchuncavíZEH</v>
      </c>
    </row>
    <row r="1177" spans="1:31" x14ac:dyDescent="0.25">
      <c r="A1177" s="423">
        <v>1176</v>
      </c>
      <c r="B1177" s="423" t="s">
        <v>149</v>
      </c>
      <c r="C1177" s="423" t="s">
        <v>2299</v>
      </c>
      <c r="D1177" s="973" t="s">
        <v>990</v>
      </c>
      <c r="E1177" s="973" t="s">
        <v>991</v>
      </c>
      <c r="F1177" s="973" t="s">
        <v>992</v>
      </c>
      <c r="G1177" s="973" t="s">
        <v>1997</v>
      </c>
      <c r="H1177" s="973" t="s">
        <v>1998</v>
      </c>
      <c r="I1177" s="973" t="s">
        <v>1999</v>
      </c>
      <c r="J1177" s="973" t="s">
        <v>697</v>
      </c>
      <c r="K1177" s="973" t="s">
        <v>995</v>
      </c>
      <c r="L1177" s="973" t="s">
        <v>996</v>
      </c>
      <c r="M1177" s="973" t="s">
        <v>2000</v>
      </c>
      <c r="N1177" s="973" t="s">
        <v>2001</v>
      </c>
      <c r="O1177" s="973" t="s">
        <v>1971</v>
      </c>
      <c r="P1177" s="973" t="s">
        <v>999</v>
      </c>
      <c r="Q1177" s="973" t="s">
        <v>1000</v>
      </c>
      <c r="R1177" s="973" t="s">
        <v>1001</v>
      </c>
      <c r="S1177" s="973" t="s">
        <v>1002</v>
      </c>
      <c r="T1177" s="423">
        <v>500</v>
      </c>
      <c r="U1177" s="423" t="s">
        <v>1041</v>
      </c>
      <c r="V1177" s="423">
        <v>40</v>
      </c>
      <c r="W1177" s="423">
        <v>0.8</v>
      </c>
      <c r="X1177" s="423">
        <v>7</v>
      </c>
      <c r="Y1177" s="423" t="s">
        <v>1041</v>
      </c>
      <c r="Z1177" s="423" t="s">
        <v>1058</v>
      </c>
      <c r="AD1177" s="423">
        <f>IF(ISNUMBER(MATCH(B1177,'FICHA SOLIC'!$AB$26:$AB$376,0)),1,0)</f>
        <v>1</v>
      </c>
      <c r="AE1177" s="423" t="str">
        <f t="shared" si="18"/>
        <v>PuchuncavíZEM</v>
      </c>
    </row>
    <row r="1178" spans="1:31" x14ac:dyDescent="0.25">
      <c r="A1178" s="423">
        <v>1177</v>
      </c>
      <c r="B1178" s="423" t="s">
        <v>149</v>
      </c>
      <c r="C1178" s="423" t="s">
        <v>2300</v>
      </c>
      <c r="D1178" s="973" t="s">
        <v>990</v>
      </c>
      <c r="E1178" s="973" t="s">
        <v>991</v>
      </c>
      <c r="F1178" s="973" t="s">
        <v>992</v>
      </c>
      <c r="G1178" s="973" t="s">
        <v>1997</v>
      </c>
      <c r="H1178" s="973" t="s">
        <v>1998</v>
      </c>
      <c r="I1178" s="973" t="s">
        <v>1999</v>
      </c>
      <c r="J1178" s="973" t="s">
        <v>697</v>
      </c>
      <c r="K1178" s="973" t="s">
        <v>995</v>
      </c>
      <c r="L1178" s="973" t="s">
        <v>996</v>
      </c>
      <c r="M1178" s="973" t="s">
        <v>2000</v>
      </c>
      <c r="N1178" s="973" t="s">
        <v>2001</v>
      </c>
      <c r="O1178" s="973" t="s">
        <v>1971</v>
      </c>
      <c r="P1178" s="973" t="s">
        <v>999</v>
      </c>
      <c r="Q1178" s="973" t="s">
        <v>1000</v>
      </c>
      <c r="R1178" s="973" t="s">
        <v>1001</v>
      </c>
      <c r="S1178" s="973" t="s">
        <v>1002</v>
      </c>
      <c r="T1178" s="423">
        <v>5000</v>
      </c>
      <c r="U1178" s="423" t="s">
        <v>1041</v>
      </c>
      <c r="V1178" s="423">
        <v>15</v>
      </c>
      <c r="W1178" s="423">
        <v>0.15</v>
      </c>
      <c r="X1178" s="423">
        <v>5.6</v>
      </c>
      <c r="Y1178" s="423" t="s">
        <v>1041</v>
      </c>
      <c r="Z1178" s="423" t="s">
        <v>1058</v>
      </c>
      <c r="AD1178" s="423">
        <f>IF(ISNUMBER(MATCH(B1178,'FICHA SOLIC'!$AB$26:$AB$376,0)),1,0)</f>
        <v>1</v>
      </c>
      <c r="AE1178" s="423" t="str">
        <f t="shared" si="18"/>
        <v>PuchuncavíZEQC</v>
      </c>
    </row>
    <row r="1179" spans="1:31" x14ac:dyDescent="0.25">
      <c r="A1179" s="423">
        <v>1178</v>
      </c>
      <c r="B1179" s="423" t="s">
        <v>318</v>
      </c>
      <c r="C1179" s="423" t="s">
        <v>1131</v>
      </c>
      <c r="D1179" s="973" t="s">
        <v>990</v>
      </c>
      <c r="E1179" s="973" t="s">
        <v>991</v>
      </c>
      <c r="F1179" s="973" t="s">
        <v>992</v>
      </c>
      <c r="G1179" s="973" t="s">
        <v>1997</v>
      </c>
      <c r="H1179" s="973" t="s">
        <v>1998</v>
      </c>
      <c r="I1179" s="973" t="s">
        <v>1999</v>
      </c>
      <c r="J1179" s="973" t="s">
        <v>697</v>
      </c>
      <c r="K1179" s="973" t="s">
        <v>995</v>
      </c>
      <c r="L1179" s="973" t="s">
        <v>996</v>
      </c>
      <c r="M1179" s="973" t="s">
        <v>2000</v>
      </c>
      <c r="N1179" s="973" t="s">
        <v>2001</v>
      </c>
      <c r="O1179" s="973" t="s">
        <v>1971</v>
      </c>
      <c r="P1179" s="973" t="s">
        <v>999</v>
      </c>
      <c r="Q1179" s="973" t="s">
        <v>1000</v>
      </c>
      <c r="R1179" s="973" t="s">
        <v>1001</v>
      </c>
      <c r="S1179" s="973" t="s">
        <v>1002</v>
      </c>
      <c r="T1179" s="423">
        <v>300</v>
      </c>
      <c r="U1179" s="423">
        <v>12.5</v>
      </c>
      <c r="V1179" s="423">
        <v>60</v>
      </c>
      <c r="X1179" s="423" t="s">
        <v>1438</v>
      </c>
      <c r="Z1179" s="423" t="s">
        <v>1059</v>
      </c>
      <c r="AD1179" s="423">
        <f>IF(ISNUMBER(MATCH(B1179,'FICHA SOLIC'!$AB$26:$AB$376,0)),1,0)</f>
        <v>1</v>
      </c>
      <c r="AE1179" s="423" t="str">
        <f t="shared" si="18"/>
        <v>PucónZ-1</v>
      </c>
    </row>
    <row r="1180" spans="1:31" x14ac:dyDescent="0.25">
      <c r="A1180" s="423">
        <v>1179</v>
      </c>
      <c r="B1180" s="423" t="s">
        <v>318</v>
      </c>
      <c r="C1180" s="423" t="s">
        <v>1134</v>
      </c>
      <c r="D1180" s="973" t="s">
        <v>990</v>
      </c>
      <c r="E1180" s="973" t="s">
        <v>991</v>
      </c>
      <c r="F1180" s="973" t="s">
        <v>992</v>
      </c>
      <c r="G1180" s="973" t="s">
        <v>1997</v>
      </c>
      <c r="H1180" s="973" t="s">
        <v>1998</v>
      </c>
      <c r="I1180" s="973" t="s">
        <v>1999</v>
      </c>
      <c r="J1180" s="973" t="s">
        <v>697</v>
      </c>
      <c r="K1180" s="973" t="s">
        <v>995</v>
      </c>
      <c r="L1180" s="973" t="s">
        <v>996</v>
      </c>
      <c r="M1180" s="973" t="s">
        <v>2000</v>
      </c>
      <c r="N1180" s="973" t="s">
        <v>2001</v>
      </c>
      <c r="O1180" s="973" t="s">
        <v>1971</v>
      </c>
      <c r="P1180" s="973" t="s">
        <v>999</v>
      </c>
      <c r="Q1180" s="973" t="s">
        <v>1000</v>
      </c>
      <c r="R1180" s="973" t="s">
        <v>1001</v>
      </c>
      <c r="S1180" s="973" t="s">
        <v>1002</v>
      </c>
      <c r="T1180" s="423">
        <v>200</v>
      </c>
      <c r="U1180" s="423">
        <v>10</v>
      </c>
      <c r="V1180" s="423">
        <v>60</v>
      </c>
      <c r="X1180" s="423" t="s">
        <v>1437</v>
      </c>
      <c r="Z1180" s="423" t="s">
        <v>1059</v>
      </c>
      <c r="AD1180" s="423">
        <f>IF(ISNUMBER(MATCH(B1180,'FICHA SOLIC'!$AB$26:$AB$376,0)),1,0)</f>
        <v>1</v>
      </c>
      <c r="AE1180" s="423" t="str">
        <f t="shared" si="18"/>
        <v>PucónZ-2</v>
      </c>
    </row>
    <row r="1181" spans="1:31" x14ac:dyDescent="0.25">
      <c r="A1181" s="423">
        <v>1180</v>
      </c>
      <c r="B1181" s="423" t="s">
        <v>318</v>
      </c>
      <c r="C1181" s="423" t="s">
        <v>1137</v>
      </c>
      <c r="D1181" s="973" t="s">
        <v>990</v>
      </c>
      <c r="E1181" s="973" t="s">
        <v>991</v>
      </c>
      <c r="F1181" s="973" t="s">
        <v>992</v>
      </c>
      <c r="G1181" s="973" t="s">
        <v>1997</v>
      </c>
      <c r="H1181" s="973" t="s">
        <v>1998</v>
      </c>
      <c r="I1181" s="973" t="s">
        <v>1999</v>
      </c>
      <c r="J1181" s="973" t="s">
        <v>697</v>
      </c>
      <c r="K1181" s="973" t="s">
        <v>995</v>
      </c>
      <c r="L1181" s="973" t="s">
        <v>996</v>
      </c>
      <c r="M1181" s="973" t="s">
        <v>2000</v>
      </c>
      <c r="N1181" s="973" t="s">
        <v>2001</v>
      </c>
      <c r="O1181" s="973" t="s">
        <v>1971</v>
      </c>
      <c r="P1181" s="973" t="s">
        <v>999</v>
      </c>
      <c r="Q1181" s="973" t="s">
        <v>1000</v>
      </c>
      <c r="R1181" s="973" t="s">
        <v>1001</v>
      </c>
      <c r="S1181" s="973" t="s">
        <v>1002</v>
      </c>
      <c r="T1181" s="423">
        <v>1500</v>
      </c>
      <c r="U1181" s="423">
        <v>20</v>
      </c>
      <c r="V1181" s="423">
        <v>20</v>
      </c>
      <c r="X1181" s="423" t="s">
        <v>1172</v>
      </c>
      <c r="Z1181" s="423" t="s">
        <v>1058</v>
      </c>
      <c r="AD1181" s="423">
        <f>IF(ISNUMBER(MATCH(B1181,'FICHA SOLIC'!$AB$26:$AB$376,0)),1,0)</f>
        <v>1</v>
      </c>
      <c r="AE1181" s="423" t="str">
        <f t="shared" si="18"/>
        <v>PucónZ-3</v>
      </c>
    </row>
    <row r="1182" spans="1:31" x14ac:dyDescent="0.25">
      <c r="A1182" s="423">
        <v>1181</v>
      </c>
      <c r="B1182" s="423" t="s">
        <v>318</v>
      </c>
      <c r="C1182" s="423" t="s">
        <v>1140</v>
      </c>
      <c r="D1182" s="973" t="s">
        <v>990</v>
      </c>
      <c r="E1182" s="973" t="s">
        <v>991</v>
      </c>
      <c r="F1182" s="973" t="s">
        <v>992</v>
      </c>
      <c r="G1182" s="973" t="s">
        <v>1997</v>
      </c>
      <c r="H1182" s="973" t="s">
        <v>1998</v>
      </c>
      <c r="I1182" s="973" t="s">
        <v>1999</v>
      </c>
      <c r="J1182" s="973" t="s">
        <v>697</v>
      </c>
      <c r="K1182" s="973" t="s">
        <v>995</v>
      </c>
      <c r="L1182" s="973" t="s">
        <v>996</v>
      </c>
      <c r="M1182" s="973" t="s">
        <v>2000</v>
      </c>
      <c r="N1182" s="973" t="s">
        <v>2001</v>
      </c>
      <c r="O1182" s="973" t="s">
        <v>1971</v>
      </c>
      <c r="P1182" s="973" t="s">
        <v>999</v>
      </c>
      <c r="Q1182" s="973" t="s">
        <v>1000</v>
      </c>
      <c r="R1182" s="973" t="s">
        <v>1001</v>
      </c>
      <c r="S1182" s="973" t="s">
        <v>1002</v>
      </c>
      <c r="T1182" s="423">
        <v>2500</v>
      </c>
      <c r="U1182" s="423">
        <v>30</v>
      </c>
      <c r="V1182" s="423">
        <v>20</v>
      </c>
      <c r="X1182" s="423" t="s">
        <v>1680</v>
      </c>
      <c r="Z1182" s="423" t="s">
        <v>1058</v>
      </c>
      <c r="AD1182" s="423">
        <f>IF(ISNUMBER(MATCH(B1182,'FICHA SOLIC'!$AB$26:$AB$376,0)),1,0)</f>
        <v>1</v>
      </c>
      <c r="AE1182" s="423" t="str">
        <f t="shared" si="18"/>
        <v>PucónZ-4</v>
      </c>
    </row>
    <row r="1183" spans="1:31" x14ac:dyDescent="0.25">
      <c r="A1183" s="423">
        <v>1182</v>
      </c>
      <c r="B1183" s="423" t="s">
        <v>318</v>
      </c>
      <c r="C1183" s="423" t="s">
        <v>1144</v>
      </c>
      <c r="D1183" s="973" t="s">
        <v>990</v>
      </c>
      <c r="E1183" s="973" t="s">
        <v>991</v>
      </c>
      <c r="F1183" s="973" t="s">
        <v>992</v>
      </c>
      <c r="G1183" s="973" t="s">
        <v>1997</v>
      </c>
      <c r="H1183" s="973" t="s">
        <v>1998</v>
      </c>
      <c r="I1183" s="973" t="s">
        <v>1999</v>
      </c>
      <c r="J1183" s="973" t="s">
        <v>697</v>
      </c>
      <c r="K1183" s="973" t="s">
        <v>995</v>
      </c>
      <c r="L1183" s="973" t="s">
        <v>996</v>
      </c>
      <c r="M1183" s="973" t="s">
        <v>2000</v>
      </c>
      <c r="N1183" s="973" t="s">
        <v>2001</v>
      </c>
      <c r="O1183" s="973" t="s">
        <v>1971</v>
      </c>
      <c r="P1183" s="973" t="s">
        <v>999</v>
      </c>
      <c r="Q1183" s="973" t="s">
        <v>1000</v>
      </c>
      <c r="R1183" s="973" t="s">
        <v>1001</v>
      </c>
      <c r="S1183" s="973" t="s">
        <v>1002</v>
      </c>
      <c r="T1183" s="423">
        <v>500</v>
      </c>
      <c r="U1183" s="423">
        <v>15</v>
      </c>
      <c r="V1183" s="423">
        <v>40</v>
      </c>
      <c r="X1183" s="423" t="s">
        <v>2419</v>
      </c>
      <c r="Z1183" s="423" t="s">
        <v>1058</v>
      </c>
      <c r="AD1183" s="423">
        <f>IF(ISNUMBER(MATCH(B1183,'FICHA SOLIC'!$AB$26:$AB$376,0)),1,0)</f>
        <v>1</v>
      </c>
      <c r="AE1183" s="423" t="str">
        <f t="shared" si="18"/>
        <v>PucónZ-5</v>
      </c>
    </row>
    <row r="1184" spans="1:31" x14ac:dyDescent="0.25">
      <c r="A1184" s="423">
        <v>1183</v>
      </c>
      <c r="B1184" s="423" t="s">
        <v>318</v>
      </c>
      <c r="C1184" s="423" t="s">
        <v>2420</v>
      </c>
      <c r="D1184" s="973" t="s">
        <v>990</v>
      </c>
      <c r="E1184" s="973" t="s">
        <v>991</v>
      </c>
      <c r="F1184" s="973" t="s">
        <v>992</v>
      </c>
      <c r="G1184" s="973" t="s">
        <v>1997</v>
      </c>
      <c r="H1184" s="973" t="s">
        <v>1998</v>
      </c>
      <c r="I1184" s="973" t="s">
        <v>1999</v>
      </c>
      <c r="J1184" s="973" t="s">
        <v>697</v>
      </c>
      <c r="K1184" s="973" t="s">
        <v>995</v>
      </c>
      <c r="L1184" s="973" t="s">
        <v>996</v>
      </c>
      <c r="M1184" s="973" t="s">
        <v>2000</v>
      </c>
      <c r="N1184" s="973" t="s">
        <v>2001</v>
      </c>
      <c r="O1184" s="973" t="s">
        <v>1971</v>
      </c>
      <c r="P1184" s="973" t="s">
        <v>999</v>
      </c>
      <c r="Q1184" s="973" t="s">
        <v>1000</v>
      </c>
      <c r="R1184" s="973" t="s">
        <v>1001</v>
      </c>
      <c r="S1184" s="973" t="s">
        <v>1002</v>
      </c>
      <c r="T1184" s="423">
        <v>500</v>
      </c>
      <c r="U1184" s="423">
        <v>15</v>
      </c>
      <c r="V1184" s="423">
        <v>40</v>
      </c>
      <c r="X1184" s="423" t="s">
        <v>2419</v>
      </c>
      <c r="Z1184" s="423" t="s">
        <v>1058</v>
      </c>
      <c r="AD1184" s="423">
        <f>IF(ISNUMBER(MATCH(B1184,'FICHA SOLIC'!$AB$26:$AB$376,0)),1,0)</f>
        <v>1</v>
      </c>
      <c r="AE1184" s="423" t="str">
        <f t="shared" si="18"/>
        <v>PucónZ5-E</v>
      </c>
    </row>
    <row r="1185" spans="1:31" x14ac:dyDescent="0.25">
      <c r="A1185" s="423">
        <v>1184</v>
      </c>
      <c r="B1185" s="423" t="s">
        <v>318</v>
      </c>
      <c r="C1185" s="423" t="s">
        <v>1145</v>
      </c>
      <c r="D1185" s="973" t="s">
        <v>990</v>
      </c>
      <c r="E1185" s="973" t="s">
        <v>991</v>
      </c>
      <c r="F1185" s="973" t="s">
        <v>992</v>
      </c>
      <c r="G1185" s="973" t="s">
        <v>1997</v>
      </c>
      <c r="H1185" s="973" t="s">
        <v>1998</v>
      </c>
      <c r="I1185" s="973" t="s">
        <v>1999</v>
      </c>
      <c r="J1185" s="973" t="s">
        <v>697</v>
      </c>
      <c r="K1185" s="973" t="s">
        <v>995</v>
      </c>
      <c r="L1185" s="973" t="s">
        <v>996</v>
      </c>
      <c r="M1185" s="973" t="s">
        <v>2000</v>
      </c>
      <c r="N1185" s="973" t="s">
        <v>2001</v>
      </c>
      <c r="O1185" s="973" t="s">
        <v>1971</v>
      </c>
      <c r="P1185" s="973" t="s">
        <v>999</v>
      </c>
      <c r="Q1185" s="973" t="s">
        <v>1000</v>
      </c>
      <c r="R1185" s="973" t="s">
        <v>1001</v>
      </c>
      <c r="S1185" s="973" t="s">
        <v>1002</v>
      </c>
      <c r="T1185" s="423">
        <v>1000</v>
      </c>
      <c r="U1185" s="423">
        <v>25</v>
      </c>
      <c r="V1185" s="423">
        <v>30</v>
      </c>
      <c r="X1185" s="423" t="s">
        <v>2419</v>
      </c>
      <c r="Z1185" s="423" t="s">
        <v>1058</v>
      </c>
      <c r="AD1185" s="423">
        <f>IF(ISNUMBER(MATCH(B1185,'FICHA SOLIC'!$AB$26:$AB$376,0)),1,0)</f>
        <v>1</v>
      </c>
      <c r="AE1185" s="423" t="str">
        <f t="shared" si="18"/>
        <v>PucónZ-6</v>
      </c>
    </row>
    <row r="1186" spans="1:31" x14ac:dyDescent="0.25">
      <c r="A1186" s="423">
        <v>1185</v>
      </c>
      <c r="B1186" s="423" t="s">
        <v>318</v>
      </c>
      <c r="C1186" s="423" t="s">
        <v>2421</v>
      </c>
      <c r="D1186" s="973" t="s">
        <v>990</v>
      </c>
      <c r="E1186" s="973" t="s">
        <v>991</v>
      </c>
      <c r="F1186" s="973" t="s">
        <v>992</v>
      </c>
      <c r="G1186" s="973" t="s">
        <v>1997</v>
      </c>
      <c r="H1186" s="973" t="s">
        <v>1998</v>
      </c>
      <c r="I1186" s="973" t="s">
        <v>1999</v>
      </c>
      <c r="J1186" s="973" t="s">
        <v>697</v>
      </c>
      <c r="K1186" s="973" t="s">
        <v>995</v>
      </c>
      <c r="L1186" s="973" t="s">
        <v>996</v>
      </c>
      <c r="M1186" s="973" t="s">
        <v>2000</v>
      </c>
      <c r="N1186" s="973" t="s">
        <v>2001</v>
      </c>
      <c r="O1186" s="973" t="s">
        <v>1971</v>
      </c>
      <c r="P1186" s="973" t="s">
        <v>999</v>
      </c>
      <c r="Q1186" s="973" t="s">
        <v>1000</v>
      </c>
      <c r="R1186" s="973" t="s">
        <v>1001</v>
      </c>
      <c r="S1186" s="973" t="s">
        <v>1002</v>
      </c>
      <c r="T1186" s="423">
        <v>5000</v>
      </c>
      <c r="U1186" s="423">
        <v>50</v>
      </c>
      <c r="V1186" s="423">
        <v>20</v>
      </c>
      <c r="X1186" s="423" t="s">
        <v>2419</v>
      </c>
      <c r="Z1186" s="423" t="s">
        <v>1058</v>
      </c>
      <c r="AD1186" s="423">
        <f>IF(ISNUMBER(MATCH(B1186,'FICHA SOLIC'!$AB$26:$AB$376,0)),1,0)</f>
        <v>1</v>
      </c>
      <c r="AE1186" s="423" t="str">
        <f t="shared" si="18"/>
        <v>PucónZ-6E</v>
      </c>
    </row>
    <row r="1187" spans="1:31" x14ac:dyDescent="0.25">
      <c r="A1187" s="423">
        <v>1186</v>
      </c>
      <c r="B1187" s="423" t="s">
        <v>318</v>
      </c>
      <c r="C1187" s="423" t="s">
        <v>1350</v>
      </c>
      <c r="D1187" s="973" t="s">
        <v>990</v>
      </c>
      <c r="E1187" s="973" t="s">
        <v>991</v>
      </c>
      <c r="F1187" s="973" t="s">
        <v>992</v>
      </c>
      <c r="G1187" s="973" t="s">
        <v>1997</v>
      </c>
      <c r="H1187" s="973" t="s">
        <v>1998</v>
      </c>
      <c r="I1187" s="973" t="s">
        <v>1999</v>
      </c>
      <c r="J1187" s="973" t="s">
        <v>697</v>
      </c>
      <c r="K1187" s="973" t="s">
        <v>995</v>
      </c>
      <c r="L1187" s="973" t="s">
        <v>996</v>
      </c>
      <c r="M1187" s="973" t="s">
        <v>2000</v>
      </c>
      <c r="N1187" s="973" t="s">
        <v>2001</v>
      </c>
      <c r="O1187" s="973" t="s">
        <v>1971</v>
      </c>
      <c r="P1187" s="973" t="s">
        <v>999</v>
      </c>
      <c r="Q1187" s="973" t="s">
        <v>1000</v>
      </c>
      <c r="R1187" s="973" t="s">
        <v>1001</v>
      </c>
      <c r="S1187" s="973" t="s">
        <v>1002</v>
      </c>
      <c r="T1187" s="423">
        <v>500</v>
      </c>
      <c r="U1187" s="423">
        <v>15</v>
      </c>
      <c r="V1187" s="423">
        <v>40</v>
      </c>
      <c r="X1187" s="423" t="s">
        <v>1437</v>
      </c>
      <c r="Z1187" s="423" t="s">
        <v>1058</v>
      </c>
      <c r="AD1187" s="423">
        <f>IF(ISNUMBER(MATCH(B1187,'FICHA SOLIC'!$AB$26:$AB$376,0)),1,0)</f>
        <v>1</v>
      </c>
      <c r="AE1187" s="423" t="str">
        <f t="shared" si="18"/>
        <v>PucónZ-9</v>
      </c>
    </row>
    <row r="1188" spans="1:31" x14ac:dyDescent="0.25">
      <c r="A1188" s="423">
        <v>1187</v>
      </c>
      <c r="B1188" s="423" t="s">
        <v>318</v>
      </c>
      <c r="C1188" s="423" t="s">
        <v>2422</v>
      </c>
      <c r="D1188" s="973" t="s">
        <v>990</v>
      </c>
      <c r="E1188" s="973" t="s">
        <v>991</v>
      </c>
      <c r="F1188" s="973" t="s">
        <v>992</v>
      </c>
      <c r="G1188" s="973" t="s">
        <v>1997</v>
      </c>
      <c r="H1188" s="973" t="s">
        <v>1998</v>
      </c>
      <c r="I1188" s="973" t="s">
        <v>1999</v>
      </c>
      <c r="J1188" s="973" t="s">
        <v>697</v>
      </c>
      <c r="K1188" s="973" t="s">
        <v>995</v>
      </c>
      <c r="L1188" s="973" t="s">
        <v>996</v>
      </c>
      <c r="M1188" s="973" t="s">
        <v>2000</v>
      </c>
      <c r="N1188" s="973" t="s">
        <v>2001</v>
      </c>
      <c r="O1188" s="973" t="s">
        <v>1971</v>
      </c>
      <c r="P1188" s="973" t="s">
        <v>999</v>
      </c>
      <c r="Q1188" s="973" t="s">
        <v>1000</v>
      </c>
      <c r="R1188" s="973" t="s">
        <v>1001</v>
      </c>
      <c r="S1188" s="973" t="s">
        <v>1002</v>
      </c>
      <c r="T1188" s="423">
        <v>500</v>
      </c>
      <c r="U1188" s="423">
        <v>15</v>
      </c>
      <c r="V1188" s="423">
        <v>40</v>
      </c>
      <c r="X1188" s="423" t="s">
        <v>1437</v>
      </c>
      <c r="Z1188" s="423" t="s">
        <v>1058</v>
      </c>
      <c r="AD1188" s="423">
        <f>IF(ISNUMBER(MATCH(B1188,'FICHA SOLIC'!$AB$26:$AB$376,0)),1,0)</f>
        <v>1</v>
      </c>
      <c r="AE1188" s="423" t="str">
        <f t="shared" si="18"/>
        <v>PucónZ-9E</v>
      </c>
    </row>
    <row r="1189" spans="1:31" x14ac:dyDescent="0.25">
      <c r="A1189" s="423">
        <v>1188</v>
      </c>
      <c r="B1189" s="423" t="s">
        <v>318</v>
      </c>
      <c r="C1189" s="423" t="s">
        <v>2423</v>
      </c>
      <c r="D1189" s="973" t="s">
        <v>990</v>
      </c>
      <c r="E1189" s="973" t="s">
        <v>991</v>
      </c>
      <c r="F1189" s="973" t="s">
        <v>992</v>
      </c>
      <c r="G1189" s="973" t="s">
        <v>1997</v>
      </c>
      <c r="H1189" s="973" t="s">
        <v>1998</v>
      </c>
      <c r="I1189" s="973" t="s">
        <v>1999</v>
      </c>
      <c r="J1189" s="973" t="s">
        <v>697</v>
      </c>
      <c r="K1189" s="973" t="s">
        <v>995</v>
      </c>
      <c r="L1189" s="973" t="s">
        <v>996</v>
      </c>
      <c r="M1189" s="973" t="s">
        <v>2000</v>
      </c>
      <c r="N1189" s="973" t="s">
        <v>2001</v>
      </c>
      <c r="O1189" s="973" t="s">
        <v>1971</v>
      </c>
      <c r="P1189" s="973" t="s">
        <v>999</v>
      </c>
      <c r="Q1189" s="973" t="s">
        <v>1000</v>
      </c>
      <c r="R1189" s="973" t="s">
        <v>1001</v>
      </c>
      <c r="S1189" s="973" t="s">
        <v>1002</v>
      </c>
      <c r="T1189" s="423">
        <v>1000</v>
      </c>
      <c r="U1189" s="423">
        <v>20</v>
      </c>
      <c r="V1189" s="423">
        <v>30</v>
      </c>
      <c r="X1189" s="423" t="s">
        <v>1437</v>
      </c>
      <c r="Z1189" s="423" t="s">
        <v>1058</v>
      </c>
      <c r="AD1189" s="423">
        <f>IF(ISNUMBER(MATCH(B1189,'FICHA SOLIC'!$AB$26:$AB$376,0)),1,0)</f>
        <v>1</v>
      </c>
      <c r="AE1189" s="423" t="str">
        <f t="shared" si="18"/>
        <v>PucónZ-E7</v>
      </c>
    </row>
    <row r="1190" spans="1:31" x14ac:dyDescent="0.25">
      <c r="A1190" s="423">
        <v>1189</v>
      </c>
      <c r="B1190" s="423" t="s">
        <v>318</v>
      </c>
      <c r="C1190" s="423" t="s">
        <v>2424</v>
      </c>
      <c r="D1190" s="973" t="s">
        <v>990</v>
      </c>
      <c r="E1190" s="973" t="s">
        <v>991</v>
      </c>
      <c r="F1190" s="973" t="s">
        <v>992</v>
      </c>
      <c r="G1190" s="973" t="s">
        <v>1997</v>
      </c>
      <c r="H1190" s="973" t="s">
        <v>1998</v>
      </c>
      <c r="I1190" s="973" t="s">
        <v>1999</v>
      </c>
      <c r="J1190" s="973" t="s">
        <v>697</v>
      </c>
      <c r="K1190" s="973" t="s">
        <v>995</v>
      </c>
      <c r="L1190" s="973" t="s">
        <v>996</v>
      </c>
      <c r="M1190" s="973" t="s">
        <v>2000</v>
      </c>
      <c r="N1190" s="973" t="s">
        <v>2001</v>
      </c>
      <c r="O1190" s="973" t="s">
        <v>1971</v>
      </c>
      <c r="P1190" s="973" t="s">
        <v>999</v>
      </c>
      <c r="Q1190" s="973" t="s">
        <v>1000</v>
      </c>
      <c r="R1190" s="973" t="s">
        <v>1001</v>
      </c>
      <c r="S1190" s="973" t="s">
        <v>1002</v>
      </c>
      <c r="T1190" s="423">
        <v>2500</v>
      </c>
      <c r="U1190" s="423">
        <v>30</v>
      </c>
      <c r="V1190" s="423">
        <v>30</v>
      </c>
      <c r="X1190" s="423" t="s">
        <v>1437</v>
      </c>
      <c r="Z1190" s="423" t="s">
        <v>1058</v>
      </c>
      <c r="AD1190" s="423">
        <f>IF(ISNUMBER(MATCH(B1190,'FICHA SOLIC'!$AB$26:$AB$376,0)),1,0)</f>
        <v>1</v>
      </c>
      <c r="AE1190" s="423" t="str">
        <f t="shared" si="18"/>
        <v>PucónZ-E8</v>
      </c>
    </row>
    <row r="1191" spans="1:31" x14ac:dyDescent="0.25">
      <c r="A1191" s="423">
        <v>1190</v>
      </c>
      <c r="B1191" s="423" t="s">
        <v>318</v>
      </c>
      <c r="C1191" s="423" t="s">
        <v>1452</v>
      </c>
      <c r="D1191" s="973" t="s">
        <v>990</v>
      </c>
      <c r="E1191" s="973" t="s">
        <v>991</v>
      </c>
      <c r="F1191" s="973" t="s">
        <v>992</v>
      </c>
      <c r="G1191" s="973" t="s">
        <v>1997</v>
      </c>
      <c r="H1191" s="973" t="s">
        <v>1998</v>
      </c>
      <c r="I1191" s="973" t="s">
        <v>1999</v>
      </c>
      <c r="J1191" s="973" t="s">
        <v>697</v>
      </c>
      <c r="K1191" s="973" t="s">
        <v>995</v>
      </c>
      <c r="L1191" s="973" t="s">
        <v>996</v>
      </c>
      <c r="M1191" s="973" t="s">
        <v>2000</v>
      </c>
      <c r="N1191" s="973" t="s">
        <v>2001</v>
      </c>
      <c r="O1191" s="973" t="s">
        <v>1971</v>
      </c>
      <c r="P1191" s="973" t="s">
        <v>999</v>
      </c>
      <c r="Q1191" s="973" t="s">
        <v>1000</v>
      </c>
      <c r="R1191" s="973" t="s">
        <v>1001</v>
      </c>
      <c r="S1191" s="973" t="s">
        <v>1002</v>
      </c>
      <c r="T1191" s="423" t="s">
        <v>1041</v>
      </c>
      <c r="U1191" s="423" t="s">
        <v>1041</v>
      </c>
      <c r="V1191" s="423" t="s">
        <v>1041</v>
      </c>
      <c r="W1191" s="423" t="s">
        <v>1041</v>
      </c>
      <c r="X1191" s="423" t="s">
        <v>1041</v>
      </c>
      <c r="Y1191" s="423" t="s">
        <v>1041</v>
      </c>
      <c r="Z1191" s="423" t="s">
        <v>1041</v>
      </c>
      <c r="AD1191" s="423">
        <f>IF(ISNUMBER(MATCH(B1191,'FICHA SOLIC'!$AB$26:$AB$376,0)),1,0)</f>
        <v>1</v>
      </c>
      <c r="AE1191" s="423" t="str">
        <f t="shared" si="18"/>
        <v>PucónZR-1</v>
      </c>
    </row>
    <row r="1192" spans="1:31" x14ac:dyDescent="0.25">
      <c r="A1192" s="423">
        <v>1191</v>
      </c>
      <c r="B1192" s="423" t="s">
        <v>318</v>
      </c>
      <c r="C1192" s="423" t="s">
        <v>2122</v>
      </c>
      <c r="D1192" s="973" t="s">
        <v>990</v>
      </c>
      <c r="E1192" s="973" t="s">
        <v>991</v>
      </c>
      <c r="F1192" s="973" t="s">
        <v>992</v>
      </c>
      <c r="G1192" s="973" t="s">
        <v>1997</v>
      </c>
      <c r="H1192" s="973" t="s">
        <v>1998</v>
      </c>
      <c r="I1192" s="973" t="s">
        <v>1999</v>
      </c>
      <c r="J1192" s="973" t="s">
        <v>697</v>
      </c>
      <c r="K1192" s="973" t="s">
        <v>995</v>
      </c>
      <c r="L1192" s="973" t="s">
        <v>996</v>
      </c>
      <c r="M1192" s="973" t="s">
        <v>2000</v>
      </c>
      <c r="N1192" s="973" t="s">
        <v>2001</v>
      </c>
      <c r="O1192" s="973" t="s">
        <v>1971</v>
      </c>
      <c r="P1192" s="973" t="s">
        <v>999</v>
      </c>
      <c r="Q1192" s="973" t="s">
        <v>1000</v>
      </c>
      <c r="R1192" s="973" t="s">
        <v>1001</v>
      </c>
      <c r="S1192" s="973" t="s">
        <v>1002</v>
      </c>
      <c r="T1192" s="423" t="s">
        <v>1041</v>
      </c>
      <c r="U1192" s="423" t="s">
        <v>1041</v>
      </c>
      <c r="V1192" s="423" t="s">
        <v>1041</v>
      </c>
      <c r="W1192" s="423" t="s">
        <v>1041</v>
      </c>
      <c r="X1192" s="423" t="s">
        <v>1041</v>
      </c>
      <c r="Y1192" s="423" t="s">
        <v>1041</v>
      </c>
      <c r="Z1192" s="423" t="s">
        <v>1041</v>
      </c>
      <c r="AD1192" s="423">
        <f>IF(ISNUMBER(MATCH(B1192,'FICHA SOLIC'!$AB$26:$AB$376,0)),1,0)</f>
        <v>1</v>
      </c>
      <c r="AE1192" s="423" t="str">
        <f t="shared" si="18"/>
        <v>PucónZR-1A</v>
      </c>
    </row>
    <row r="1193" spans="1:31" x14ac:dyDescent="0.25">
      <c r="A1193" s="423">
        <v>1192</v>
      </c>
      <c r="B1193" s="423" t="s">
        <v>318</v>
      </c>
      <c r="C1193" s="423" t="s">
        <v>2124</v>
      </c>
      <c r="D1193" s="973" t="s">
        <v>990</v>
      </c>
      <c r="E1193" s="973" t="s">
        <v>991</v>
      </c>
      <c r="F1193" s="973" t="s">
        <v>992</v>
      </c>
      <c r="G1193" s="973" t="s">
        <v>1997</v>
      </c>
      <c r="H1193" s="973" t="s">
        <v>1998</v>
      </c>
      <c r="I1193" s="973" t="s">
        <v>1999</v>
      </c>
      <c r="J1193" s="973" t="s">
        <v>697</v>
      </c>
      <c r="K1193" s="973" t="s">
        <v>995</v>
      </c>
      <c r="L1193" s="973" t="s">
        <v>996</v>
      </c>
      <c r="M1193" s="973" t="s">
        <v>2000</v>
      </c>
      <c r="N1193" s="973" t="s">
        <v>2001</v>
      </c>
      <c r="O1193" s="973" t="s">
        <v>1971</v>
      </c>
      <c r="P1193" s="973" t="s">
        <v>999</v>
      </c>
      <c r="Q1193" s="973" t="s">
        <v>1000</v>
      </c>
      <c r="R1193" s="973" t="s">
        <v>1001</v>
      </c>
      <c r="S1193" s="973" t="s">
        <v>1002</v>
      </c>
      <c r="T1193" s="423" t="s">
        <v>1041</v>
      </c>
      <c r="U1193" s="423" t="s">
        <v>1041</v>
      </c>
      <c r="V1193" s="423" t="s">
        <v>1041</v>
      </c>
      <c r="W1193" s="423" t="s">
        <v>1041</v>
      </c>
      <c r="X1193" s="423" t="s">
        <v>1041</v>
      </c>
      <c r="Y1193" s="423" t="s">
        <v>1041</v>
      </c>
      <c r="Z1193" s="423" t="s">
        <v>1041</v>
      </c>
      <c r="AD1193" s="423">
        <f>IF(ISNUMBER(MATCH(B1193,'FICHA SOLIC'!$AB$26:$AB$376,0)),1,0)</f>
        <v>1</v>
      </c>
      <c r="AE1193" s="423" t="str">
        <f t="shared" si="18"/>
        <v>PucónZR-1B</v>
      </c>
    </row>
    <row r="1194" spans="1:31" x14ac:dyDescent="0.25">
      <c r="A1194" s="423">
        <v>1193</v>
      </c>
      <c r="B1194" s="423" t="s">
        <v>318</v>
      </c>
      <c r="C1194" s="423" t="s">
        <v>2425</v>
      </c>
      <c r="D1194" s="973" t="s">
        <v>990</v>
      </c>
      <c r="E1194" s="973" t="s">
        <v>991</v>
      </c>
      <c r="F1194" s="973" t="s">
        <v>992</v>
      </c>
      <c r="G1194" s="973" t="s">
        <v>1997</v>
      </c>
      <c r="H1194" s="973" t="s">
        <v>1998</v>
      </c>
      <c r="I1194" s="973" t="s">
        <v>1999</v>
      </c>
      <c r="J1194" s="973" t="s">
        <v>697</v>
      </c>
      <c r="K1194" s="973" t="s">
        <v>995</v>
      </c>
      <c r="L1194" s="973" t="s">
        <v>996</v>
      </c>
      <c r="M1194" s="973" t="s">
        <v>2000</v>
      </c>
      <c r="N1194" s="973" t="s">
        <v>2001</v>
      </c>
      <c r="O1194" s="973" t="s">
        <v>1971</v>
      </c>
      <c r="P1194" s="973" t="s">
        <v>999</v>
      </c>
      <c r="Q1194" s="973" t="s">
        <v>1000</v>
      </c>
      <c r="R1194" s="973" t="s">
        <v>1001</v>
      </c>
      <c r="S1194" s="973" t="s">
        <v>1002</v>
      </c>
      <c r="T1194" s="423" t="s">
        <v>1041</v>
      </c>
      <c r="U1194" s="423" t="s">
        <v>1041</v>
      </c>
      <c r="V1194" s="423" t="s">
        <v>1041</v>
      </c>
      <c r="W1194" s="423" t="s">
        <v>1041</v>
      </c>
      <c r="X1194" s="423" t="s">
        <v>1041</v>
      </c>
      <c r="Y1194" s="423" t="s">
        <v>1041</v>
      </c>
      <c r="Z1194" s="423" t="s">
        <v>1041</v>
      </c>
      <c r="AD1194" s="423">
        <f>IF(ISNUMBER(MATCH(B1194,'FICHA SOLIC'!$AB$26:$AB$376,0)),1,0)</f>
        <v>1</v>
      </c>
      <c r="AE1194" s="423" t="str">
        <f t="shared" si="18"/>
        <v>PucónZR-1C</v>
      </c>
    </row>
    <row r="1195" spans="1:31" x14ac:dyDescent="0.25">
      <c r="A1195" s="423">
        <v>1194</v>
      </c>
      <c r="B1195" s="423" t="s">
        <v>318</v>
      </c>
      <c r="C1195" s="423" t="s">
        <v>1453</v>
      </c>
      <c r="D1195" s="973" t="s">
        <v>990</v>
      </c>
      <c r="E1195" s="973" t="s">
        <v>991</v>
      </c>
      <c r="F1195" s="973" t="s">
        <v>992</v>
      </c>
      <c r="G1195" s="973" t="s">
        <v>1997</v>
      </c>
      <c r="H1195" s="973" t="s">
        <v>1998</v>
      </c>
      <c r="I1195" s="973" t="s">
        <v>1999</v>
      </c>
      <c r="J1195" s="973" t="s">
        <v>697</v>
      </c>
      <c r="K1195" s="973" t="s">
        <v>995</v>
      </c>
      <c r="L1195" s="973" t="s">
        <v>996</v>
      </c>
      <c r="M1195" s="973" t="s">
        <v>2000</v>
      </c>
      <c r="N1195" s="973" t="s">
        <v>2001</v>
      </c>
      <c r="O1195" s="973" t="s">
        <v>1971</v>
      </c>
      <c r="P1195" s="973" t="s">
        <v>999</v>
      </c>
      <c r="Q1195" s="973" t="s">
        <v>1000</v>
      </c>
      <c r="R1195" s="973" t="s">
        <v>1001</v>
      </c>
      <c r="S1195" s="973" t="s">
        <v>1002</v>
      </c>
      <c r="T1195" s="423" t="s">
        <v>1041</v>
      </c>
      <c r="U1195" s="423" t="s">
        <v>1041</v>
      </c>
      <c r="V1195" s="423" t="s">
        <v>1041</v>
      </c>
      <c r="W1195" s="423" t="s">
        <v>1041</v>
      </c>
      <c r="X1195" s="423" t="s">
        <v>1041</v>
      </c>
      <c r="Y1195" s="423" t="s">
        <v>1041</v>
      </c>
      <c r="Z1195" s="423" t="s">
        <v>1041</v>
      </c>
      <c r="AD1195" s="423">
        <f>IF(ISNUMBER(MATCH(B1195,'FICHA SOLIC'!$AB$26:$AB$376,0)),1,0)</f>
        <v>1</v>
      </c>
      <c r="AE1195" s="423" t="str">
        <f t="shared" si="18"/>
        <v>PucónZR-2</v>
      </c>
    </row>
    <row r="1196" spans="1:31" x14ac:dyDescent="0.25">
      <c r="A1196" s="423">
        <v>1195</v>
      </c>
      <c r="B1196" s="423" t="s">
        <v>318</v>
      </c>
      <c r="C1196" s="423" t="s">
        <v>2426</v>
      </c>
      <c r="D1196" s="973" t="s">
        <v>990</v>
      </c>
      <c r="E1196" s="973" t="s">
        <v>991</v>
      </c>
      <c r="F1196" s="973" t="s">
        <v>992</v>
      </c>
      <c r="G1196" s="973" t="s">
        <v>1997</v>
      </c>
      <c r="H1196" s="973" t="s">
        <v>1998</v>
      </c>
      <c r="I1196" s="973" t="s">
        <v>1999</v>
      </c>
      <c r="J1196" s="973" t="s">
        <v>697</v>
      </c>
      <c r="K1196" s="973" t="s">
        <v>995</v>
      </c>
      <c r="L1196" s="973" t="s">
        <v>996</v>
      </c>
      <c r="M1196" s="973" t="s">
        <v>2000</v>
      </c>
      <c r="N1196" s="973" t="s">
        <v>2001</v>
      </c>
      <c r="O1196" s="973" t="s">
        <v>1971</v>
      </c>
      <c r="P1196" s="973" t="s">
        <v>999</v>
      </c>
      <c r="Q1196" s="973" t="s">
        <v>1000</v>
      </c>
      <c r="R1196" s="973" t="s">
        <v>1001</v>
      </c>
      <c r="S1196" s="973" t="s">
        <v>1002</v>
      </c>
      <c r="T1196" s="423" t="s">
        <v>1041</v>
      </c>
      <c r="U1196" s="423" t="s">
        <v>1041</v>
      </c>
      <c r="V1196" s="423" t="s">
        <v>1041</v>
      </c>
      <c r="W1196" s="423" t="s">
        <v>1041</v>
      </c>
      <c r="X1196" s="423" t="s">
        <v>1041</v>
      </c>
      <c r="Y1196" s="423" t="s">
        <v>1041</v>
      </c>
      <c r="Z1196" s="423" t="s">
        <v>1041</v>
      </c>
      <c r="AD1196" s="423">
        <f>IF(ISNUMBER(MATCH(B1196,'FICHA SOLIC'!$AB$26:$AB$376,0)),1,0)</f>
        <v>1</v>
      </c>
      <c r="AE1196" s="423" t="str">
        <f t="shared" si="18"/>
        <v>PucónZR-3</v>
      </c>
    </row>
    <row r="1197" spans="1:31" x14ac:dyDescent="0.25">
      <c r="A1197" s="423">
        <v>1196</v>
      </c>
      <c r="B1197" s="423" t="s">
        <v>318</v>
      </c>
      <c r="C1197" s="423" t="s">
        <v>2427</v>
      </c>
      <c r="D1197" s="973" t="s">
        <v>990</v>
      </c>
      <c r="E1197" s="973" t="s">
        <v>991</v>
      </c>
      <c r="F1197" s="973" t="s">
        <v>992</v>
      </c>
      <c r="G1197" s="973" t="s">
        <v>1997</v>
      </c>
      <c r="H1197" s="973" t="s">
        <v>1998</v>
      </c>
      <c r="I1197" s="973" t="s">
        <v>1999</v>
      </c>
      <c r="J1197" s="973" t="s">
        <v>697</v>
      </c>
      <c r="K1197" s="973" t="s">
        <v>995</v>
      </c>
      <c r="L1197" s="973" t="s">
        <v>996</v>
      </c>
      <c r="M1197" s="973" t="s">
        <v>2000</v>
      </c>
      <c r="N1197" s="973" t="s">
        <v>2001</v>
      </c>
      <c r="O1197" s="973" t="s">
        <v>1971</v>
      </c>
      <c r="P1197" s="973" t="s">
        <v>999</v>
      </c>
      <c r="Q1197" s="973" t="s">
        <v>1000</v>
      </c>
      <c r="R1197" s="973" t="s">
        <v>1001</v>
      </c>
      <c r="S1197" s="973" t="s">
        <v>1002</v>
      </c>
      <c r="T1197" s="423" t="s">
        <v>1041</v>
      </c>
      <c r="U1197" s="423" t="s">
        <v>1041</v>
      </c>
      <c r="V1197" s="423" t="s">
        <v>1041</v>
      </c>
      <c r="W1197" s="423" t="s">
        <v>1041</v>
      </c>
      <c r="X1197" s="423" t="s">
        <v>1041</v>
      </c>
      <c r="Y1197" s="423" t="s">
        <v>1041</v>
      </c>
      <c r="Z1197" s="423" t="s">
        <v>1041</v>
      </c>
      <c r="AD1197" s="423">
        <f>IF(ISNUMBER(MATCH(B1197,'FICHA SOLIC'!$AB$26:$AB$376,0)),1,0)</f>
        <v>1</v>
      </c>
      <c r="AE1197" s="423" t="str">
        <f t="shared" si="18"/>
        <v>PucónZR-4</v>
      </c>
    </row>
    <row r="1198" spans="1:31" x14ac:dyDescent="0.25">
      <c r="A1198" s="423">
        <v>1197</v>
      </c>
      <c r="B1198" s="423" t="s">
        <v>318</v>
      </c>
      <c r="C1198" s="423" t="s">
        <v>2428</v>
      </c>
      <c r="D1198" s="973" t="s">
        <v>990</v>
      </c>
      <c r="E1198" s="973" t="s">
        <v>991</v>
      </c>
      <c r="F1198" s="973" t="s">
        <v>992</v>
      </c>
      <c r="G1198" s="973" t="s">
        <v>1997</v>
      </c>
      <c r="H1198" s="973" t="s">
        <v>1998</v>
      </c>
      <c r="I1198" s="973" t="s">
        <v>1999</v>
      </c>
      <c r="J1198" s="973" t="s">
        <v>697</v>
      </c>
      <c r="K1198" s="973" t="s">
        <v>995</v>
      </c>
      <c r="L1198" s="973" t="s">
        <v>996</v>
      </c>
      <c r="M1198" s="973" t="s">
        <v>2000</v>
      </c>
      <c r="N1198" s="973" t="s">
        <v>2001</v>
      </c>
      <c r="O1198" s="973" t="s">
        <v>1971</v>
      </c>
      <c r="P1198" s="973" t="s">
        <v>999</v>
      </c>
      <c r="Q1198" s="973" t="s">
        <v>1000</v>
      </c>
      <c r="R1198" s="973" t="s">
        <v>1001</v>
      </c>
      <c r="S1198" s="973" t="s">
        <v>1002</v>
      </c>
      <c r="T1198" s="423">
        <v>2500</v>
      </c>
      <c r="U1198" s="423">
        <v>30</v>
      </c>
      <c r="V1198" s="423">
        <v>5</v>
      </c>
      <c r="X1198" s="423" t="s">
        <v>1172</v>
      </c>
      <c r="Z1198" s="423" t="s">
        <v>1058</v>
      </c>
      <c r="AD1198" s="423">
        <f>IF(ISNUMBER(MATCH(B1198,'FICHA SOLIC'!$AB$26:$AB$376,0)),1,0)</f>
        <v>1</v>
      </c>
      <c r="AE1198" s="423" t="str">
        <f t="shared" si="18"/>
        <v>PucónZR-5</v>
      </c>
    </row>
    <row r="1199" spans="1:31" x14ac:dyDescent="0.25">
      <c r="A1199" s="423">
        <v>1198</v>
      </c>
      <c r="B1199" s="423" t="s">
        <v>318</v>
      </c>
      <c r="C1199" s="423" t="s">
        <v>1158</v>
      </c>
      <c r="D1199" s="973" t="s">
        <v>990</v>
      </c>
      <c r="E1199" s="973" t="s">
        <v>991</v>
      </c>
      <c r="F1199" s="973" t="s">
        <v>992</v>
      </c>
      <c r="G1199" s="973" t="s">
        <v>1997</v>
      </c>
      <c r="H1199" s="973" t="s">
        <v>1998</v>
      </c>
      <c r="I1199" s="973" t="s">
        <v>1999</v>
      </c>
      <c r="J1199" s="973" t="s">
        <v>697</v>
      </c>
      <c r="K1199" s="973" t="s">
        <v>995</v>
      </c>
      <c r="L1199" s="973" t="s">
        <v>996</v>
      </c>
      <c r="M1199" s="973" t="s">
        <v>2000</v>
      </c>
      <c r="N1199" s="973" t="s">
        <v>2001</v>
      </c>
      <c r="O1199" s="973" t="s">
        <v>1971</v>
      </c>
      <c r="P1199" s="973" t="s">
        <v>999</v>
      </c>
      <c r="Q1199" s="973" t="s">
        <v>1000</v>
      </c>
      <c r="R1199" s="973" t="s">
        <v>1001</v>
      </c>
      <c r="S1199" s="973" t="s">
        <v>1002</v>
      </c>
      <c r="T1199" s="423" t="s">
        <v>1041</v>
      </c>
      <c r="U1199" s="423" t="s">
        <v>1041</v>
      </c>
      <c r="V1199" s="423" t="s">
        <v>1041</v>
      </c>
      <c r="W1199" s="423" t="s">
        <v>1041</v>
      </c>
      <c r="X1199" s="423" t="s">
        <v>1041</v>
      </c>
      <c r="Y1199" s="423" t="s">
        <v>1041</v>
      </c>
      <c r="Z1199" s="423" t="s">
        <v>1041</v>
      </c>
      <c r="AD1199" s="423">
        <f>IF(ISNUMBER(MATCH(B1199,'FICHA SOLIC'!$AB$26:$AB$376,0)),1,0)</f>
        <v>1</v>
      </c>
      <c r="AE1199" s="423" t="str">
        <f t="shared" si="18"/>
        <v>PucónZR-6</v>
      </c>
    </row>
    <row r="1200" spans="1:31" x14ac:dyDescent="0.25">
      <c r="A1200" s="423">
        <v>1199</v>
      </c>
      <c r="B1200" s="423" t="s">
        <v>318</v>
      </c>
      <c r="C1200" s="423" t="s">
        <v>2429</v>
      </c>
      <c r="D1200" s="973" t="s">
        <v>990</v>
      </c>
      <c r="E1200" s="973" t="s">
        <v>991</v>
      </c>
      <c r="F1200" s="973" t="s">
        <v>992</v>
      </c>
      <c r="G1200" s="973" t="s">
        <v>1997</v>
      </c>
      <c r="H1200" s="973" t="s">
        <v>1998</v>
      </c>
      <c r="I1200" s="973" t="s">
        <v>1999</v>
      </c>
      <c r="J1200" s="973" t="s">
        <v>697</v>
      </c>
      <c r="K1200" s="973" t="s">
        <v>995</v>
      </c>
      <c r="L1200" s="973" t="s">
        <v>996</v>
      </c>
      <c r="M1200" s="973" t="s">
        <v>2000</v>
      </c>
      <c r="N1200" s="973" t="s">
        <v>2001</v>
      </c>
      <c r="O1200" s="973" t="s">
        <v>1971</v>
      </c>
      <c r="P1200" s="973" t="s">
        <v>999</v>
      </c>
      <c r="Q1200" s="973" t="s">
        <v>1000</v>
      </c>
      <c r="R1200" s="973" t="s">
        <v>1001</v>
      </c>
      <c r="S1200" s="973" t="s">
        <v>1002</v>
      </c>
      <c r="T1200" s="423" t="s">
        <v>1041</v>
      </c>
      <c r="U1200" s="423" t="s">
        <v>1041</v>
      </c>
      <c r="V1200" s="423" t="s">
        <v>1041</v>
      </c>
      <c r="W1200" s="423" t="s">
        <v>1041</v>
      </c>
      <c r="X1200" s="423" t="s">
        <v>1041</v>
      </c>
      <c r="Y1200" s="423" t="s">
        <v>1041</v>
      </c>
      <c r="Z1200" s="423" t="s">
        <v>1041</v>
      </c>
      <c r="AD1200" s="423">
        <f>IF(ISNUMBER(MATCH(B1200,'FICHA SOLIC'!$AB$26:$AB$376,0)),1,0)</f>
        <v>1</v>
      </c>
      <c r="AE1200" s="423" t="str">
        <f t="shared" si="18"/>
        <v>PucónZR-7</v>
      </c>
    </row>
    <row r="1201" spans="1:31" x14ac:dyDescent="0.25">
      <c r="A1201" s="423">
        <v>1200</v>
      </c>
      <c r="B1201" s="423" t="s">
        <v>426</v>
      </c>
      <c r="C1201" s="423" t="s">
        <v>1177</v>
      </c>
      <c r="D1201" s="425" t="s">
        <v>990</v>
      </c>
      <c r="E1201" s="425" t="s">
        <v>991</v>
      </c>
      <c r="F1201" s="425" t="s">
        <v>992</v>
      </c>
      <c r="G1201" s="425" t="s">
        <v>993</v>
      </c>
      <c r="H1201" s="426" t="s">
        <v>489</v>
      </c>
      <c r="I1201" s="425" t="s">
        <v>994</v>
      </c>
      <c r="J1201" s="425" t="s">
        <v>697</v>
      </c>
      <c r="K1201" s="425" t="s">
        <v>995</v>
      </c>
      <c r="L1201" s="425" t="s">
        <v>996</v>
      </c>
      <c r="M1201" s="425" t="s">
        <v>997</v>
      </c>
      <c r="N1201" s="425" t="s">
        <v>558</v>
      </c>
      <c r="O1201" s="425" t="s">
        <v>998</v>
      </c>
      <c r="P1201" s="425" t="s">
        <v>999</v>
      </c>
      <c r="Q1201" s="425" t="s">
        <v>1000</v>
      </c>
      <c r="R1201" s="425" t="s">
        <v>1001</v>
      </c>
      <c r="S1201" s="425" t="s">
        <v>1002</v>
      </c>
      <c r="T1201" s="423">
        <v>160</v>
      </c>
      <c r="U1201" s="423" t="s">
        <v>1041</v>
      </c>
      <c r="V1201" s="423">
        <v>80</v>
      </c>
      <c r="W1201" s="423">
        <v>2.5</v>
      </c>
      <c r="X1201" s="423">
        <v>12.5</v>
      </c>
      <c r="Y1201" s="423" t="s">
        <v>1041</v>
      </c>
      <c r="Z1201" s="423" t="s">
        <v>1059</v>
      </c>
      <c r="AD1201" s="423">
        <f>IF(ISNUMBER(MATCH(B1201,'FICHA SOLIC'!$AB$26:$AB$376,0)),1,0)</f>
        <v>1</v>
      </c>
      <c r="AE1201" s="423" t="str">
        <f t="shared" si="18"/>
        <v>PudahuelA</v>
      </c>
    </row>
    <row r="1202" spans="1:31" x14ac:dyDescent="0.25">
      <c r="A1202" s="423">
        <v>1201</v>
      </c>
      <c r="B1202" s="423" t="s">
        <v>426</v>
      </c>
      <c r="C1202" s="423" t="s">
        <v>1566</v>
      </c>
      <c r="D1202" s="425" t="s">
        <v>990</v>
      </c>
      <c r="E1202" s="425" t="s">
        <v>991</v>
      </c>
      <c r="F1202" s="425" t="s">
        <v>992</v>
      </c>
      <c r="G1202" s="425" t="s">
        <v>993</v>
      </c>
      <c r="H1202" s="426" t="s">
        <v>489</v>
      </c>
      <c r="I1202" s="425" t="s">
        <v>994</v>
      </c>
      <c r="J1202" s="425" t="s">
        <v>697</v>
      </c>
      <c r="K1202" s="425" t="s">
        <v>995</v>
      </c>
      <c r="L1202" s="425" t="s">
        <v>996</v>
      </c>
      <c r="M1202" s="425" t="s">
        <v>997</v>
      </c>
      <c r="N1202" s="425" t="s">
        <v>558</v>
      </c>
      <c r="O1202" s="425" t="s">
        <v>998</v>
      </c>
      <c r="P1202" s="425" t="s">
        <v>999</v>
      </c>
      <c r="Q1202" s="425" t="s">
        <v>1000</v>
      </c>
      <c r="R1202" s="425" t="s">
        <v>1001</v>
      </c>
      <c r="S1202" s="425" t="s">
        <v>1002</v>
      </c>
      <c r="T1202" s="423" t="s">
        <v>1041</v>
      </c>
      <c r="U1202" s="423" t="s">
        <v>1041</v>
      </c>
      <c r="V1202" s="423" t="s">
        <v>1041</v>
      </c>
      <c r="W1202" s="423" t="s">
        <v>1041</v>
      </c>
      <c r="X1202" s="423" t="s">
        <v>1041</v>
      </c>
      <c r="Y1202" s="423" t="s">
        <v>1041</v>
      </c>
      <c r="Z1202" s="423" t="s">
        <v>1041</v>
      </c>
      <c r="AD1202" s="423">
        <f>IF(ISNUMBER(MATCH(B1202,'FICHA SOLIC'!$AB$26:$AB$376,0)),1,0)</f>
        <v>1</v>
      </c>
      <c r="AE1202" s="423" t="str">
        <f t="shared" si="18"/>
        <v>PudahuelAV</v>
      </c>
    </row>
    <row r="1203" spans="1:31" x14ac:dyDescent="0.25">
      <c r="A1203" s="423">
        <v>1202</v>
      </c>
      <c r="B1203" s="423" t="s">
        <v>426</v>
      </c>
      <c r="C1203" s="423" t="s">
        <v>2430</v>
      </c>
      <c r="D1203" s="425" t="s">
        <v>990</v>
      </c>
      <c r="E1203" s="425" t="s">
        <v>991</v>
      </c>
      <c r="F1203" s="425" t="s">
        <v>992</v>
      </c>
      <c r="G1203" s="425" t="s">
        <v>993</v>
      </c>
      <c r="H1203" s="426" t="s">
        <v>489</v>
      </c>
      <c r="I1203" s="425" t="s">
        <v>994</v>
      </c>
      <c r="J1203" s="425" t="s">
        <v>697</v>
      </c>
      <c r="K1203" s="425" t="s">
        <v>995</v>
      </c>
      <c r="L1203" s="425" t="s">
        <v>996</v>
      </c>
      <c r="M1203" s="425" t="s">
        <v>997</v>
      </c>
      <c r="N1203" s="425" t="s">
        <v>558</v>
      </c>
      <c r="O1203" s="425" t="s">
        <v>998</v>
      </c>
      <c r="P1203" s="425" t="s">
        <v>999</v>
      </c>
      <c r="Q1203" s="425" t="s">
        <v>1000</v>
      </c>
      <c r="R1203" s="425" t="s">
        <v>1001</v>
      </c>
      <c r="S1203" s="425" t="s">
        <v>1002</v>
      </c>
      <c r="T1203" s="423" t="s">
        <v>1041</v>
      </c>
      <c r="U1203" s="423" t="s">
        <v>1041</v>
      </c>
      <c r="V1203" s="423" t="s">
        <v>1041</v>
      </c>
      <c r="W1203" s="423" t="s">
        <v>1041</v>
      </c>
      <c r="X1203" s="423" t="s">
        <v>1041</v>
      </c>
      <c r="Y1203" s="423" t="s">
        <v>1041</v>
      </c>
      <c r="Z1203" s="423" t="s">
        <v>1041</v>
      </c>
      <c r="AD1203" s="423">
        <f>IF(ISNUMBER(MATCH(B1203,'FICHA SOLIC'!$AB$26:$AB$376,0)),1,0)</f>
        <v>1</v>
      </c>
      <c r="AE1203" s="423" t="str">
        <f t="shared" si="18"/>
        <v>PudahuelAVUP</v>
      </c>
    </row>
    <row r="1204" spans="1:31" x14ac:dyDescent="0.25">
      <c r="A1204" s="423">
        <v>1203</v>
      </c>
      <c r="B1204" s="423" t="s">
        <v>426</v>
      </c>
      <c r="C1204" s="423" t="s">
        <v>1178</v>
      </c>
      <c r="D1204" s="425" t="s">
        <v>990</v>
      </c>
      <c r="E1204" s="425" t="s">
        <v>991</v>
      </c>
      <c r="F1204" s="425" t="s">
        <v>992</v>
      </c>
      <c r="G1204" s="425" t="s">
        <v>993</v>
      </c>
      <c r="H1204" s="426" t="s">
        <v>489</v>
      </c>
      <c r="I1204" s="425" t="s">
        <v>994</v>
      </c>
      <c r="J1204" s="425" t="s">
        <v>697</v>
      </c>
      <c r="K1204" s="425" t="s">
        <v>995</v>
      </c>
      <c r="L1204" s="425" t="s">
        <v>996</v>
      </c>
      <c r="M1204" s="425" t="s">
        <v>997</v>
      </c>
      <c r="N1204" s="425" t="s">
        <v>558</v>
      </c>
      <c r="O1204" s="425" t="s">
        <v>998</v>
      </c>
      <c r="P1204" s="425" t="s">
        <v>999</v>
      </c>
      <c r="Q1204" s="425" t="s">
        <v>1000</v>
      </c>
      <c r="R1204" s="425" t="s">
        <v>1001</v>
      </c>
      <c r="S1204" s="425" t="s">
        <v>1002</v>
      </c>
      <c r="T1204" s="423">
        <v>200</v>
      </c>
      <c r="U1204" s="423" t="s">
        <v>1041</v>
      </c>
      <c r="V1204" s="423">
        <v>70</v>
      </c>
      <c r="W1204" s="423">
        <v>1.5</v>
      </c>
      <c r="X1204" s="423">
        <v>8</v>
      </c>
      <c r="Y1204" s="423" t="s">
        <v>1041</v>
      </c>
      <c r="Z1204" s="423" t="s">
        <v>1059</v>
      </c>
      <c r="AD1204" s="423">
        <f>IF(ISNUMBER(MATCH(B1204,'FICHA SOLIC'!$AB$26:$AB$376,0)),1,0)</f>
        <v>1</v>
      </c>
      <c r="AE1204" s="423" t="str">
        <f t="shared" si="18"/>
        <v>PudahuelB</v>
      </c>
    </row>
    <row r="1205" spans="1:31" x14ac:dyDescent="0.25">
      <c r="A1205" s="423">
        <v>1204</v>
      </c>
      <c r="B1205" s="423" t="s">
        <v>426</v>
      </c>
      <c r="C1205" s="423" t="s">
        <v>1060</v>
      </c>
      <c r="D1205" s="425" t="s">
        <v>990</v>
      </c>
      <c r="E1205" s="425" t="s">
        <v>991</v>
      </c>
      <c r="F1205" s="425" t="s">
        <v>992</v>
      </c>
      <c r="G1205" s="425" t="s">
        <v>993</v>
      </c>
      <c r="H1205" s="426" t="s">
        <v>489</v>
      </c>
      <c r="I1205" s="425" t="s">
        <v>994</v>
      </c>
      <c r="J1205" s="425" t="s">
        <v>697</v>
      </c>
      <c r="K1205" s="425" t="s">
        <v>995</v>
      </c>
      <c r="L1205" s="425" t="s">
        <v>996</v>
      </c>
      <c r="M1205" s="425" t="s">
        <v>997</v>
      </c>
      <c r="N1205" s="425" t="s">
        <v>558</v>
      </c>
      <c r="O1205" s="425" t="s">
        <v>998</v>
      </c>
      <c r="P1205" s="425" t="s">
        <v>999</v>
      </c>
      <c r="Q1205" s="425" t="s">
        <v>1000</v>
      </c>
      <c r="R1205" s="425" t="s">
        <v>1001</v>
      </c>
      <c r="S1205" s="425" t="s">
        <v>1002</v>
      </c>
      <c r="T1205" s="423">
        <v>400</v>
      </c>
      <c r="U1205" s="423" t="s">
        <v>1041</v>
      </c>
      <c r="V1205" s="423">
        <v>60</v>
      </c>
      <c r="W1205" s="423">
        <v>1.2</v>
      </c>
      <c r="X1205" s="423">
        <v>8</v>
      </c>
      <c r="Y1205" s="423" t="s">
        <v>1041</v>
      </c>
      <c r="Z1205" s="423" t="s">
        <v>2431</v>
      </c>
      <c r="AD1205" s="423">
        <f>IF(ISNUMBER(MATCH(B1205,'FICHA SOLIC'!$AB$26:$AB$376,0)),1,0)</f>
        <v>1</v>
      </c>
      <c r="AE1205" s="423" t="str">
        <f t="shared" si="18"/>
        <v>PudahuelC</v>
      </c>
    </row>
    <row r="1206" spans="1:31" x14ac:dyDescent="0.25">
      <c r="A1206" s="423">
        <v>1205</v>
      </c>
      <c r="B1206" s="423" t="s">
        <v>426</v>
      </c>
      <c r="C1206" s="423" t="s">
        <v>1662</v>
      </c>
      <c r="D1206" s="425" t="s">
        <v>990</v>
      </c>
      <c r="E1206" s="425" t="s">
        <v>991</v>
      </c>
      <c r="F1206" s="425" t="s">
        <v>992</v>
      </c>
      <c r="G1206" s="425" t="s">
        <v>993</v>
      </c>
      <c r="H1206" s="426" t="s">
        <v>489</v>
      </c>
      <c r="I1206" s="425" t="s">
        <v>994</v>
      </c>
      <c r="J1206" s="425" t="s">
        <v>697</v>
      </c>
      <c r="K1206" s="425" t="s">
        <v>995</v>
      </c>
      <c r="L1206" s="425" t="s">
        <v>996</v>
      </c>
      <c r="M1206" s="425" t="s">
        <v>997</v>
      </c>
      <c r="N1206" s="425" t="s">
        <v>558</v>
      </c>
      <c r="O1206" s="425" t="s">
        <v>998</v>
      </c>
      <c r="P1206" s="425" t="s">
        <v>999</v>
      </c>
      <c r="Q1206" s="425" t="s">
        <v>1000</v>
      </c>
      <c r="R1206" s="425" t="s">
        <v>1001</v>
      </c>
      <c r="S1206" s="425" t="s">
        <v>1002</v>
      </c>
      <c r="T1206" s="423">
        <v>2500</v>
      </c>
      <c r="U1206" s="423" t="s">
        <v>1041</v>
      </c>
      <c r="V1206" s="423">
        <v>10</v>
      </c>
      <c r="W1206" s="423">
        <v>0.2</v>
      </c>
      <c r="X1206" s="423">
        <v>7</v>
      </c>
      <c r="Y1206" s="423" t="s">
        <v>1041</v>
      </c>
      <c r="Z1206" s="423" t="s">
        <v>1058</v>
      </c>
      <c r="AD1206" s="423">
        <f>IF(ISNUMBER(MATCH(B1206,'FICHA SOLIC'!$AB$26:$AB$376,0)),1,0)</f>
        <v>1</v>
      </c>
      <c r="AE1206" s="423" t="str">
        <f t="shared" si="18"/>
        <v>PudahuelCE</v>
      </c>
    </row>
    <row r="1207" spans="1:31" x14ac:dyDescent="0.25">
      <c r="A1207" s="423">
        <v>1206</v>
      </c>
      <c r="B1207" s="423" t="s">
        <v>426</v>
      </c>
      <c r="C1207" s="423" t="s">
        <v>1179</v>
      </c>
      <c r="D1207" s="425" t="s">
        <v>990</v>
      </c>
      <c r="E1207" s="425" t="s">
        <v>991</v>
      </c>
      <c r="F1207" s="425" t="s">
        <v>992</v>
      </c>
      <c r="G1207" s="425" t="s">
        <v>993</v>
      </c>
      <c r="H1207" s="426" t="s">
        <v>489</v>
      </c>
      <c r="I1207" s="425" t="s">
        <v>994</v>
      </c>
      <c r="J1207" s="425" t="s">
        <v>697</v>
      </c>
      <c r="K1207" s="425" t="s">
        <v>995</v>
      </c>
      <c r="L1207" s="425" t="s">
        <v>996</v>
      </c>
      <c r="M1207" s="425" t="s">
        <v>997</v>
      </c>
      <c r="N1207" s="425" t="s">
        <v>558</v>
      </c>
      <c r="O1207" s="425" t="s">
        <v>998</v>
      </c>
      <c r="P1207" s="425" t="s">
        <v>999</v>
      </c>
      <c r="Q1207" s="425" t="s">
        <v>1000</v>
      </c>
      <c r="R1207" s="425" t="s">
        <v>1001</v>
      </c>
      <c r="S1207" s="425" t="s">
        <v>1002</v>
      </c>
      <c r="T1207" s="423">
        <v>1500</v>
      </c>
      <c r="U1207" s="423" t="s">
        <v>1041</v>
      </c>
      <c r="V1207" s="423">
        <v>70</v>
      </c>
      <c r="W1207" s="423">
        <v>3</v>
      </c>
      <c r="X1207" s="423">
        <v>12.5</v>
      </c>
      <c r="Y1207" s="423" t="s">
        <v>1041</v>
      </c>
      <c r="Z1207" s="423" t="s">
        <v>1058</v>
      </c>
      <c r="AD1207" s="423">
        <f>IF(ISNUMBER(MATCH(B1207,'FICHA SOLIC'!$AB$26:$AB$376,0)),1,0)</f>
        <v>1</v>
      </c>
      <c r="AE1207" s="423" t="str">
        <f t="shared" si="18"/>
        <v>PudahuelD</v>
      </c>
    </row>
    <row r="1208" spans="1:31" x14ac:dyDescent="0.25">
      <c r="A1208" s="423">
        <v>1207</v>
      </c>
      <c r="B1208" s="423" t="s">
        <v>426</v>
      </c>
      <c r="C1208" s="423" t="s">
        <v>1250</v>
      </c>
      <c r="D1208" s="425" t="s">
        <v>990</v>
      </c>
      <c r="E1208" s="425" t="s">
        <v>991</v>
      </c>
      <c r="F1208" s="425" t="s">
        <v>992</v>
      </c>
      <c r="G1208" s="425" t="s">
        <v>993</v>
      </c>
      <c r="H1208" s="426" t="s">
        <v>489</v>
      </c>
      <c r="I1208" s="425" t="s">
        <v>994</v>
      </c>
      <c r="J1208" s="425" t="s">
        <v>697</v>
      </c>
      <c r="K1208" s="425" t="s">
        <v>995</v>
      </c>
      <c r="L1208" s="425" t="s">
        <v>996</v>
      </c>
      <c r="M1208" s="425" t="s">
        <v>997</v>
      </c>
      <c r="N1208" s="425" t="s">
        <v>558</v>
      </c>
      <c r="O1208" s="425" t="s">
        <v>998</v>
      </c>
      <c r="P1208" s="425" t="s">
        <v>999</v>
      </c>
      <c r="Q1208" s="425" t="s">
        <v>1000</v>
      </c>
      <c r="R1208" s="425" t="s">
        <v>1001</v>
      </c>
      <c r="S1208" s="425" t="s">
        <v>1002</v>
      </c>
      <c r="T1208" s="423">
        <v>2500</v>
      </c>
      <c r="U1208" s="423" t="s">
        <v>1041</v>
      </c>
      <c r="V1208" s="423">
        <v>60</v>
      </c>
      <c r="W1208" s="423">
        <v>5</v>
      </c>
      <c r="X1208" s="423">
        <v>40</v>
      </c>
      <c r="Y1208" s="423" t="s">
        <v>1041</v>
      </c>
      <c r="Z1208" s="423" t="s">
        <v>1058</v>
      </c>
      <c r="AD1208" s="423">
        <f>IF(ISNUMBER(MATCH(B1208,'FICHA SOLIC'!$AB$26:$AB$376,0)),1,0)</f>
        <v>1</v>
      </c>
      <c r="AE1208" s="423" t="str">
        <f t="shared" si="18"/>
        <v>PudahuelE</v>
      </c>
    </row>
    <row r="1209" spans="1:31" x14ac:dyDescent="0.25">
      <c r="A1209" s="423">
        <v>1208</v>
      </c>
      <c r="B1209" s="423" t="s">
        <v>426</v>
      </c>
      <c r="C1209" s="423" t="s">
        <v>1180</v>
      </c>
      <c r="D1209" s="425" t="s">
        <v>990</v>
      </c>
      <c r="E1209" s="425" t="s">
        <v>991</v>
      </c>
      <c r="F1209" s="425" t="s">
        <v>992</v>
      </c>
      <c r="G1209" s="425" t="s">
        <v>993</v>
      </c>
      <c r="H1209" s="426" t="s">
        <v>489</v>
      </c>
      <c r="I1209" s="425" t="s">
        <v>994</v>
      </c>
      <c r="J1209" s="425" t="s">
        <v>697</v>
      </c>
      <c r="K1209" s="425" t="s">
        <v>995</v>
      </c>
      <c r="L1209" s="425" t="s">
        <v>996</v>
      </c>
      <c r="M1209" s="425" t="s">
        <v>997</v>
      </c>
      <c r="N1209" s="425" t="s">
        <v>558</v>
      </c>
      <c r="O1209" s="425" t="s">
        <v>998</v>
      </c>
      <c r="P1209" s="425" t="s">
        <v>999</v>
      </c>
      <c r="Q1209" s="425" t="s">
        <v>1000</v>
      </c>
      <c r="R1209" s="425" t="s">
        <v>1001</v>
      </c>
      <c r="S1209" s="425" t="s">
        <v>1002</v>
      </c>
      <c r="T1209" s="423">
        <v>2500</v>
      </c>
      <c r="U1209" s="423" t="s">
        <v>1041</v>
      </c>
      <c r="V1209" s="423">
        <v>60</v>
      </c>
      <c r="W1209" s="423">
        <v>5</v>
      </c>
      <c r="X1209" s="423">
        <v>40</v>
      </c>
      <c r="Y1209" s="423" t="s">
        <v>1041</v>
      </c>
      <c r="Z1209" s="423" t="s">
        <v>1058</v>
      </c>
      <c r="AD1209" s="423">
        <f>IF(ISNUMBER(MATCH(B1209,'FICHA SOLIC'!$AB$26:$AB$376,0)),1,0)</f>
        <v>1</v>
      </c>
      <c r="AE1209" s="423" t="str">
        <f t="shared" si="18"/>
        <v>PudahuelF</v>
      </c>
    </row>
    <row r="1210" spans="1:31" x14ac:dyDescent="0.25">
      <c r="A1210" s="423">
        <v>1209</v>
      </c>
      <c r="B1210" s="423" t="s">
        <v>426</v>
      </c>
      <c r="C1210" s="423" t="s">
        <v>1181</v>
      </c>
      <c r="D1210" s="425" t="s">
        <v>990</v>
      </c>
      <c r="E1210" s="425" t="s">
        <v>991</v>
      </c>
      <c r="F1210" s="425" t="s">
        <v>992</v>
      </c>
      <c r="G1210" s="425" t="s">
        <v>993</v>
      </c>
      <c r="H1210" s="426" t="s">
        <v>489</v>
      </c>
      <c r="I1210" s="425" t="s">
        <v>994</v>
      </c>
      <c r="J1210" s="425" t="s">
        <v>697</v>
      </c>
      <c r="K1210" s="425" t="s">
        <v>995</v>
      </c>
      <c r="L1210" s="425" t="s">
        <v>996</v>
      </c>
      <c r="M1210" s="425" t="s">
        <v>997</v>
      </c>
      <c r="N1210" s="425" t="s">
        <v>558</v>
      </c>
      <c r="O1210" s="425" t="s">
        <v>998</v>
      </c>
      <c r="P1210" s="425" t="s">
        <v>999</v>
      </c>
      <c r="Q1210" s="425" t="s">
        <v>1000</v>
      </c>
      <c r="R1210" s="425" t="s">
        <v>1001</v>
      </c>
      <c r="S1210" s="425" t="s">
        <v>1002</v>
      </c>
      <c r="T1210" s="423">
        <v>500</v>
      </c>
      <c r="U1210" s="423" t="s">
        <v>1041</v>
      </c>
      <c r="V1210" s="423">
        <v>70</v>
      </c>
      <c r="W1210" s="423">
        <v>3</v>
      </c>
      <c r="X1210" s="423">
        <v>20</v>
      </c>
      <c r="Y1210" s="423" t="s">
        <v>1041</v>
      </c>
      <c r="Z1210" s="423" t="s">
        <v>1270</v>
      </c>
      <c r="AD1210" s="423">
        <f>IF(ISNUMBER(MATCH(B1210,'FICHA SOLIC'!$AB$26:$AB$376,0)),1,0)</f>
        <v>1</v>
      </c>
      <c r="AE1210" s="423" t="str">
        <f t="shared" si="18"/>
        <v>PudahuelG</v>
      </c>
    </row>
    <row r="1211" spans="1:31" x14ac:dyDescent="0.25">
      <c r="A1211" s="423">
        <v>1210</v>
      </c>
      <c r="B1211" s="423" t="s">
        <v>426</v>
      </c>
      <c r="C1211" s="423" t="s">
        <v>1061</v>
      </c>
      <c r="D1211" s="425" t="s">
        <v>990</v>
      </c>
      <c r="E1211" s="425" t="s">
        <v>991</v>
      </c>
      <c r="F1211" s="425" t="s">
        <v>992</v>
      </c>
      <c r="G1211" s="425" t="s">
        <v>993</v>
      </c>
      <c r="H1211" s="426" t="s">
        <v>489</v>
      </c>
      <c r="I1211" s="425" t="s">
        <v>994</v>
      </c>
      <c r="J1211" s="425" t="s">
        <v>697</v>
      </c>
      <c r="K1211" s="425" t="s">
        <v>995</v>
      </c>
      <c r="L1211" s="425" t="s">
        <v>996</v>
      </c>
      <c r="M1211" s="425" t="s">
        <v>997</v>
      </c>
      <c r="N1211" s="425" t="s">
        <v>558</v>
      </c>
      <c r="O1211" s="425" t="s">
        <v>998</v>
      </c>
      <c r="P1211" s="425" t="s">
        <v>999</v>
      </c>
      <c r="Q1211" s="425" t="s">
        <v>1000</v>
      </c>
      <c r="R1211" s="425" t="s">
        <v>1001</v>
      </c>
      <c r="S1211" s="425" t="s">
        <v>1002</v>
      </c>
      <c r="T1211" s="423">
        <v>500</v>
      </c>
      <c r="U1211" s="423" t="s">
        <v>1041</v>
      </c>
      <c r="V1211" s="423">
        <v>100</v>
      </c>
      <c r="W1211" s="423">
        <v>8.4</v>
      </c>
      <c r="X1211" s="423">
        <v>30</v>
      </c>
      <c r="Y1211" s="423" t="s">
        <v>1041</v>
      </c>
      <c r="Z1211" s="423" t="s">
        <v>1270</v>
      </c>
      <c r="AD1211" s="423">
        <f>IF(ISNUMBER(MATCH(B1211,'FICHA SOLIC'!$AB$26:$AB$376,0)),1,0)</f>
        <v>1</v>
      </c>
      <c r="AE1211" s="423" t="str">
        <f t="shared" si="18"/>
        <v>PudahuelH</v>
      </c>
    </row>
    <row r="1212" spans="1:31" x14ac:dyDescent="0.25">
      <c r="A1212" s="423">
        <v>1211</v>
      </c>
      <c r="B1212" s="423" t="s">
        <v>426</v>
      </c>
      <c r="C1212" s="423" t="s">
        <v>1183</v>
      </c>
      <c r="D1212" s="425" t="s">
        <v>990</v>
      </c>
      <c r="E1212" s="425" t="s">
        <v>991</v>
      </c>
      <c r="F1212" s="425" t="s">
        <v>992</v>
      </c>
      <c r="G1212" s="425" t="s">
        <v>993</v>
      </c>
      <c r="H1212" s="426" t="s">
        <v>489</v>
      </c>
      <c r="I1212" s="425" t="s">
        <v>994</v>
      </c>
      <c r="J1212" s="425" t="s">
        <v>697</v>
      </c>
      <c r="K1212" s="425" t="s">
        <v>995</v>
      </c>
      <c r="L1212" s="425" t="s">
        <v>996</v>
      </c>
      <c r="M1212" s="425" t="s">
        <v>997</v>
      </c>
      <c r="N1212" s="425" t="s">
        <v>558</v>
      </c>
      <c r="O1212" s="425" t="s">
        <v>998</v>
      </c>
      <c r="P1212" s="425" t="s">
        <v>999</v>
      </c>
      <c r="Q1212" s="425" t="s">
        <v>1000</v>
      </c>
      <c r="R1212" s="425" t="s">
        <v>1001</v>
      </c>
      <c r="S1212" s="425" t="s">
        <v>1002</v>
      </c>
      <c r="T1212" s="423">
        <v>160</v>
      </c>
      <c r="U1212" s="423" t="s">
        <v>1041</v>
      </c>
      <c r="V1212" s="423">
        <v>70</v>
      </c>
      <c r="W1212" s="423">
        <v>1.8</v>
      </c>
      <c r="X1212" s="423">
        <v>8</v>
      </c>
      <c r="Y1212" s="423" t="s">
        <v>1041</v>
      </c>
      <c r="Z1212" s="423" t="s">
        <v>1059</v>
      </c>
      <c r="AD1212" s="423">
        <f>IF(ISNUMBER(MATCH(B1212,'FICHA SOLIC'!$AB$26:$AB$376,0)),1,0)</f>
        <v>1</v>
      </c>
      <c r="AE1212" s="423" t="str">
        <f t="shared" si="18"/>
        <v>PudahuelI</v>
      </c>
    </row>
    <row r="1213" spans="1:31" x14ac:dyDescent="0.25">
      <c r="A1213" s="423">
        <v>1212</v>
      </c>
      <c r="B1213" s="423" t="s">
        <v>426</v>
      </c>
      <c r="C1213" s="423" t="s">
        <v>2432</v>
      </c>
      <c r="D1213" s="425" t="s">
        <v>990</v>
      </c>
      <c r="E1213" s="425" t="s">
        <v>991</v>
      </c>
      <c r="F1213" s="425" t="s">
        <v>992</v>
      </c>
      <c r="G1213" s="425" t="s">
        <v>993</v>
      </c>
      <c r="H1213" s="426" t="s">
        <v>489</v>
      </c>
      <c r="I1213" s="425" t="s">
        <v>994</v>
      </c>
      <c r="J1213" s="425" t="s">
        <v>697</v>
      </c>
      <c r="K1213" s="425" t="s">
        <v>995</v>
      </c>
      <c r="L1213" s="425" t="s">
        <v>996</v>
      </c>
      <c r="M1213" s="425" t="s">
        <v>997</v>
      </c>
      <c r="N1213" s="425" t="s">
        <v>558</v>
      </c>
      <c r="O1213" s="425" t="s">
        <v>998</v>
      </c>
      <c r="P1213" s="425" t="s">
        <v>999</v>
      </c>
      <c r="Q1213" s="425" t="s">
        <v>1000</v>
      </c>
      <c r="R1213" s="425" t="s">
        <v>1001</v>
      </c>
      <c r="S1213" s="425" t="s">
        <v>1002</v>
      </c>
      <c r="T1213" s="423">
        <v>2000</v>
      </c>
      <c r="U1213" s="423" t="s">
        <v>1041</v>
      </c>
      <c r="V1213" s="423">
        <v>80</v>
      </c>
      <c r="W1213" s="423">
        <v>2</v>
      </c>
      <c r="X1213" s="423">
        <v>7</v>
      </c>
      <c r="Y1213" s="423" t="s">
        <v>1041</v>
      </c>
      <c r="Z1213" s="423" t="s">
        <v>1058</v>
      </c>
      <c r="AD1213" s="423">
        <f>IF(ISNUMBER(MATCH(B1213,'FICHA SOLIC'!$AB$26:$AB$376,0)),1,0)</f>
        <v>1</v>
      </c>
      <c r="AE1213" s="423" t="str">
        <f t="shared" si="18"/>
        <v>PudahuelINF</v>
      </c>
    </row>
    <row r="1214" spans="1:31" x14ac:dyDescent="0.25">
      <c r="A1214" s="423">
        <v>1213</v>
      </c>
      <c r="B1214" s="423" t="s">
        <v>426</v>
      </c>
      <c r="C1214" s="423" t="s">
        <v>1182</v>
      </c>
      <c r="D1214" s="425" t="s">
        <v>990</v>
      </c>
      <c r="E1214" s="425" t="s">
        <v>991</v>
      </c>
      <c r="F1214" s="425" t="s">
        <v>992</v>
      </c>
      <c r="G1214" s="425" t="s">
        <v>993</v>
      </c>
      <c r="H1214" s="426" t="s">
        <v>489</v>
      </c>
      <c r="I1214" s="425" t="s">
        <v>994</v>
      </c>
      <c r="J1214" s="425" t="s">
        <v>697</v>
      </c>
      <c r="K1214" s="425" t="s">
        <v>995</v>
      </c>
      <c r="L1214" s="425" t="s">
        <v>996</v>
      </c>
      <c r="M1214" s="425" t="s">
        <v>997</v>
      </c>
      <c r="N1214" s="425" t="s">
        <v>558</v>
      </c>
      <c r="O1214" s="425" t="s">
        <v>998</v>
      </c>
      <c r="P1214" s="425" t="s">
        <v>999</v>
      </c>
      <c r="Q1214" s="425" t="s">
        <v>1000</v>
      </c>
      <c r="R1214" s="425" t="s">
        <v>1001</v>
      </c>
      <c r="S1214" s="425" t="s">
        <v>1002</v>
      </c>
      <c r="T1214" s="423">
        <v>2000</v>
      </c>
      <c r="U1214" s="423" t="s">
        <v>1041</v>
      </c>
      <c r="V1214" s="423">
        <v>80</v>
      </c>
      <c r="W1214" s="423">
        <v>8</v>
      </c>
      <c r="X1214" s="423">
        <v>30</v>
      </c>
      <c r="Y1214" s="423" t="s">
        <v>1041</v>
      </c>
      <c r="Z1214" s="423" t="s">
        <v>1058</v>
      </c>
      <c r="AD1214" s="423">
        <f>IF(ISNUMBER(MATCH(B1214,'FICHA SOLIC'!$AB$26:$AB$376,0)),1,0)</f>
        <v>1</v>
      </c>
      <c r="AE1214" s="423" t="str">
        <f t="shared" si="18"/>
        <v>PudahuelJ</v>
      </c>
    </row>
    <row r="1215" spans="1:31" x14ac:dyDescent="0.25">
      <c r="A1215" s="423">
        <v>1214</v>
      </c>
      <c r="B1215" s="423" t="s">
        <v>426</v>
      </c>
      <c r="C1215" s="423" t="s">
        <v>1184</v>
      </c>
      <c r="D1215" s="425" t="s">
        <v>990</v>
      </c>
      <c r="E1215" s="425" t="s">
        <v>991</v>
      </c>
      <c r="F1215" s="425" t="s">
        <v>992</v>
      </c>
      <c r="G1215" s="425" t="s">
        <v>993</v>
      </c>
      <c r="H1215" s="426" t="s">
        <v>489</v>
      </c>
      <c r="I1215" s="425" t="s">
        <v>994</v>
      </c>
      <c r="J1215" s="425" t="s">
        <v>697</v>
      </c>
      <c r="K1215" s="425" t="s">
        <v>995</v>
      </c>
      <c r="L1215" s="425" t="s">
        <v>996</v>
      </c>
      <c r="M1215" s="425" t="s">
        <v>997</v>
      </c>
      <c r="N1215" s="425" t="s">
        <v>558</v>
      </c>
      <c r="O1215" s="425" t="s">
        <v>998</v>
      </c>
      <c r="P1215" s="425" t="s">
        <v>999</v>
      </c>
      <c r="Q1215" s="425" t="s">
        <v>1000</v>
      </c>
      <c r="R1215" s="425" t="s">
        <v>1001</v>
      </c>
      <c r="S1215" s="425" t="s">
        <v>1002</v>
      </c>
      <c r="T1215" s="423">
        <v>2000</v>
      </c>
      <c r="U1215" s="423" t="s">
        <v>1041</v>
      </c>
      <c r="V1215" s="423">
        <v>80</v>
      </c>
      <c r="W1215" s="423">
        <v>9.6</v>
      </c>
      <c r="X1215" s="423">
        <v>30</v>
      </c>
      <c r="Y1215" s="423" t="s">
        <v>1041</v>
      </c>
      <c r="Z1215" s="423" t="s">
        <v>1058</v>
      </c>
      <c r="AD1215" s="423">
        <f>IF(ISNUMBER(MATCH(B1215,'FICHA SOLIC'!$AB$26:$AB$376,0)),1,0)</f>
        <v>1</v>
      </c>
      <c r="AE1215" s="423" t="str">
        <f t="shared" si="18"/>
        <v>PudahuelK</v>
      </c>
    </row>
    <row r="1216" spans="1:31" x14ac:dyDescent="0.25">
      <c r="A1216" s="423">
        <v>1215</v>
      </c>
      <c r="B1216" s="423" t="s">
        <v>426</v>
      </c>
      <c r="C1216" s="423" t="s">
        <v>2433</v>
      </c>
      <c r="D1216" s="425" t="s">
        <v>990</v>
      </c>
      <c r="E1216" s="425" t="s">
        <v>991</v>
      </c>
      <c r="F1216" s="425" t="s">
        <v>992</v>
      </c>
      <c r="G1216" s="425" t="s">
        <v>993</v>
      </c>
      <c r="H1216" s="426" t="s">
        <v>489</v>
      </c>
      <c r="I1216" s="425" t="s">
        <v>994</v>
      </c>
      <c r="J1216" s="425" t="s">
        <v>697</v>
      </c>
      <c r="K1216" s="425" t="s">
        <v>995</v>
      </c>
      <c r="L1216" s="425" t="s">
        <v>996</v>
      </c>
      <c r="M1216" s="425" t="s">
        <v>997</v>
      </c>
      <c r="N1216" s="425" t="s">
        <v>558</v>
      </c>
      <c r="O1216" s="425" t="s">
        <v>998</v>
      </c>
      <c r="P1216" s="425" t="s">
        <v>999</v>
      </c>
      <c r="Q1216" s="425" t="s">
        <v>1000</v>
      </c>
      <c r="R1216" s="425" t="s">
        <v>1001</v>
      </c>
      <c r="S1216" s="425" t="s">
        <v>1002</v>
      </c>
      <c r="T1216" s="423">
        <v>2500</v>
      </c>
      <c r="U1216" s="423" t="s">
        <v>1041</v>
      </c>
      <c r="V1216" s="423">
        <v>70</v>
      </c>
      <c r="W1216" s="423">
        <v>3.5</v>
      </c>
      <c r="X1216" s="423">
        <v>12.5</v>
      </c>
      <c r="Y1216" s="423" t="s">
        <v>1041</v>
      </c>
      <c r="Z1216" s="423" t="s">
        <v>1058</v>
      </c>
      <c r="AD1216" s="423">
        <f>IF(ISNUMBER(MATCH(B1216,'FICHA SOLIC'!$AB$26:$AB$376,0)),1,0)</f>
        <v>1</v>
      </c>
      <c r="AE1216" s="423" t="str">
        <f t="shared" si="18"/>
        <v>PudahuelL</v>
      </c>
    </row>
    <row r="1217" spans="1:31" x14ac:dyDescent="0.25">
      <c r="A1217" s="423">
        <v>1216</v>
      </c>
      <c r="B1217" s="423" t="s">
        <v>426</v>
      </c>
      <c r="C1217" s="423" t="s">
        <v>1185</v>
      </c>
      <c r="D1217" s="425" t="s">
        <v>990</v>
      </c>
      <c r="E1217" s="425" t="s">
        <v>991</v>
      </c>
      <c r="F1217" s="425" t="s">
        <v>992</v>
      </c>
      <c r="G1217" s="425" t="s">
        <v>993</v>
      </c>
      <c r="H1217" s="426" t="s">
        <v>489</v>
      </c>
      <c r="I1217" s="425" t="s">
        <v>994</v>
      </c>
      <c r="J1217" s="425" t="s">
        <v>697</v>
      </c>
      <c r="K1217" s="425" t="s">
        <v>995</v>
      </c>
      <c r="L1217" s="425" t="s">
        <v>996</v>
      </c>
      <c r="M1217" s="425" t="s">
        <v>997</v>
      </c>
      <c r="N1217" s="425" t="s">
        <v>558</v>
      </c>
      <c r="O1217" s="425" t="s">
        <v>998</v>
      </c>
      <c r="P1217" s="425" t="s">
        <v>999</v>
      </c>
      <c r="Q1217" s="425" t="s">
        <v>1000</v>
      </c>
      <c r="R1217" s="425" t="s">
        <v>1001</v>
      </c>
      <c r="S1217" s="425" t="s">
        <v>1002</v>
      </c>
      <c r="T1217" s="423">
        <v>1500</v>
      </c>
      <c r="U1217" s="423" t="s">
        <v>1041</v>
      </c>
      <c r="V1217" s="423">
        <v>70</v>
      </c>
      <c r="W1217" s="423">
        <v>3</v>
      </c>
      <c r="X1217" s="423">
        <v>20</v>
      </c>
      <c r="Y1217" s="423" t="s">
        <v>1041</v>
      </c>
      <c r="Z1217" s="423" t="s">
        <v>1058</v>
      </c>
      <c r="AD1217" s="423">
        <f>IF(ISNUMBER(MATCH(B1217,'FICHA SOLIC'!$AB$26:$AB$376,0)),1,0)</f>
        <v>1</v>
      </c>
      <c r="AE1217" s="423" t="str">
        <f t="shared" si="18"/>
        <v>PudahuelM</v>
      </c>
    </row>
    <row r="1218" spans="1:31" x14ac:dyDescent="0.25">
      <c r="A1218" s="423">
        <v>1217</v>
      </c>
      <c r="B1218" s="423" t="s">
        <v>426</v>
      </c>
      <c r="C1218" s="423" t="s">
        <v>1186</v>
      </c>
      <c r="D1218" s="425" t="s">
        <v>990</v>
      </c>
      <c r="E1218" s="425" t="s">
        <v>991</v>
      </c>
      <c r="F1218" s="425" t="s">
        <v>992</v>
      </c>
      <c r="G1218" s="425" t="s">
        <v>993</v>
      </c>
      <c r="H1218" s="426" t="s">
        <v>489</v>
      </c>
      <c r="I1218" s="425" t="s">
        <v>994</v>
      </c>
      <c r="J1218" s="425" t="s">
        <v>697</v>
      </c>
      <c r="K1218" s="425" t="s">
        <v>995</v>
      </c>
      <c r="L1218" s="425" t="s">
        <v>996</v>
      </c>
      <c r="M1218" s="425" t="s">
        <v>997</v>
      </c>
      <c r="N1218" s="425" t="s">
        <v>558</v>
      </c>
      <c r="O1218" s="425" t="s">
        <v>998</v>
      </c>
      <c r="P1218" s="425" t="s">
        <v>999</v>
      </c>
      <c r="Q1218" s="425" t="s">
        <v>1000</v>
      </c>
      <c r="R1218" s="425" t="s">
        <v>1001</v>
      </c>
      <c r="S1218" s="425" t="s">
        <v>1002</v>
      </c>
      <c r="T1218" s="423">
        <v>2500</v>
      </c>
      <c r="U1218" s="423" t="s">
        <v>1041</v>
      </c>
      <c r="V1218" s="423">
        <v>70</v>
      </c>
      <c r="W1218" s="423">
        <v>2.8</v>
      </c>
      <c r="X1218" s="423">
        <v>14</v>
      </c>
      <c r="Y1218" s="423" t="s">
        <v>1041</v>
      </c>
      <c r="Z1218" s="423" t="s">
        <v>1058</v>
      </c>
      <c r="AD1218" s="423">
        <f>IF(ISNUMBER(MATCH(B1218,'FICHA SOLIC'!$AB$26:$AB$376,0)),1,0)</f>
        <v>1</v>
      </c>
      <c r="AE1218" s="423" t="str">
        <f t="shared" si="18"/>
        <v>PudahuelN</v>
      </c>
    </row>
    <row r="1219" spans="1:31" x14ac:dyDescent="0.25">
      <c r="A1219" s="423">
        <v>1218</v>
      </c>
      <c r="B1219" s="423" t="s">
        <v>426</v>
      </c>
      <c r="C1219" s="423" t="s">
        <v>2434</v>
      </c>
      <c r="D1219" s="425" t="s">
        <v>990</v>
      </c>
      <c r="E1219" s="425" t="s">
        <v>991</v>
      </c>
      <c r="F1219" s="425" t="s">
        <v>992</v>
      </c>
      <c r="G1219" s="425" t="s">
        <v>993</v>
      </c>
      <c r="H1219" s="426" t="s">
        <v>489</v>
      </c>
      <c r="I1219" s="425" t="s">
        <v>994</v>
      </c>
      <c r="J1219" s="425" t="s">
        <v>697</v>
      </c>
      <c r="K1219" s="425" t="s">
        <v>995</v>
      </c>
      <c r="L1219" s="425" t="s">
        <v>996</v>
      </c>
      <c r="M1219" s="425" t="s">
        <v>997</v>
      </c>
      <c r="N1219" s="425" t="s">
        <v>558</v>
      </c>
      <c r="O1219" s="425" t="s">
        <v>998</v>
      </c>
      <c r="P1219" s="425" t="s">
        <v>999</v>
      </c>
      <c r="Q1219" s="425" t="s">
        <v>1000</v>
      </c>
      <c r="R1219" s="425" t="s">
        <v>1001</v>
      </c>
      <c r="S1219" s="425" t="s">
        <v>1002</v>
      </c>
      <c r="T1219" s="423">
        <v>2500</v>
      </c>
      <c r="U1219" s="423" t="s">
        <v>1041</v>
      </c>
      <c r="V1219" s="423">
        <v>70</v>
      </c>
      <c r="W1219" s="423">
        <v>2.8</v>
      </c>
      <c r="X1219" s="423">
        <v>14</v>
      </c>
      <c r="Y1219" s="423" t="s">
        <v>1041</v>
      </c>
      <c r="Z1219" s="423" t="s">
        <v>1058</v>
      </c>
      <c r="AD1219" s="423">
        <f>IF(ISNUMBER(MATCH(B1219,'FICHA SOLIC'!$AB$26:$AB$376,0)),1,0)</f>
        <v>1</v>
      </c>
      <c r="AE1219" s="423" t="str">
        <f t="shared" ref="AE1219:AE1282" si="19">B1219&amp;C1219</f>
        <v>PudahuelN1</v>
      </c>
    </row>
    <row r="1220" spans="1:31" x14ac:dyDescent="0.25">
      <c r="A1220" s="423">
        <v>1219</v>
      </c>
      <c r="B1220" s="423" t="s">
        <v>426</v>
      </c>
      <c r="C1220" s="423" t="s">
        <v>2435</v>
      </c>
      <c r="D1220" s="425" t="s">
        <v>990</v>
      </c>
      <c r="E1220" s="425" t="s">
        <v>991</v>
      </c>
      <c r="F1220" s="425" t="s">
        <v>992</v>
      </c>
      <c r="G1220" s="425" t="s">
        <v>993</v>
      </c>
      <c r="H1220" s="426" t="s">
        <v>489</v>
      </c>
      <c r="I1220" s="425" t="s">
        <v>994</v>
      </c>
      <c r="J1220" s="425" t="s">
        <v>697</v>
      </c>
      <c r="K1220" s="425" t="s">
        <v>995</v>
      </c>
      <c r="L1220" s="425" t="s">
        <v>996</v>
      </c>
      <c r="M1220" s="425" t="s">
        <v>997</v>
      </c>
      <c r="N1220" s="425" t="s">
        <v>558</v>
      </c>
      <c r="O1220" s="425" t="s">
        <v>998</v>
      </c>
      <c r="P1220" s="425" t="s">
        <v>999</v>
      </c>
      <c r="Q1220" s="425" t="s">
        <v>1000</v>
      </c>
      <c r="R1220" s="425" t="s">
        <v>1001</v>
      </c>
      <c r="S1220" s="425" t="s">
        <v>1002</v>
      </c>
      <c r="T1220" s="423">
        <v>2500</v>
      </c>
      <c r="U1220" s="423" t="s">
        <v>1041</v>
      </c>
      <c r="V1220" s="423">
        <v>70</v>
      </c>
      <c r="W1220" s="423">
        <v>2.8</v>
      </c>
      <c r="X1220" s="423">
        <v>14</v>
      </c>
      <c r="Y1220" s="423" t="s">
        <v>1041</v>
      </c>
      <c r="Z1220" s="423" t="s">
        <v>1058</v>
      </c>
      <c r="AD1220" s="423">
        <f>IF(ISNUMBER(MATCH(B1220,'FICHA SOLIC'!$AB$26:$AB$376,0)),1,0)</f>
        <v>1</v>
      </c>
      <c r="AE1220" s="423" t="str">
        <f t="shared" si="19"/>
        <v>PudahuelN2</v>
      </c>
    </row>
    <row r="1221" spans="1:31" x14ac:dyDescent="0.25">
      <c r="A1221" s="423">
        <v>1220</v>
      </c>
      <c r="B1221" s="423" t="s">
        <v>435</v>
      </c>
      <c r="C1221" s="423" t="s">
        <v>1277</v>
      </c>
      <c r="D1221" s="425" t="s">
        <v>990</v>
      </c>
      <c r="E1221" s="425" t="s">
        <v>991</v>
      </c>
      <c r="F1221" s="425" t="s">
        <v>992</v>
      </c>
      <c r="G1221" s="425" t="s">
        <v>1054</v>
      </c>
      <c r="H1221" s="426" t="s">
        <v>699</v>
      </c>
      <c r="I1221" s="425" t="s">
        <v>1055</v>
      </c>
      <c r="J1221" s="425" t="s">
        <v>697</v>
      </c>
      <c r="K1221" s="425" t="s">
        <v>995</v>
      </c>
      <c r="L1221" s="425" t="s">
        <v>996</v>
      </c>
      <c r="M1221" s="425" t="s">
        <v>997</v>
      </c>
      <c r="N1221" s="425" t="s">
        <v>558</v>
      </c>
      <c r="O1221" s="425" t="s">
        <v>998</v>
      </c>
      <c r="P1221" s="425" t="s">
        <v>999</v>
      </c>
      <c r="Q1221" s="425" t="s">
        <v>1000</v>
      </c>
      <c r="R1221" s="425" t="s">
        <v>1001</v>
      </c>
      <c r="S1221" s="425" t="s">
        <v>1002</v>
      </c>
      <c r="T1221" s="423" t="s">
        <v>1025</v>
      </c>
      <c r="U1221" s="423" t="s">
        <v>1041</v>
      </c>
      <c r="V1221" s="423">
        <v>5</v>
      </c>
      <c r="W1221" s="423">
        <v>0.05</v>
      </c>
      <c r="X1221" s="423">
        <v>7</v>
      </c>
      <c r="Y1221" s="423" t="s">
        <v>1041</v>
      </c>
      <c r="Z1221" s="423" t="s">
        <v>1004</v>
      </c>
      <c r="AD1221" s="423">
        <f>IF(ISNUMBER(MATCH(B1221,'FICHA SOLIC'!$AB$26:$AB$376,0)),1,0)</f>
        <v>1</v>
      </c>
      <c r="AE1221" s="423" t="str">
        <f t="shared" si="19"/>
        <v>Puente AltoAV1</v>
      </c>
    </row>
    <row r="1222" spans="1:31" x14ac:dyDescent="0.25">
      <c r="A1222" s="423">
        <v>1221</v>
      </c>
      <c r="B1222" s="423" t="s">
        <v>435</v>
      </c>
      <c r="C1222" s="423" t="s">
        <v>1281</v>
      </c>
      <c r="D1222" s="425" t="s">
        <v>990</v>
      </c>
      <c r="E1222" s="425" t="s">
        <v>991</v>
      </c>
      <c r="F1222" s="425" t="s">
        <v>992</v>
      </c>
      <c r="G1222" s="425" t="s">
        <v>1054</v>
      </c>
      <c r="H1222" s="426" t="s">
        <v>699</v>
      </c>
      <c r="I1222" s="425" t="s">
        <v>1055</v>
      </c>
      <c r="J1222" s="425" t="s">
        <v>697</v>
      </c>
      <c r="K1222" s="425" t="s">
        <v>995</v>
      </c>
      <c r="L1222" s="425" t="s">
        <v>996</v>
      </c>
      <c r="M1222" s="425" t="s">
        <v>997</v>
      </c>
      <c r="N1222" s="425" t="s">
        <v>558</v>
      </c>
      <c r="O1222" s="425" t="s">
        <v>998</v>
      </c>
      <c r="P1222" s="425" t="s">
        <v>999</v>
      </c>
      <c r="Q1222" s="425" t="s">
        <v>1000</v>
      </c>
      <c r="R1222" s="425" t="s">
        <v>1001</v>
      </c>
      <c r="S1222" s="425" t="s">
        <v>1002</v>
      </c>
      <c r="T1222" s="423" t="s">
        <v>1041</v>
      </c>
      <c r="U1222" s="423" t="s">
        <v>1041</v>
      </c>
      <c r="V1222" s="423" t="s">
        <v>1041</v>
      </c>
      <c r="W1222" s="423" t="s">
        <v>1041</v>
      </c>
      <c r="X1222" s="423" t="s">
        <v>1041</v>
      </c>
      <c r="Y1222" s="423" t="s">
        <v>1041</v>
      </c>
      <c r="Z1222" s="423" t="s">
        <v>1041</v>
      </c>
      <c r="AD1222" s="423">
        <f>IF(ISNUMBER(MATCH(B1222,'FICHA SOLIC'!$AB$26:$AB$376,0)),1,0)</f>
        <v>1</v>
      </c>
      <c r="AE1222" s="423" t="str">
        <f t="shared" si="19"/>
        <v>Puente AltoAV2</v>
      </c>
    </row>
    <row r="1223" spans="1:31" x14ac:dyDescent="0.25">
      <c r="A1223" s="423">
        <v>1222</v>
      </c>
      <c r="B1223" s="423" t="s">
        <v>435</v>
      </c>
      <c r="C1223" s="423" t="s">
        <v>1294</v>
      </c>
      <c r="D1223" s="425" t="s">
        <v>990</v>
      </c>
      <c r="E1223" s="425" t="s">
        <v>991</v>
      </c>
      <c r="F1223" s="425" t="s">
        <v>992</v>
      </c>
      <c r="G1223" s="425" t="s">
        <v>1054</v>
      </c>
      <c r="H1223" s="426" t="s">
        <v>699</v>
      </c>
      <c r="I1223" s="425" t="s">
        <v>1055</v>
      </c>
      <c r="J1223" s="425" t="s">
        <v>697</v>
      </c>
      <c r="K1223" s="425" t="s">
        <v>995</v>
      </c>
      <c r="L1223" s="425" t="s">
        <v>996</v>
      </c>
      <c r="M1223" s="425" t="s">
        <v>997</v>
      </c>
      <c r="N1223" s="425" t="s">
        <v>558</v>
      </c>
      <c r="O1223" s="425" t="s">
        <v>998</v>
      </c>
      <c r="P1223" s="425" t="s">
        <v>999</v>
      </c>
      <c r="Q1223" s="425" t="s">
        <v>1000</v>
      </c>
      <c r="R1223" s="425" t="s">
        <v>1001</v>
      </c>
      <c r="S1223" s="425" t="s">
        <v>1002</v>
      </c>
      <c r="T1223" s="423">
        <v>200</v>
      </c>
      <c r="U1223" s="423" t="s">
        <v>1041</v>
      </c>
      <c r="V1223" s="423">
        <v>40</v>
      </c>
      <c r="W1223" s="423">
        <v>0.7</v>
      </c>
      <c r="X1223" s="423" t="s">
        <v>1041</v>
      </c>
      <c r="Y1223" s="423" t="s">
        <v>1041</v>
      </c>
      <c r="Z1223" s="423" t="s">
        <v>1174</v>
      </c>
      <c r="AD1223" s="423">
        <f>IF(ISNUMBER(MATCH(B1223,'FICHA SOLIC'!$AB$26:$AB$376,0)),1,0)</f>
        <v>1</v>
      </c>
      <c r="AE1223" s="423" t="str">
        <f t="shared" si="19"/>
        <v>Puente AltoE(c)1</v>
      </c>
    </row>
    <row r="1224" spans="1:31" x14ac:dyDescent="0.25">
      <c r="A1224" s="423">
        <v>1223</v>
      </c>
      <c r="B1224" s="423" t="s">
        <v>435</v>
      </c>
      <c r="C1224" s="423" t="s">
        <v>1295</v>
      </c>
      <c r="D1224" s="425" t="s">
        <v>990</v>
      </c>
      <c r="E1224" s="425" t="s">
        <v>991</v>
      </c>
      <c r="F1224" s="425" t="s">
        <v>992</v>
      </c>
      <c r="G1224" s="425" t="s">
        <v>1054</v>
      </c>
      <c r="H1224" s="426" t="s">
        <v>699</v>
      </c>
      <c r="I1224" s="425" t="s">
        <v>1055</v>
      </c>
      <c r="J1224" s="425" t="s">
        <v>697</v>
      </c>
      <c r="K1224" s="425" t="s">
        <v>995</v>
      </c>
      <c r="L1224" s="425" t="s">
        <v>996</v>
      </c>
      <c r="M1224" s="425" t="s">
        <v>997</v>
      </c>
      <c r="N1224" s="425" t="s">
        <v>558</v>
      </c>
      <c r="O1224" s="425" t="s">
        <v>998</v>
      </c>
      <c r="P1224" s="425" t="s">
        <v>999</v>
      </c>
      <c r="Q1224" s="425" t="s">
        <v>1000</v>
      </c>
      <c r="R1224" s="425" t="s">
        <v>1001</v>
      </c>
      <c r="S1224" s="425" t="s">
        <v>1002</v>
      </c>
      <c r="T1224" s="423">
        <v>200</v>
      </c>
      <c r="U1224" s="423" t="s">
        <v>1041</v>
      </c>
      <c r="V1224" s="423">
        <v>40</v>
      </c>
      <c r="W1224" s="423">
        <v>0.8</v>
      </c>
      <c r="X1224" s="423" t="s">
        <v>1041</v>
      </c>
      <c r="Y1224" s="423" t="s">
        <v>1041</v>
      </c>
      <c r="Z1224" s="423" t="s">
        <v>1174</v>
      </c>
      <c r="AD1224" s="423">
        <f>IF(ISNUMBER(MATCH(B1224,'FICHA SOLIC'!$AB$26:$AB$376,0)),1,0)</f>
        <v>1</v>
      </c>
      <c r="AE1224" s="423" t="str">
        <f t="shared" si="19"/>
        <v>Puente AltoE(c)2</v>
      </c>
    </row>
    <row r="1225" spans="1:31" x14ac:dyDescent="0.25">
      <c r="A1225" s="423">
        <v>1224</v>
      </c>
      <c r="B1225" s="423" t="s">
        <v>435</v>
      </c>
      <c r="C1225" s="423" t="s">
        <v>1291</v>
      </c>
      <c r="D1225" s="425" t="s">
        <v>990</v>
      </c>
      <c r="E1225" s="425" t="s">
        <v>991</v>
      </c>
      <c r="F1225" s="425" t="s">
        <v>992</v>
      </c>
      <c r="G1225" s="425" t="s">
        <v>1054</v>
      </c>
      <c r="H1225" s="426" t="s">
        <v>699</v>
      </c>
      <c r="I1225" s="425" t="s">
        <v>1055</v>
      </c>
      <c r="J1225" s="425" t="s">
        <v>697</v>
      </c>
      <c r="K1225" s="425" t="s">
        <v>995</v>
      </c>
      <c r="L1225" s="425" t="s">
        <v>996</v>
      </c>
      <c r="M1225" s="425" t="s">
        <v>997</v>
      </c>
      <c r="N1225" s="425" t="s">
        <v>558</v>
      </c>
      <c r="O1225" s="425" t="s">
        <v>998</v>
      </c>
      <c r="P1225" s="425" t="s">
        <v>999</v>
      </c>
      <c r="Q1225" s="425" t="s">
        <v>1000</v>
      </c>
      <c r="R1225" s="425" t="s">
        <v>1001</v>
      </c>
      <c r="S1225" s="425" t="s">
        <v>1002</v>
      </c>
      <c r="T1225" s="423">
        <v>2000</v>
      </c>
      <c r="U1225" s="423" t="s">
        <v>1041</v>
      </c>
      <c r="V1225" s="423">
        <v>60</v>
      </c>
      <c r="W1225" s="423">
        <v>3</v>
      </c>
      <c r="X1225" s="423" t="s">
        <v>1041</v>
      </c>
      <c r="Y1225" s="423" t="s">
        <v>1041</v>
      </c>
      <c r="Z1225" s="423" t="s">
        <v>1004</v>
      </c>
      <c r="AD1225" s="423">
        <f>IF(ISNUMBER(MATCH(B1225,'FICHA SOLIC'!$AB$26:$AB$376,0)),1,0)</f>
        <v>1</v>
      </c>
      <c r="AE1225" s="423" t="str">
        <f t="shared" si="19"/>
        <v>Puente AltoE(i)1</v>
      </c>
    </row>
    <row r="1226" spans="1:31" x14ac:dyDescent="0.25">
      <c r="A1226" s="423">
        <v>1225</v>
      </c>
      <c r="B1226" s="423" t="s">
        <v>435</v>
      </c>
      <c r="C1226" s="423" t="s">
        <v>1292</v>
      </c>
      <c r="D1226" s="425" t="s">
        <v>990</v>
      </c>
      <c r="E1226" s="425" t="s">
        <v>991</v>
      </c>
      <c r="F1226" s="425" t="s">
        <v>992</v>
      </c>
      <c r="G1226" s="425" t="s">
        <v>1054</v>
      </c>
      <c r="H1226" s="426" t="s">
        <v>699</v>
      </c>
      <c r="I1226" s="425" t="s">
        <v>1055</v>
      </c>
      <c r="J1226" s="425" t="s">
        <v>697</v>
      </c>
      <c r="K1226" s="425" t="s">
        <v>995</v>
      </c>
      <c r="L1226" s="425" t="s">
        <v>996</v>
      </c>
      <c r="M1226" s="425" t="s">
        <v>997</v>
      </c>
      <c r="N1226" s="425" t="s">
        <v>558</v>
      </c>
      <c r="O1226" s="425" t="s">
        <v>998</v>
      </c>
      <c r="P1226" s="425" t="s">
        <v>999</v>
      </c>
      <c r="Q1226" s="425" t="s">
        <v>1000</v>
      </c>
      <c r="R1226" s="425" t="s">
        <v>1001</v>
      </c>
      <c r="S1226" s="425" t="s">
        <v>1002</v>
      </c>
      <c r="T1226" s="423" t="s">
        <v>1025</v>
      </c>
      <c r="U1226" s="423" t="s">
        <v>1041</v>
      </c>
      <c r="V1226" s="423">
        <v>5</v>
      </c>
      <c r="W1226" s="423">
        <v>0.1</v>
      </c>
      <c r="X1226" s="423">
        <v>7</v>
      </c>
      <c r="Y1226" s="423" t="s">
        <v>1041</v>
      </c>
      <c r="Z1226" s="423" t="s">
        <v>1004</v>
      </c>
      <c r="AD1226" s="423">
        <f>IF(ISNUMBER(MATCH(B1226,'FICHA SOLIC'!$AB$26:$AB$376,0)),1,0)</f>
        <v>1</v>
      </c>
      <c r="AE1226" s="423" t="str">
        <f t="shared" si="19"/>
        <v>Puente AltoE(i)2</v>
      </c>
    </row>
    <row r="1227" spans="1:31" x14ac:dyDescent="0.25">
      <c r="A1227" s="423">
        <v>1226</v>
      </c>
      <c r="B1227" s="423" t="s">
        <v>435</v>
      </c>
      <c r="C1227" s="423" t="s">
        <v>1279</v>
      </c>
      <c r="D1227" s="425" t="s">
        <v>990</v>
      </c>
      <c r="E1227" s="425" t="s">
        <v>991</v>
      </c>
      <c r="F1227" s="425" t="s">
        <v>992</v>
      </c>
      <c r="G1227" s="425" t="s">
        <v>1054</v>
      </c>
      <c r="H1227" s="426" t="s">
        <v>699</v>
      </c>
      <c r="I1227" s="425" t="s">
        <v>1055</v>
      </c>
      <c r="J1227" s="425" t="s">
        <v>697</v>
      </c>
      <c r="K1227" s="425" t="s">
        <v>995</v>
      </c>
      <c r="L1227" s="425" t="s">
        <v>996</v>
      </c>
      <c r="M1227" s="425" t="s">
        <v>997</v>
      </c>
      <c r="N1227" s="425" t="s">
        <v>558</v>
      </c>
      <c r="O1227" s="425" t="s">
        <v>998</v>
      </c>
      <c r="P1227" s="425" t="s">
        <v>999</v>
      </c>
      <c r="Q1227" s="425" t="s">
        <v>1000</v>
      </c>
      <c r="R1227" s="425" t="s">
        <v>1001</v>
      </c>
      <c r="S1227" s="425" t="s">
        <v>1002</v>
      </c>
      <c r="T1227" s="423">
        <v>500</v>
      </c>
      <c r="U1227" s="423" t="s">
        <v>1041</v>
      </c>
      <c r="V1227" s="423">
        <v>25</v>
      </c>
      <c r="W1227" s="423">
        <v>1.25</v>
      </c>
      <c r="X1227" s="423" t="s">
        <v>1041</v>
      </c>
      <c r="Y1227" s="423" t="s">
        <v>1041</v>
      </c>
      <c r="Z1227" s="423" t="s">
        <v>1004</v>
      </c>
      <c r="AD1227" s="423">
        <f>IF(ISNUMBER(MATCH(B1227,'FICHA SOLIC'!$AB$26:$AB$376,0)),1,0)</f>
        <v>1</v>
      </c>
      <c r="AE1227" s="423" t="str">
        <f t="shared" si="19"/>
        <v>Puente AltoE(i)3</v>
      </c>
    </row>
    <row r="1228" spans="1:31" x14ac:dyDescent="0.25">
      <c r="A1228" s="423">
        <v>1227</v>
      </c>
      <c r="B1228" s="423" t="s">
        <v>435</v>
      </c>
      <c r="C1228" s="423" t="s">
        <v>1293</v>
      </c>
      <c r="D1228" s="425" t="s">
        <v>990</v>
      </c>
      <c r="E1228" s="425" t="s">
        <v>991</v>
      </c>
      <c r="F1228" s="425" t="s">
        <v>992</v>
      </c>
      <c r="G1228" s="425" t="s">
        <v>1054</v>
      </c>
      <c r="H1228" s="426" t="s">
        <v>699</v>
      </c>
      <c r="I1228" s="425" t="s">
        <v>1055</v>
      </c>
      <c r="J1228" s="425" t="s">
        <v>697</v>
      </c>
      <c r="K1228" s="425" t="s">
        <v>995</v>
      </c>
      <c r="L1228" s="425" t="s">
        <v>996</v>
      </c>
      <c r="M1228" s="425" t="s">
        <v>997</v>
      </c>
      <c r="N1228" s="425" t="s">
        <v>558</v>
      </c>
      <c r="O1228" s="425" t="s">
        <v>998</v>
      </c>
      <c r="P1228" s="425" t="s">
        <v>999</v>
      </c>
      <c r="Q1228" s="425" t="s">
        <v>1000</v>
      </c>
      <c r="R1228" s="425" t="s">
        <v>1001</v>
      </c>
      <c r="S1228" s="425" t="s">
        <v>1002</v>
      </c>
      <c r="T1228" s="423">
        <v>500</v>
      </c>
      <c r="U1228" s="423" t="s">
        <v>1041</v>
      </c>
      <c r="V1228" s="423">
        <v>40</v>
      </c>
      <c r="W1228" s="423">
        <v>1.25</v>
      </c>
      <c r="X1228" s="423" t="s">
        <v>1041</v>
      </c>
      <c r="Y1228" s="423" t="s">
        <v>1041</v>
      </c>
      <c r="Z1228" s="423" t="s">
        <v>1004</v>
      </c>
      <c r="AD1228" s="423">
        <f>IF(ISNUMBER(MATCH(B1228,'FICHA SOLIC'!$AB$26:$AB$376,0)),1,0)</f>
        <v>1</v>
      </c>
      <c r="AE1228" s="423" t="str">
        <f t="shared" si="19"/>
        <v>Puente AltoE(i)4</v>
      </c>
    </row>
    <row r="1229" spans="1:31" x14ac:dyDescent="0.25">
      <c r="A1229" s="423">
        <v>1228</v>
      </c>
      <c r="B1229" s="423" t="s">
        <v>435</v>
      </c>
      <c r="C1229" s="423" t="s">
        <v>1282</v>
      </c>
      <c r="D1229" s="425" t="s">
        <v>990</v>
      </c>
      <c r="E1229" s="425" t="s">
        <v>991</v>
      </c>
      <c r="F1229" s="425" t="s">
        <v>992</v>
      </c>
      <c r="G1229" s="425" t="s">
        <v>1054</v>
      </c>
      <c r="H1229" s="426" t="s">
        <v>699</v>
      </c>
      <c r="I1229" s="425" t="s">
        <v>1055</v>
      </c>
      <c r="J1229" s="425" t="s">
        <v>697</v>
      </c>
      <c r="K1229" s="425" t="s">
        <v>995</v>
      </c>
      <c r="L1229" s="425" t="s">
        <v>996</v>
      </c>
      <c r="M1229" s="425" t="s">
        <v>997</v>
      </c>
      <c r="N1229" s="425" t="s">
        <v>558</v>
      </c>
      <c r="O1229" s="425" t="s">
        <v>998</v>
      </c>
      <c r="P1229" s="425" t="s">
        <v>999</v>
      </c>
      <c r="Q1229" s="425" t="s">
        <v>1000</v>
      </c>
      <c r="R1229" s="425" t="s">
        <v>1001</v>
      </c>
      <c r="S1229" s="425" t="s">
        <v>1002</v>
      </c>
      <c r="T1229" s="423">
        <v>150</v>
      </c>
      <c r="U1229" s="423" t="s">
        <v>1041</v>
      </c>
      <c r="V1229" s="423">
        <v>50</v>
      </c>
      <c r="W1229" s="423">
        <v>0.96</v>
      </c>
      <c r="X1229" s="423" t="s">
        <v>1041</v>
      </c>
      <c r="Y1229" s="423" t="s">
        <v>1041</v>
      </c>
      <c r="Z1229" s="423" t="s">
        <v>1171</v>
      </c>
      <c r="AD1229" s="423">
        <f>IF(ISNUMBER(MATCH(B1229,'FICHA SOLIC'!$AB$26:$AB$376,0)),1,0)</f>
        <v>1</v>
      </c>
      <c r="AE1229" s="423" t="str">
        <f t="shared" si="19"/>
        <v>Puente AltoH1</v>
      </c>
    </row>
    <row r="1230" spans="1:31" x14ac:dyDescent="0.25">
      <c r="A1230" s="423">
        <v>1229</v>
      </c>
      <c r="B1230" s="423" t="s">
        <v>435</v>
      </c>
      <c r="C1230" s="423" t="s">
        <v>1283</v>
      </c>
      <c r="D1230" s="425" t="s">
        <v>990</v>
      </c>
      <c r="E1230" s="425" t="s">
        <v>991</v>
      </c>
      <c r="F1230" s="425" t="s">
        <v>992</v>
      </c>
      <c r="G1230" s="425" t="s">
        <v>1054</v>
      </c>
      <c r="H1230" s="426" t="s">
        <v>699</v>
      </c>
      <c r="I1230" s="425" t="s">
        <v>1055</v>
      </c>
      <c r="J1230" s="425" t="s">
        <v>697</v>
      </c>
      <c r="K1230" s="425" t="s">
        <v>995</v>
      </c>
      <c r="L1230" s="425" t="s">
        <v>996</v>
      </c>
      <c r="M1230" s="425" t="s">
        <v>997</v>
      </c>
      <c r="N1230" s="425" t="s">
        <v>558</v>
      </c>
      <c r="O1230" s="425" t="s">
        <v>998</v>
      </c>
      <c r="P1230" s="425" t="s">
        <v>999</v>
      </c>
      <c r="Q1230" s="425" t="s">
        <v>1000</v>
      </c>
      <c r="R1230" s="425" t="s">
        <v>1001</v>
      </c>
      <c r="S1230" s="425" t="s">
        <v>1002</v>
      </c>
      <c r="T1230" s="423">
        <v>200</v>
      </c>
      <c r="U1230" s="423" t="s">
        <v>1041</v>
      </c>
      <c r="V1230" s="423">
        <v>40</v>
      </c>
      <c r="W1230" s="423">
        <v>0.8</v>
      </c>
      <c r="X1230" s="423" t="s">
        <v>1041</v>
      </c>
      <c r="Y1230" s="423" t="s">
        <v>1041</v>
      </c>
      <c r="Z1230" s="423" t="s">
        <v>1171</v>
      </c>
      <c r="AD1230" s="423">
        <f>IF(ISNUMBER(MATCH(B1230,'FICHA SOLIC'!$AB$26:$AB$376,0)),1,0)</f>
        <v>1</v>
      </c>
      <c r="AE1230" s="423" t="str">
        <f t="shared" si="19"/>
        <v>Puente AltoH2</v>
      </c>
    </row>
    <row r="1231" spans="1:31" x14ac:dyDescent="0.25">
      <c r="A1231" s="423">
        <v>1230</v>
      </c>
      <c r="B1231" s="423" t="s">
        <v>435</v>
      </c>
      <c r="C1231" s="423" t="s">
        <v>1284</v>
      </c>
      <c r="D1231" s="425" t="s">
        <v>990</v>
      </c>
      <c r="E1231" s="425" t="s">
        <v>991</v>
      </c>
      <c r="F1231" s="425" t="s">
        <v>992</v>
      </c>
      <c r="G1231" s="425" t="s">
        <v>1054</v>
      </c>
      <c r="H1231" s="426" t="s">
        <v>699</v>
      </c>
      <c r="I1231" s="425" t="s">
        <v>1055</v>
      </c>
      <c r="J1231" s="425" t="s">
        <v>697</v>
      </c>
      <c r="K1231" s="425" t="s">
        <v>995</v>
      </c>
      <c r="L1231" s="425" t="s">
        <v>996</v>
      </c>
      <c r="M1231" s="425" t="s">
        <v>997</v>
      </c>
      <c r="N1231" s="425" t="s">
        <v>558</v>
      </c>
      <c r="O1231" s="425" t="s">
        <v>998</v>
      </c>
      <c r="P1231" s="425" t="s">
        <v>999</v>
      </c>
      <c r="Q1231" s="425" t="s">
        <v>1000</v>
      </c>
      <c r="R1231" s="425" t="s">
        <v>1001</v>
      </c>
      <c r="S1231" s="425" t="s">
        <v>1002</v>
      </c>
      <c r="T1231" s="423">
        <v>200</v>
      </c>
      <c r="U1231" s="423" t="s">
        <v>1041</v>
      </c>
      <c r="V1231" s="423">
        <v>40</v>
      </c>
      <c r="W1231" s="423">
        <v>0.7</v>
      </c>
      <c r="X1231" s="423" t="s">
        <v>1041</v>
      </c>
      <c r="Y1231" s="423" t="s">
        <v>1041</v>
      </c>
      <c r="Z1231" s="423" t="s">
        <v>1171</v>
      </c>
      <c r="AD1231" s="423">
        <f>IF(ISNUMBER(MATCH(B1231,'FICHA SOLIC'!$AB$26:$AB$376,0)),1,0)</f>
        <v>1</v>
      </c>
      <c r="AE1231" s="423" t="str">
        <f t="shared" si="19"/>
        <v>Puente AltoH3</v>
      </c>
    </row>
    <row r="1232" spans="1:31" x14ac:dyDescent="0.25">
      <c r="A1232" s="423">
        <v>1231</v>
      </c>
      <c r="B1232" s="423" t="s">
        <v>435</v>
      </c>
      <c r="C1232" s="423" t="s">
        <v>1285</v>
      </c>
      <c r="D1232" s="425" t="s">
        <v>990</v>
      </c>
      <c r="E1232" s="425" t="s">
        <v>991</v>
      </c>
      <c r="F1232" s="425" t="s">
        <v>992</v>
      </c>
      <c r="G1232" s="425" t="s">
        <v>1054</v>
      </c>
      <c r="H1232" s="426" t="s">
        <v>699</v>
      </c>
      <c r="I1232" s="425" t="s">
        <v>1055</v>
      </c>
      <c r="J1232" s="425" t="s">
        <v>697</v>
      </c>
      <c r="K1232" s="425" t="s">
        <v>995</v>
      </c>
      <c r="L1232" s="425" t="s">
        <v>996</v>
      </c>
      <c r="M1232" s="425" t="s">
        <v>997</v>
      </c>
      <c r="N1232" s="425" t="s">
        <v>558</v>
      </c>
      <c r="O1232" s="425" t="s">
        <v>998</v>
      </c>
      <c r="P1232" s="425" t="s">
        <v>999</v>
      </c>
      <c r="Q1232" s="425" t="s">
        <v>1000</v>
      </c>
      <c r="R1232" s="425" t="s">
        <v>1001</v>
      </c>
      <c r="S1232" s="425" t="s">
        <v>1002</v>
      </c>
      <c r="T1232" s="423">
        <v>150</v>
      </c>
      <c r="U1232" s="423" t="s">
        <v>1041</v>
      </c>
      <c r="V1232" s="423">
        <v>50</v>
      </c>
      <c r="W1232" s="423">
        <v>1.6</v>
      </c>
      <c r="X1232" s="423" t="s">
        <v>1041</v>
      </c>
      <c r="Y1232" s="423" t="s">
        <v>1041</v>
      </c>
      <c r="Z1232" s="423" t="s">
        <v>1171</v>
      </c>
      <c r="AD1232" s="423">
        <f>IF(ISNUMBER(MATCH(B1232,'FICHA SOLIC'!$AB$26:$AB$376,0)),1,0)</f>
        <v>1</v>
      </c>
      <c r="AE1232" s="423" t="str">
        <f t="shared" si="19"/>
        <v>Puente AltoH4</v>
      </c>
    </row>
    <row r="1233" spans="1:31" x14ac:dyDescent="0.25">
      <c r="A1233" s="423">
        <v>1232</v>
      </c>
      <c r="B1233" s="423" t="s">
        <v>435</v>
      </c>
      <c r="C1233" s="423" t="s">
        <v>1286</v>
      </c>
      <c r="D1233" s="425" t="s">
        <v>990</v>
      </c>
      <c r="E1233" s="425" t="s">
        <v>991</v>
      </c>
      <c r="F1233" s="425" t="s">
        <v>992</v>
      </c>
      <c r="G1233" s="425" t="s">
        <v>1054</v>
      </c>
      <c r="H1233" s="426" t="s">
        <v>699</v>
      </c>
      <c r="I1233" s="425" t="s">
        <v>1055</v>
      </c>
      <c r="J1233" s="425" t="s">
        <v>697</v>
      </c>
      <c r="K1233" s="425" t="s">
        <v>995</v>
      </c>
      <c r="L1233" s="425" t="s">
        <v>996</v>
      </c>
      <c r="M1233" s="425" t="s">
        <v>997</v>
      </c>
      <c r="N1233" s="425" t="s">
        <v>558</v>
      </c>
      <c r="O1233" s="425" t="s">
        <v>998</v>
      </c>
      <c r="P1233" s="425" t="s">
        <v>999</v>
      </c>
      <c r="Q1233" s="425" t="s">
        <v>1000</v>
      </c>
      <c r="R1233" s="425" t="s">
        <v>1001</v>
      </c>
      <c r="S1233" s="425" t="s">
        <v>1002</v>
      </c>
      <c r="T1233" s="423">
        <v>300</v>
      </c>
      <c r="U1233" s="423" t="s">
        <v>1041</v>
      </c>
      <c r="V1233" s="423">
        <v>40</v>
      </c>
      <c r="W1233" s="423">
        <v>0.7</v>
      </c>
      <c r="X1233" s="423">
        <v>10.5</v>
      </c>
      <c r="Y1233" s="423" t="s">
        <v>1041</v>
      </c>
      <c r="Z1233" s="423" t="s">
        <v>1174</v>
      </c>
      <c r="AD1233" s="423">
        <f>IF(ISNUMBER(MATCH(B1233,'FICHA SOLIC'!$AB$26:$AB$376,0)),1,0)</f>
        <v>1</v>
      </c>
      <c r="AE1233" s="423" t="str">
        <f t="shared" si="19"/>
        <v>Puente AltoH5</v>
      </c>
    </row>
    <row r="1234" spans="1:31" x14ac:dyDescent="0.25">
      <c r="A1234" s="423">
        <v>1233</v>
      </c>
      <c r="B1234" s="423" t="s">
        <v>435</v>
      </c>
      <c r="C1234" s="423" t="s">
        <v>1287</v>
      </c>
      <c r="D1234" s="425" t="s">
        <v>990</v>
      </c>
      <c r="E1234" s="425" t="s">
        <v>991</v>
      </c>
      <c r="F1234" s="425" t="s">
        <v>992</v>
      </c>
      <c r="G1234" s="425" t="s">
        <v>1054</v>
      </c>
      <c r="H1234" s="426" t="s">
        <v>699</v>
      </c>
      <c r="I1234" s="425" t="s">
        <v>1055</v>
      </c>
      <c r="J1234" s="425" t="s">
        <v>697</v>
      </c>
      <c r="K1234" s="425" t="s">
        <v>995</v>
      </c>
      <c r="L1234" s="425" t="s">
        <v>996</v>
      </c>
      <c r="M1234" s="425" t="s">
        <v>997</v>
      </c>
      <c r="N1234" s="425" t="s">
        <v>558</v>
      </c>
      <c r="O1234" s="425" t="s">
        <v>998</v>
      </c>
      <c r="P1234" s="425" t="s">
        <v>999</v>
      </c>
      <c r="Q1234" s="425" t="s">
        <v>1000</v>
      </c>
      <c r="R1234" s="425" t="s">
        <v>1001</v>
      </c>
      <c r="S1234" s="425" t="s">
        <v>1002</v>
      </c>
      <c r="T1234" s="423">
        <v>450</v>
      </c>
      <c r="U1234" s="423" t="s">
        <v>1041</v>
      </c>
      <c r="V1234" s="423">
        <v>40</v>
      </c>
      <c r="W1234" s="423">
        <v>1</v>
      </c>
      <c r="X1234" s="423">
        <v>12</v>
      </c>
      <c r="Y1234" s="423" t="s">
        <v>1041</v>
      </c>
      <c r="Z1234" s="423" t="s">
        <v>1174</v>
      </c>
      <c r="AD1234" s="423">
        <f>IF(ISNUMBER(MATCH(B1234,'FICHA SOLIC'!$AB$26:$AB$376,0)),1,0)</f>
        <v>1</v>
      </c>
      <c r="AE1234" s="423" t="str">
        <f t="shared" si="19"/>
        <v>Puente AltoH6</v>
      </c>
    </row>
    <row r="1235" spans="1:31" x14ac:dyDescent="0.25">
      <c r="A1235" s="423">
        <v>1234</v>
      </c>
      <c r="B1235" s="423" t="s">
        <v>435</v>
      </c>
      <c r="C1235" s="423" t="s">
        <v>1289</v>
      </c>
      <c r="D1235" s="425" t="s">
        <v>990</v>
      </c>
      <c r="E1235" s="425" t="s">
        <v>991</v>
      </c>
      <c r="F1235" s="425" t="s">
        <v>992</v>
      </c>
      <c r="G1235" s="425" t="s">
        <v>1054</v>
      </c>
      <c r="H1235" s="426" t="s">
        <v>699</v>
      </c>
      <c r="I1235" s="425" t="s">
        <v>1055</v>
      </c>
      <c r="J1235" s="425" t="s">
        <v>697</v>
      </c>
      <c r="K1235" s="425" t="s">
        <v>995</v>
      </c>
      <c r="L1235" s="425" t="s">
        <v>996</v>
      </c>
      <c r="M1235" s="425" t="s">
        <v>997</v>
      </c>
      <c r="N1235" s="425" t="s">
        <v>558</v>
      </c>
      <c r="O1235" s="425" t="s">
        <v>998</v>
      </c>
      <c r="P1235" s="425" t="s">
        <v>999</v>
      </c>
      <c r="Q1235" s="425" t="s">
        <v>1000</v>
      </c>
      <c r="R1235" s="425" t="s">
        <v>1001</v>
      </c>
      <c r="S1235" s="425" t="s">
        <v>1002</v>
      </c>
      <c r="T1235" s="423">
        <v>600</v>
      </c>
      <c r="U1235" s="423" t="s">
        <v>1041</v>
      </c>
      <c r="V1235" s="423">
        <v>40</v>
      </c>
      <c r="W1235" s="423">
        <v>1.5</v>
      </c>
      <c r="X1235" s="423" t="s">
        <v>1041</v>
      </c>
      <c r="Y1235" s="423" t="s">
        <v>1041</v>
      </c>
      <c r="Z1235" s="423" t="s">
        <v>1174</v>
      </c>
      <c r="AD1235" s="423">
        <f>IF(ISNUMBER(MATCH(B1235,'FICHA SOLIC'!$AB$26:$AB$376,0)),1,0)</f>
        <v>1</v>
      </c>
      <c r="AE1235" s="423" t="str">
        <f t="shared" si="19"/>
        <v>Puente AltoHE(m)1</v>
      </c>
    </row>
    <row r="1236" spans="1:31" x14ac:dyDescent="0.25">
      <c r="A1236" s="423">
        <v>1235</v>
      </c>
      <c r="B1236" s="423" t="s">
        <v>435</v>
      </c>
      <c r="C1236" s="423" t="s">
        <v>1290</v>
      </c>
      <c r="D1236" s="425" t="s">
        <v>990</v>
      </c>
      <c r="E1236" s="425" t="s">
        <v>991</v>
      </c>
      <c r="F1236" s="425" t="s">
        <v>992</v>
      </c>
      <c r="G1236" s="425" t="s">
        <v>1054</v>
      </c>
      <c r="H1236" s="426" t="s">
        <v>699</v>
      </c>
      <c r="I1236" s="425" t="s">
        <v>1055</v>
      </c>
      <c r="J1236" s="425" t="s">
        <v>697</v>
      </c>
      <c r="K1236" s="425" t="s">
        <v>995</v>
      </c>
      <c r="L1236" s="425" t="s">
        <v>996</v>
      </c>
      <c r="M1236" s="425" t="s">
        <v>997</v>
      </c>
      <c r="N1236" s="425" t="s">
        <v>558</v>
      </c>
      <c r="O1236" s="425" t="s">
        <v>998</v>
      </c>
      <c r="P1236" s="425" t="s">
        <v>999</v>
      </c>
      <c r="Q1236" s="425" t="s">
        <v>1000</v>
      </c>
      <c r="R1236" s="425" t="s">
        <v>1001</v>
      </c>
      <c r="S1236" s="425" t="s">
        <v>1002</v>
      </c>
      <c r="T1236" s="423">
        <v>600</v>
      </c>
      <c r="U1236" s="423" t="s">
        <v>1041</v>
      </c>
      <c r="V1236" s="423">
        <v>40</v>
      </c>
      <c r="W1236" s="423">
        <v>1.2</v>
      </c>
      <c r="X1236" s="423" t="s">
        <v>1041</v>
      </c>
      <c r="Y1236" s="423" t="s">
        <v>1041</v>
      </c>
      <c r="Z1236" s="423" t="s">
        <v>1174</v>
      </c>
      <c r="AD1236" s="423">
        <f>IF(ISNUMBER(MATCH(B1236,'FICHA SOLIC'!$AB$26:$AB$376,0)),1,0)</f>
        <v>1</v>
      </c>
      <c r="AE1236" s="423" t="str">
        <f t="shared" si="19"/>
        <v>Puente AltoHE(m)2</v>
      </c>
    </row>
    <row r="1237" spans="1:31" x14ac:dyDescent="0.25">
      <c r="A1237" s="423">
        <v>1236</v>
      </c>
      <c r="B1237" s="423" t="s">
        <v>435</v>
      </c>
      <c r="C1237" s="423" t="s">
        <v>1288</v>
      </c>
      <c r="D1237" s="425" t="s">
        <v>990</v>
      </c>
      <c r="E1237" s="425" t="s">
        <v>991</v>
      </c>
      <c r="F1237" s="425" t="s">
        <v>992</v>
      </c>
      <c r="G1237" s="425" t="s">
        <v>1054</v>
      </c>
      <c r="H1237" s="426" t="s">
        <v>699</v>
      </c>
      <c r="I1237" s="425" t="s">
        <v>1055</v>
      </c>
      <c r="J1237" s="425" t="s">
        <v>697</v>
      </c>
      <c r="K1237" s="425" t="s">
        <v>995</v>
      </c>
      <c r="L1237" s="425" t="s">
        <v>996</v>
      </c>
      <c r="M1237" s="425" t="s">
        <v>997</v>
      </c>
      <c r="N1237" s="425" t="s">
        <v>558</v>
      </c>
      <c r="O1237" s="425" t="s">
        <v>998</v>
      </c>
      <c r="P1237" s="425" t="s">
        <v>999</v>
      </c>
      <c r="Q1237" s="425" t="s">
        <v>1000</v>
      </c>
      <c r="R1237" s="425" t="s">
        <v>1001</v>
      </c>
      <c r="S1237" s="425" t="s">
        <v>1002</v>
      </c>
      <c r="T1237" s="423">
        <v>800</v>
      </c>
      <c r="U1237" s="423" t="s">
        <v>1041</v>
      </c>
      <c r="V1237" s="423">
        <v>30</v>
      </c>
      <c r="W1237" s="423">
        <v>0.4</v>
      </c>
      <c r="X1237" s="423" t="s">
        <v>1041</v>
      </c>
      <c r="Y1237" s="423" t="s">
        <v>1041</v>
      </c>
      <c r="Z1237" s="423" t="s">
        <v>1004</v>
      </c>
      <c r="AD1237" s="423">
        <f>IF(ISNUMBER(MATCH(B1237,'FICHA SOLIC'!$AB$26:$AB$376,0)),1,0)</f>
        <v>1</v>
      </c>
      <c r="AE1237" s="423" t="str">
        <f t="shared" si="19"/>
        <v>Puente AltoHET1</v>
      </c>
    </row>
    <row r="1238" spans="1:31" x14ac:dyDescent="0.25">
      <c r="A1238" s="423">
        <v>1237</v>
      </c>
      <c r="B1238" s="423" t="s">
        <v>435</v>
      </c>
      <c r="C1238" s="423" t="s">
        <v>1298</v>
      </c>
      <c r="D1238" s="425" t="s">
        <v>990</v>
      </c>
      <c r="E1238" s="425" t="s">
        <v>991</v>
      </c>
      <c r="F1238" s="425" t="s">
        <v>992</v>
      </c>
      <c r="G1238" s="425" t="s">
        <v>1054</v>
      </c>
      <c r="H1238" s="426" t="s">
        <v>699</v>
      </c>
      <c r="I1238" s="425" t="s">
        <v>1055</v>
      </c>
      <c r="J1238" s="425" t="s">
        <v>697</v>
      </c>
      <c r="K1238" s="425" t="s">
        <v>995</v>
      </c>
      <c r="L1238" s="425" t="s">
        <v>996</v>
      </c>
      <c r="M1238" s="425" t="s">
        <v>997</v>
      </c>
      <c r="N1238" s="425" t="s">
        <v>558</v>
      </c>
      <c r="O1238" s="425" t="s">
        <v>998</v>
      </c>
      <c r="P1238" s="425" t="s">
        <v>999</v>
      </c>
      <c r="Q1238" s="425" t="s">
        <v>1000</v>
      </c>
      <c r="R1238" s="425" t="s">
        <v>1001</v>
      </c>
      <c r="S1238" s="425" t="s">
        <v>1002</v>
      </c>
      <c r="T1238" s="423">
        <v>500</v>
      </c>
      <c r="U1238" s="423" t="s">
        <v>1041</v>
      </c>
      <c r="V1238" s="423">
        <v>30</v>
      </c>
      <c r="W1238" s="423">
        <v>1</v>
      </c>
      <c r="X1238" s="423">
        <v>12</v>
      </c>
      <c r="Y1238" s="423">
        <v>5</v>
      </c>
      <c r="Z1238" s="423" t="s">
        <v>1058</v>
      </c>
      <c r="AD1238" s="423">
        <f>IF(ISNUMBER(MATCH(B1238,'FICHA SOLIC'!$AB$26:$AB$376,0)),1,0)</f>
        <v>1</v>
      </c>
      <c r="AE1238" s="423" t="str">
        <f t="shared" si="19"/>
        <v>Puente AltoII</v>
      </c>
    </row>
    <row r="1239" spans="1:31" x14ac:dyDescent="0.25">
      <c r="A1239" s="423">
        <v>1238</v>
      </c>
      <c r="B1239" s="423" t="s">
        <v>435</v>
      </c>
      <c r="C1239" s="423" t="s">
        <v>1296</v>
      </c>
      <c r="D1239" s="425" t="s">
        <v>990</v>
      </c>
      <c r="E1239" s="425" t="s">
        <v>991</v>
      </c>
      <c r="F1239" s="425" t="s">
        <v>992</v>
      </c>
      <c r="G1239" s="425" t="s">
        <v>1054</v>
      </c>
      <c r="H1239" s="426" t="s">
        <v>699</v>
      </c>
      <c r="I1239" s="425" t="s">
        <v>1055</v>
      </c>
      <c r="J1239" s="425" t="s">
        <v>697</v>
      </c>
      <c r="K1239" s="425" t="s">
        <v>995</v>
      </c>
      <c r="L1239" s="425" t="s">
        <v>996</v>
      </c>
      <c r="M1239" s="425" t="s">
        <v>997</v>
      </c>
      <c r="N1239" s="425" t="s">
        <v>558</v>
      </c>
      <c r="O1239" s="425" t="s">
        <v>998</v>
      </c>
      <c r="P1239" s="425" t="s">
        <v>999</v>
      </c>
      <c r="Q1239" s="425" t="s">
        <v>1000</v>
      </c>
      <c r="R1239" s="425" t="s">
        <v>1001</v>
      </c>
      <c r="S1239" s="425" t="s">
        <v>1002</v>
      </c>
      <c r="T1239" s="423">
        <v>1000</v>
      </c>
      <c r="U1239" s="423" t="s">
        <v>1041</v>
      </c>
      <c r="V1239" s="423">
        <v>60</v>
      </c>
      <c r="W1239" s="423">
        <v>1.2</v>
      </c>
      <c r="X1239" s="423">
        <v>12</v>
      </c>
      <c r="Y1239" s="423" t="s">
        <v>1041</v>
      </c>
      <c r="Z1239" s="423" t="s">
        <v>1058</v>
      </c>
      <c r="AD1239" s="423">
        <f>IF(ISNUMBER(MATCH(B1239,'FICHA SOLIC'!$AB$26:$AB$376,0)),1,0)</f>
        <v>1</v>
      </c>
      <c r="AE1239" s="423" t="str">
        <f t="shared" si="19"/>
        <v>Puente AltoIM1</v>
      </c>
    </row>
    <row r="1240" spans="1:31" x14ac:dyDescent="0.25">
      <c r="A1240" s="423">
        <v>1239</v>
      </c>
      <c r="B1240" s="423" t="s">
        <v>435</v>
      </c>
      <c r="C1240" s="423" t="s">
        <v>1297</v>
      </c>
      <c r="D1240" s="425" t="s">
        <v>990</v>
      </c>
      <c r="E1240" s="425" t="s">
        <v>991</v>
      </c>
      <c r="F1240" s="425" t="s">
        <v>992</v>
      </c>
      <c r="G1240" s="425" t="s">
        <v>1054</v>
      </c>
      <c r="H1240" s="426" t="s">
        <v>699</v>
      </c>
      <c r="I1240" s="425" t="s">
        <v>1055</v>
      </c>
      <c r="J1240" s="425" t="s">
        <v>697</v>
      </c>
      <c r="K1240" s="425" t="s">
        <v>995</v>
      </c>
      <c r="L1240" s="425" t="s">
        <v>996</v>
      </c>
      <c r="M1240" s="425" t="s">
        <v>997</v>
      </c>
      <c r="N1240" s="425" t="s">
        <v>558</v>
      </c>
      <c r="O1240" s="425" t="s">
        <v>998</v>
      </c>
      <c r="P1240" s="425" t="s">
        <v>999</v>
      </c>
      <c r="Q1240" s="425" t="s">
        <v>1000</v>
      </c>
      <c r="R1240" s="425" t="s">
        <v>1001</v>
      </c>
      <c r="S1240" s="425" t="s">
        <v>1002</v>
      </c>
      <c r="T1240" s="423">
        <v>500</v>
      </c>
      <c r="U1240" s="423" t="s">
        <v>1041</v>
      </c>
      <c r="V1240" s="423">
        <v>70</v>
      </c>
      <c r="W1240" s="423">
        <v>1</v>
      </c>
      <c r="X1240" s="423" t="s">
        <v>1041</v>
      </c>
      <c r="Y1240" s="423" t="s">
        <v>1041</v>
      </c>
      <c r="Z1240" s="423" t="s">
        <v>1058</v>
      </c>
      <c r="AD1240" s="423">
        <f>IF(ISNUMBER(MATCH(B1240,'FICHA SOLIC'!$AB$26:$AB$376,0)),1,0)</f>
        <v>1</v>
      </c>
      <c r="AE1240" s="423" t="str">
        <f t="shared" si="19"/>
        <v>Puente AltoIM2</v>
      </c>
    </row>
    <row r="1241" spans="1:31" x14ac:dyDescent="0.25">
      <c r="A1241" s="423">
        <v>1240</v>
      </c>
      <c r="B1241" s="423" t="s">
        <v>435</v>
      </c>
      <c r="C1241" s="423" t="s">
        <v>1301</v>
      </c>
      <c r="D1241" s="425" t="s">
        <v>990</v>
      </c>
      <c r="E1241" s="425" t="s">
        <v>991</v>
      </c>
      <c r="F1241" s="425" t="s">
        <v>992</v>
      </c>
      <c r="G1241" s="425" t="s">
        <v>1054</v>
      </c>
      <c r="H1241" s="426" t="s">
        <v>699</v>
      </c>
      <c r="I1241" s="425" t="s">
        <v>1055</v>
      </c>
      <c r="J1241" s="425" t="s">
        <v>697</v>
      </c>
      <c r="K1241" s="425" t="s">
        <v>995</v>
      </c>
      <c r="L1241" s="425" t="s">
        <v>996</v>
      </c>
      <c r="M1241" s="425" t="s">
        <v>997</v>
      </c>
      <c r="N1241" s="425" t="s">
        <v>558</v>
      </c>
      <c r="O1241" s="425" t="s">
        <v>998</v>
      </c>
      <c r="P1241" s="425" t="s">
        <v>999</v>
      </c>
      <c r="Q1241" s="425" t="s">
        <v>1000</v>
      </c>
      <c r="R1241" s="425" t="s">
        <v>1001</v>
      </c>
      <c r="S1241" s="425" t="s">
        <v>1002</v>
      </c>
      <c r="T1241" s="423" t="s">
        <v>1097</v>
      </c>
      <c r="U1241" s="423" t="s">
        <v>1097</v>
      </c>
      <c r="V1241" s="423" t="s">
        <v>1097</v>
      </c>
      <c r="W1241" s="423" t="s">
        <v>1097</v>
      </c>
      <c r="X1241" s="423" t="s">
        <v>1097</v>
      </c>
      <c r="Y1241" s="423" t="s">
        <v>1097</v>
      </c>
      <c r="Z1241" s="423" t="s">
        <v>1097</v>
      </c>
      <c r="AD1241" s="423">
        <f>IF(ISNUMBER(MATCH(B1241,'FICHA SOLIC'!$AB$26:$AB$376,0)),1,0)</f>
        <v>1</v>
      </c>
      <c r="AE1241" s="423" t="str">
        <f t="shared" si="19"/>
        <v>Puente AltoINF-2</v>
      </c>
    </row>
    <row r="1242" spans="1:31" x14ac:dyDescent="0.25">
      <c r="A1242" s="423">
        <v>1241</v>
      </c>
      <c r="B1242" s="423" t="s">
        <v>435</v>
      </c>
      <c r="C1242" s="423" t="s">
        <v>1299</v>
      </c>
      <c r="D1242" s="425" t="s">
        <v>990</v>
      </c>
      <c r="E1242" s="425" t="s">
        <v>991</v>
      </c>
      <c r="F1242" s="425" t="s">
        <v>992</v>
      </c>
      <c r="G1242" s="425" t="s">
        <v>1054</v>
      </c>
      <c r="H1242" s="426" t="s">
        <v>699</v>
      </c>
      <c r="I1242" s="425" t="s">
        <v>1055</v>
      </c>
      <c r="J1242" s="425" t="s">
        <v>697</v>
      </c>
      <c r="K1242" s="425" t="s">
        <v>995</v>
      </c>
      <c r="L1242" s="425" t="s">
        <v>996</v>
      </c>
      <c r="M1242" s="425" t="s">
        <v>997</v>
      </c>
      <c r="N1242" s="425" t="s">
        <v>558</v>
      </c>
      <c r="O1242" s="425" t="s">
        <v>998</v>
      </c>
      <c r="P1242" s="425" t="s">
        <v>999</v>
      </c>
      <c r="Q1242" s="425" t="s">
        <v>1000</v>
      </c>
      <c r="R1242" s="425" t="s">
        <v>1001</v>
      </c>
      <c r="S1242" s="425" t="s">
        <v>1002</v>
      </c>
      <c r="T1242" s="423" t="s">
        <v>1097</v>
      </c>
      <c r="U1242" s="423" t="s">
        <v>1097</v>
      </c>
      <c r="V1242" s="423" t="s">
        <v>1097</v>
      </c>
      <c r="W1242" s="423" t="s">
        <v>1097</v>
      </c>
      <c r="X1242" s="423" t="s">
        <v>1097</v>
      </c>
      <c r="Y1242" s="423" t="s">
        <v>1097</v>
      </c>
      <c r="Z1242" s="423" t="s">
        <v>1097</v>
      </c>
      <c r="AD1242" s="423">
        <f>IF(ISNUMBER(MATCH(B1242,'FICHA SOLIC'!$AB$26:$AB$376,0)),1,0)</f>
        <v>1</v>
      </c>
      <c r="AE1242" s="423" t="str">
        <f t="shared" si="19"/>
        <v>Puente AltoR2</v>
      </c>
    </row>
    <row r="1243" spans="1:31" x14ac:dyDescent="0.25">
      <c r="A1243" s="423">
        <v>1242</v>
      </c>
      <c r="B1243" s="423" t="s">
        <v>435</v>
      </c>
      <c r="C1243" s="423" t="s">
        <v>1300</v>
      </c>
      <c r="D1243" s="425" t="s">
        <v>990</v>
      </c>
      <c r="E1243" s="425" t="s">
        <v>991</v>
      </c>
      <c r="F1243" s="425" t="s">
        <v>992</v>
      </c>
      <c r="G1243" s="425" t="s">
        <v>1054</v>
      </c>
      <c r="H1243" s="426" t="s">
        <v>699</v>
      </c>
      <c r="I1243" s="425" t="s">
        <v>1055</v>
      </c>
      <c r="J1243" s="425" t="s">
        <v>697</v>
      </c>
      <c r="K1243" s="425" t="s">
        <v>995</v>
      </c>
      <c r="L1243" s="425" t="s">
        <v>996</v>
      </c>
      <c r="M1243" s="425" t="s">
        <v>997</v>
      </c>
      <c r="N1243" s="425" t="s">
        <v>558</v>
      </c>
      <c r="O1243" s="425" t="s">
        <v>998</v>
      </c>
      <c r="P1243" s="425" t="s">
        <v>999</v>
      </c>
      <c r="Q1243" s="425" t="s">
        <v>1000</v>
      </c>
      <c r="R1243" s="425" t="s">
        <v>1001</v>
      </c>
      <c r="S1243" s="425" t="s">
        <v>1002</v>
      </c>
      <c r="T1243" s="423" t="s">
        <v>1097</v>
      </c>
      <c r="U1243" s="423" t="s">
        <v>1097</v>
      </c>
      <c r="V1243" s="423" t="s">
        <v>1097</v>
      </c>
      <c r="W1243" s="423" t="s">
        <v>1097</v>
      </c>
      <c r="X1243" s="423" t="s">
        <v>1097</v>
      </c>
      <c r="Y1243" s="423" t="s">
        <v>1097</v>
      </c>
      <c r="Z1243" s="423" t="s">
        <v>1097</v>
      </c>
      <c r="AD1243" s="423">
        <f>IF(ISNUMBER(MATCH(B1243,'FICHA SOLIC'!$AB$26:$AB$376,0)),1,0)</f>
        <v>1</v>
      </c>
      <c r="AE1243" s="423" t="str">
        <f t="shared" si="19"/>
        <v>Puente AltoR3</v>
      </c>
    </row>
    <row r="1244" spans="1:31" x14ac:dyDescent="0.25">
      <c r="A1244" s="423">
        <v>1243</v>
      </c>
      <c r="B1244" s="423" t="s">
        <v>435</v>
      </c>
      <c r="C1244" s="423" t="s">
        <v>1280</v>
      </c>
      <c r="D1244" s="425" t="s">
        <v>990</v>
      </c>
      <c r="E1244" s="425" t="s">
        <v>991</v>
      </c>
      <c r="F1244" s="425" t="s">
        <v>992</v>
      </c>
      <c r="G1244" s="425" t="s">
        <v>1054</v>
      </c>
      <c r="H1244" s="426" t="s">
        <v>699</v>
      </c>
      <c r="I1244" s="425" t="s">
        <v>1055</v>
      </c>
      <c r="J1244" s="425" t="s">
        <v>697</v>
      </c>
      <c r="K1244" s="425" t="s">
        <v>995</v>
      </c>
      <c r="L1244" s="425" t="s">
        <v>996</v>
      </c>
      <c r="M1244" s="425" t="s">
        <v>997</v>
      </c>
      <c r="N1244" s="425" t="s">
        <v>558</v>
      </c>
      <c r="O1244" s="425" t="s">
        <v>998</v>
      </c>
      <c r="P1244" s="425" t="s">
        <v>999</v>
      </c>
      <c r="Q1244" s="425" t="s">
        <v>1000</v>
      </c>
      <c r="R1244" s="425" t="s">
        <v>1001</v>
      </c>
      <c r="S1244" s="425" t="s">
        <v>1002</v>
      </c>
      <c r="T1244" s="423" t="s">
        <v>1041</v>
      </c>
      <c r="U1244" s="423" t="s">
        <v>1041</v>
      </c>
      <c r="V1244" s="423" t="s">
        <v>1041</v>
      </c>
      <c r="W1244" s="423" t="s">
        <v>1041</v>
      </c>
      <c r="X1244" s="423" t="s">
        <v>1041</v>
      </c>
      <c r="Y1244" s="423" t="s">
        <v>1041</v>
      </c>
      <c r="Z1244" s="423" t="s">
        <v>1041</v>
      </c>
      <c r="AD1244" s="423">
        <f>IF(ISNUMBER(MATCH(B1244,'FICHA SOLIC'!$AB$26:$AB$376,0)),1,0)</f>
        <v>1</v>
      </c>
      <c r="AE1244" s="423" t="str">
        <f t="shared" si="19"/>
        <v>Puente AltoR4</v>
      </c>
    </row>
    <row r="1245" spans="1:31" x14ac:dyDescent="0.25">
      <c r="A1245" s="423">
        <v>1244</v>
      </c>
      <c r="B1245" s="423" t="s">
        <v>435</v>
      </c>
      <c r="C1245" s="423" t="s">
        <v>1278</v>
      </c>
      <c r="D1245" s="425" t="s">
        <v>990</v>
      </c>
      <c r="E1245" s="425" t="s">
        <v>991</v>
      </c>
      <c r="F1245" s="425" t="s">
        <v>992</v>
      </c>
      <c r="G1245" s="425" t="s">
        <v>1054</v>
      </c>
      <c r="H1245" s="426" t="s">
        <v>699</v>
      </c>
      <c r="I1245" s="425" t="s">
        <v>1055</v>
      </c>
      <c r="J1245" s="425" t="s">
        <v>697</v>
      </c>
      <c r="K1245" s="425" t="s">
        <v>995</v>
      </c>
      <c r="L1245" s="425" t="s">
        <v>996</v>
      </c>
      <c r="M1245" s="425" t="s">
        <v>997</v>
      </c>
      <c r="N1245" s="425" t="s">
        <v>558</v>
      </c>
      <c r="O1245" s="425" t="s">
        <v>998</v>
      </c>
      <c r="P1245" s="425" t="s">
        <v>999</v>
      </c>
      <c r="Q1245" s="425" t="s">
        <v>1000</v>
      </c>
      <c r="R1245" s="425" t="s">
        <v>1001</v>
      </c>
      <c r="S1245" s="425" t="s">
        <v>1002</v>
      </c>
      <c r="U1245" s="423" t="s">
        <v>1041</v>
      </c>
      <c r="Y1245" s="423" t="s">
        <v>1041</v>
      </c>
      <c r="AD1245" s="423">
        <f>IF(ISNUMBER(MATCH(B1245,'FICHA SOLIC'!$AB$26:$AB$376,0)),1,0)</f>
        <v>1</v>
      </c>
      <c r="AE1245" s="423" t="str">
        <f t="shared" si="19"/>
        <v>Puente AltoR5</v>
      </c>
    </row>
    <row r="1246" spans="1:31" x14ac:dyDescent="0.25">
      <c r="A1246" s="423">
        <v>1245</v>
      </c>
      <c r="B1246" s="423" t="s">
        <v>349</v>
      </c>
      <c r="C1246" s="423" t="s">
        <v>2436</v>
      </c>
      <c r="D1246" s="973" t="s">
        <v>990</v>
      </c>
      <c r="E1246" s="973" t="s">
        <v>991</v>
      </c>
      <c r="F1246" s="973" t="s">
        <v>992</v>
      </c>
      <c r="G1246" s="973" t="s">
        <v>1997</v>
      </c>
      <c r="H1246" s="973" t="s">
        <v>1998</v>
      </c>
      <c r="I1246" s="973" t="s">
        <v>1999</v>
      </c>
      <c r="J1246" s="973" t="s">
        <v>697</v>
      </c>
      <c r="K1246" s="973" t="s">
        <v>995</v>
      </c>
      <c r="L1246" s="973" t="s">
        <v>996</v>
      </c>
      <c r="M1246" s="973" t="s">
        <v>2000</v>
      </c>
      <c r="N1246" s="973" t="s">
        <v>2001</v>
      </c>
      <c r="O1246" s="973" t="s">
        <v>1971</v>
      </c>
      <c r="P1246" s="973" t="s">
        <v>999</v>
      </c>
      <c r="Q1246" s="973" t="s">
        <v>1000</v>
      </c>
      <c r="R1246" s="973" t="s">
        <v>1001</v>
      </c>
      <c r="S1246" s="973" t="s">
        <v>1002</v>
      </c>
      <c r="T1246" s="423">
        <v>1000</v>
      </c>
      <c r="U1246" s="423" t="s">
        <v>1041</v>
      </c>
      <c r="V1246" s="423">
        <v>0.5</v>
      </c>
      <c r="W1246" s="423">
        <v>1</v>
      </c>
      <c r="X1246" s="423" t="s">
        <v>2034</v>
      </c>
      <c r="Z1246" s="423" t="s">
        <v>1058</v>
      </c>
      <c r="AD1246" s="423">
        <f>IF(ISNUMBER(MATCH(B1246,'FICHA SOLIC'!$AB$26:$AB$376,0)),1,0)</f>
        <v>1</v>
      </c>
      <c r="AE1246" s="423" t="str">
        <f t="shared" si="19"/>
        <v>Puerto MonttAP-1</v>
      </c>
    </row>
    <row r="1247" spans="1:31" x14ac:dyDescent="0.25">
      <c r="A1247" s="423">
        <v>1246</v>
      </c>
      <c r="B1247" s="423" t="s">
        <v>349</v>
      </c>
      <c r="C1247" s="423" t="s">
        <v>2437</v>
      </c>
      <c r="D1247" s="973" t="s">
        <v>990</v>
      </c>
      <c r="E1247" s="973" t="s">
        <v>991</v>
      </c>
      <c r="F1247" s="973" t="s">
        <v>992</v>
      </c>
      <c r="G1247" s="973" t="s">
        <v>1997</v>
      </c>
      <c r="H1247" s="973" t="s">
        <v>1998</v>
      </c>
      <c r="I1247" s="973" t="s">
        <v>1999</v>
      </c>
      <c r="J1247" s="973" t="s">
        <v>697</v>
      </c>
      <c r="K1247" s="973" t="s">
        <v>995</v>
      </c>
      <c r="L1247" s="973" t="s">
        <v>996</v>
      </c>
      <c r="M1247" s="973" t="s">
        <v>2000</v>
      </c>
      <c r="N1247" s="973" t="s">
        <v>2001</v>
      </c>
      <c r="O1247" s="973" t="s">
        <v>1971</v>
      </c>
      <c r="P1247" s="973" t="s">
        <v>999</v>
      </c>
      <c r="Q1247" s="973" t="s">
        <v>1000</v>
      </c>
      <c r="R1247" s="973" t="s">
        <v>1001</v>
      </c>
      <c r="S1247" s="973" t="s">
        <v>1002</v>
      </c>
      <c r="T1247" s="423">
        <v>2500</v>
      </c>
      <c r="U1247" s="423" t="s">
        <v>1041</v>
      </c>
      <c r="V1247" s="423">
        <v>0.5</v>
      </c>
      <c r="W1247" s="423">
        <v>1</v>
      </c>
      <c r="X1247" s="423" t="s">
        <v>2034</v>
      </c>
      <c r="Z1247" s="423" t="s">
        <v>1058</v>
      </c>
      <c r="AD1247" s="423">
        <f>IF(ISNUMBER(MATCH(B1247,'FICHA SOLIC'!$AB$26:$AB$376,0)),1,0)</f>
        <v>1</v>
      </c>
      <c r="AE1247" s="423" t="str">
        <f t="shared" si="19"/>
        <v>Puerto MonttAP-2</v>
      </c>
    </row>
    <row r="1248" spans="1:31" x14ac:dyDescent="0.25">
      <c r="A1248" s="423">
        <v>1247</v>
      </c>
      <c r="B1248" s="423" t="s">
        <v>349</v>
      </c>
      <c r="C1248" s="423" t="s">
        <v>2438</v>
      </c>
      <c r="D1248" s="973" t="s">
        <v>990</v>
      </c>
      <c r="E1248" s="973" t="s">
        <v>991</v>
      </c>
      <c r="F1248" s="973" t="s">
        <v>992</v>
      </c>
      <c r="G1248" s="973" t="s">
        <v>1997</v>
      </c>
      <c r="H1248" s="973" t="s">
        <v>1998</v>
      </c>
      <c r="I1248" s="973" t="s">
        <v>1999</v>
      </c>
      <c r="J1248" s="973" t="s">
        <v>697</v>
      </c>
      <c r="K1248" s="973" t="s">
        <v>995</v>
      </c>
      <c r="L1248" s="973" t="s">
        <v>996</v>
      </c>
      <c r="M1248" s="973" t="s">
        <v>2000</v>
      </c>
      <c r="N1248" s="973" t="s">
        <v>2001</v>
      </c>
      <c r="O1248" s="973" t="s">
        <v>1971</v>
      </c>
      <c r="P1248" s="973" t="s">
        <v>999</v>
      </c>
      <c r="Q1248" s="973" t="s">
        <v>1000</v>
      </c>
      <c r="R1248" s="973" t="s">
        <v>1001</v>
      </c>
      <c r="S1248" s="973" t="s">
        <v>1002</v>
      </c>
      <c r="T1248" s="423">
        <v>1000</v>
      </c>
      <c r="U1248" s="423" t="s">
        <v>1041</v>
      </c>
      <c r="V1248" s="423">
        <v>0.5</v>
      </c>
      <c r="W1248" s="423">
        <v>1</v>
      </c>
      <c r="X1248" s="423" t="s">
        <v>2034</v>
      </c>
      <c r="Z1248" s="423" t="s">
        <v>1058</v>
      </c>
      <c r="AD1248" s="423">
        <f>IF(ISNUMBER(MATCH(B1248,'FICHA SOLIC'!$AB$26:$AB$376,0)),1,0)</f>
        <v>1</v>
      </c>
      <c r="AE1248" s="423" t="str">
        <f t="shared" si="19"/>
        <v>Puerto MonttAP-3</v>
      </c>
    </row>
    <row r="1249" spans="1:31" x14ac:dyDescent="0.25">
      <c r="A1249" s="423">
        <v>1248</v>
      </c>
      <c r="B1249" s="423" t="s">
        <v>349</v>
      </c>
      <c r="C1249" s="423" t="s">
        <v>1060</v>
      </c>
      <c r="D1249" s="973" t="s">
        <v>990</v>
      </c>
      <c r="E1249" s="973" t="s">
        <v>991</v>
      </c>
      <c r="F1249" s="973" t="s">
        <v>992</v>
      </c>
      <c r="G1249" s="973" t="s">
        <v>1997</v>
      </c>
      <c r="H1249" s="973" t="s">
        <v>1998</v>
      </c>
      <c r="I1249" s="973" t="s">
        <v>1999</v>
      </c>
      <c r="J1249" s="973" t="s">
        <v>697</v>
      </c>
      <c r="K1249" s="973" t="s">
        <v>995</v>
      </c>
      <c r="L1249" s="973" t="s">
        <v>996</v>
      </c>
      <c r="M1249" s="973" t="s">
        <v>2000</v>
      </c>
      <c r="N1249" s="973" t="s">
        <v>2001</v>
      </c>
      <c r="O1249" s="973" t="s">
        <v>1971</v>
      </c>
      <c r="P1249" s="973" t="s">
        <v>999</v>
      </c>
      <c r="Q1249" s="973" t="s">
        <v>1000</v>
      </c>
      <c r="R1249" s="973" t="s">
        <v>1001</v>
      </c>
      <c r="S1249" s="973" t="s">
        <v>1002</v>
      </c>
      <c r="T1249" s="423">
        <v>250</v>
      </c>
      <c r="U1249" s="423" t="s">
        <v>1041</v>
      </c>
      <c r="V1249" s="423">
        <v>1</v>
      </c>
      <c r="W1249" s="423">
        <v>8</v>
      </c>
      <c r="X1249" s="423">
        <v>21</v>
      </c>
      <c r="Y1249" s="423" t="s">
        <v>2439</v>
      </c>
      <c r="Z1249" s="423" t="s">
        <v>1150</v>
      </c>
      <c r="AD1249" s="423">
        <f>IF(ISNUMBER(MATCH(B1249,'FICHA SOLIC'!$AB$26:$AB$376,0)),1,0)</f>
        <v>1</v>
      </c>
      <c r="AE1249" s="423" t="str">
        <f t="shared" si="19"/>
        <v>Puerto MonttC</v>
      </c>
    </row>
    <row r="1250" spans="1:31" x14ac:dyDescent="0.25">
      <c r="A1250" s="423">
        <v>1249</v>
      </c>
      <c r="B1250" s="423" t="s">
        <v>349</v>
      </c>
      <c r="C1250" s="423" t="s">
        <v>2440</v>
      </c>
      <c r="D1250" s="973" t="s">
        <v>990</v>
      </c>
      <c r="E1250" s="973" t="s">
        <v>991</v>
      </c>
      <c r="F1250" s="973" t="s">
        <v>992</v>
      </c>
      <c r="G1250" s="973" t="s">
        <v>1997</v>
      </c>
      <c r="H1250" s="973" t="s">
        <v>1998</v>
      </c>
      <c r="I1250" s="973" t="s">
        <v>1999</v>
      </c>
      <c r="J1250" s="973" t="s">
        <v>697</v>
      </c>
      <c r="K1250" s="973" t="s">
        <v>995</v>
      </c>
      <c r="L1250" s="973" t="s">
        <v>996</v>
      </c>
      <c r="M1250" s="973" t="s">
        <v>2000</v>
      </c>
      <c r="N1250" s="973" t="s">
        <v>2001</v>
      </c>
      <c r="O1250" s="973" t="s">
        <v>1971</v>
      </c>
      <c r="P1250" s="973" t="s">
        <v>999</v>
      </c>
      <c r="Q1250" s="973" t="s">
        <v>1000</v>
      </c>
      <c r="R1250" s="973" t="s">
        <v>1001</v>
      </c>
      <c r="S1250" s="973" t="s">
        <v>1002</v>
      </c>
      <c r="T1250" s="423">
        <v>2000</v>
      </c>
      <c r="U1250" s="423" t="s">
        <v>1041</v>
      </c>
      <c r="V1250" s="423">
        <v>0.7</v>
      </c>
      <c r="W1250" s="423">
        <v>5</v>
      </c>
      <c r="X1250" s="423">
        <v>33</v>
      </c>
      <c r="Y1250" s="423" t="s">
        <v>2439</v>
      </c>
      <c r="Z1250" s="423" t="s">
        <v>1150</v>
      </c>
      <c r="AD1250" s="423">
        <f>IF(ISNUMBER(MATCH(B1250,'FICHA SOLIC'!$AB$26:$AB$376,0)),1,0)</f>
        <v>1</v>
      </c>
      <c r="AE1250" s="423" t="str">
        <f t="shared" si="19"/>
        <v>Puerto MonttCB-1</v>
      </c>
    </row>
    <row r="1251" spans="1:31" x14ac:dyDescent="0.25">
      <c r="A1251" s="423">
        <v>1250</v>
      </c>
      <c r="B1251" s="423" t="s">
        <v>349</v>
      </c>
      <c r="C1251" s="423" t="s">
        <v>2441</v>
      </c>
      <c r="D1251" s="973" t="s">
        <v>990</v>
      </c>
      <c r="E1251" s="973" t="s">
        <v>991</v>
      </c>
      <c r="F1251" s="973" t="s">
        <v>992</v>
      </c>
      <c r="G1251" s="973" t="s">
        <v>1997</v>
      </c>
      <c r="H1251" s="973" t="s">
        <v>1998</v>
      </c>
      <c r="I1251" s="973" t="s">
        <v>1999</v>
      </c>
      <c r="J1251" s="973" t="s">
        <v>697</v>
      </c>
      <c r="K1251" s="973" t="s">
        <v>995</v>
      </c>
      <c r="L1251" s="973" t="s">
        <v>996</v>
      </c>
      <c r="M1251" s="973" t="s">
        <v>2000</v>
      </c>
      <c r="N1251" s="973" t="s">
        <v>2001</v>
      </c>
      <c r="O1251" s="973" t="s">
        <v>1971</v>
      </c>
      <c r="P1251" s="973" t="s">
        <v>999</v>
      </c>
      <c r="Q1251" s="973" t="s">
        <v>1000</v>
      </c>
      <c r="R1251" s="973" t="s">
        <v>1001</v>
      </c>
      <c r="S1251" s="973" t="s">
        <v>1002</v>
      </c>
      <c r="T1251" s="423">
        <v>250</v>
      </c>
      <c r="U1251" s="423" t="s">
        <v>1041</v>
      </c>
      <c r="V1251" s="423">
        <v>1</v>
      </c>
      <c r="W1251" s="423">
        <v>8</v>
      </c>
      <c r="X1251" s="423" t="s">
        <v>2034</v>
      </c>
      <c r="Y1251" s="423" t="s">
        <v>2439</v>
      </c>
      <c r="Z1251" s="423" t="s">
        <v>1150</v>
      </c>
      <c r="AD1251" s="423">
        <f>IF(ISNUMBER(MATCH(B1251,'FICHA SOLIC'!$AB$26:$AB$376,0)),1,0)</f>
        <v>1</v>
      </c>
      <c r="AE1251" s="423" t="str">
        <f t="shared" si="19"/>
        <v>Puerto MonttCB-2</v>
      </c>
    </row>
    <row r="1252" spans="1:31" x14ac:dyDescent="0.25">
      <c r="A1252" s="423">
        <v>1251</v>
      </c>
      <c r="B1252" s="423" t="s">
        <v>349</v>
      </c>
      <c r="C1252" s="423" t="s">
        <v>2442</v>
      </c>
      <c r="D1252" s="973" t="s">
        <v>990</v>
      </c>
      <c r="E1252" s="973" t="s">
        <v>991</v>
      </c>
      <c r="F1252" s="973" t="s">
        <v>992</v>
      </c>
      <c r="G1252" s="973" t="s">
        <v>1997</v>
      </c>
      <c r="H1252" s="973" t="s">
        <v>1998</v>
      </c>
      <c r="I1252" s="973" t="s">
        <v>1999</v>
      </c>
      <c r="J1252" s="973" t="s">
        <v>697</v>
      </c>
      <c r="K1252" s="973" t="s">
        <v>995</v>
      </c>
      <c r="L1252" s="973" t="s">
        <v>996</v>
      </c>
      <c r="M1252" s="973" t="s">
        <v>2000</v>
      </c>
      <c r="N1252" s="973" t="s">
        <v>2001</v>
      </c>
      <c r="O1252" s="973" t="s">
        <v>1971</v>
      </c>
      <c r="P1252" s="973" t="s">
        <v>999</v>
      </c>
      <c r="Q1252" s="973" t="s">
        <v>1000</v>
      </c>
      <c r="R1252" s="973" t="s">
        <v>1001</v>
      </c>
      <c r="S1252" s="973" t="s">
        <v>1002</v>
      </c>
      <c r="T1252" s="423">
        <v>1200</v>
      </c>
      <c r="U1252" s="423" t="s">
        <v>1041</v>
      </c>
      <c r="V1252" s="423">
        <v>0.8</v>
      </c>
      <c r="W1252" s="423">
        <v>8</v>
      </c>
      <c r="X1252" s="423" t="s">
        <v>2034</v>
      </c>
      <c r="Y1252" s="423" t="s">
        <v>2439</v>
      </c>
      <c r="Z1252" s="423" t="s">
        <v>1150</v>
      </c>
      <c r="AD1252" s="423">
        <f>IF(ISNUMBER(MATCH(B1252,'FICHA SOLIC'!$AB$26:$AB$376,0)),1,0)</f>
        <v>1</v>
      </c>
      <c r="AE1252" s="423" t="str">
        <f t="shared" si="19"/>
        <v>Puerto MonttCB-3</v>
      </c>
    </row>
    <row r="1253" spans="1:31" x14ac:dyDescent="0.25">
      <c r="A1253" s="423">
        <v>1252</v>
      </c>
      <c r="B1253" s="423" t="s">
        <v>349</v>
      </c>
      <c r="C1253" s="423" t="s">
        <v>1492</v>
      </c>
      <c r="D1253" s="973" t="s">
        <v>990</v>
      </c>
      <c r="E1253" s="973" t="s">
        <v>991</v>
      </c>
      <c r="F1253" s="973" t="s">
        <v>992</v>
      </c>
      <c r="G1253" s="973" t="s">
        <v>1997</v>
      </c>
      <c r="H1253" s="973" t="s">
        <v>1998</v>
      </c>
      <c r="I1253" s="973" t="s">
        <v>1999</v>
      </c>
      <c r="J1253" s="973" t="s">
        <v>697</v>
      </c>
      <c r="K1253" s="973" t="s">
        <v>995</v>
      </c>
      <c r="L1253" s="973" t="s">
        <v>996</v>
      </c>
      <c r="M1253" s="973" t="s">
        <v>2000</v>
      </c>
      <c r="N1253" s="973" t="s">
        <v>2001</v>
      </c>
      <c r="O1253" s="973" t="s">
        <v>1971</v>
      </c>
      <c r="P1253" s="973" t="s">
        <v>999</v>
      </c>
      <c r="Q1253" s="973" t="s">
        <v>1000</v>
      </c>
      <c r="R1253" s="973" t="s">
        <v>1001</v>
      </c>
      <c r="S1253" s="973" t="s">
        <v>1002</v>
      </c>
      <c r="T1253" s="423">
        <v>250</v>
      </c>
      <c r="U1253" s="423" t="s">
        <v>1041</v>
      </c>
      <c r="V1253" s="423">
        <v>1</v>
      </c>
      <c r="W1253" s="423">
        <v>8</v>
      </c>
      <c r="X1253" s="423" t="s">
        <v>2034</v>
      </c>
      <c r="Y1253" s="423" t="s">
        <v>2439</v>
      </c>
      <c r="Z1253" s="423" t="s">
        <v>1096</v>
      </c>
      <c r="AD1253" s="423">
        <f>IF(ISNUMBER(MATCH(B1253,'FICHA SOLIC'!$AB$26:$AB$376,0)),1,0)</f>
        <v>1</v>
      </c>
      <c r="AE1253" s="423" t="str">
        <f t="shared" si="19"/>
        <v>Puerto MonttCC</v>
      </c>
    </row>
    <row r="1254" spans="1:31" x14ac:dyDescent="0.25">
      <c r="A1254" s="423">
        <v>1253</v>
      </c>
      <c r="B1254" s="423" t="s">
        <v>349</v>
      </c>
      <c r="C1254" s="423" t="s">
        <v>2443</v>
      </c>
      <c r="D1254" s="973" t="s">
        <v>990</v>
      </c>
      <c r="E1254" s="973" t="s">
        <v>991</v>
      </c>
      <c r="F1254" s="973" t="s">
        <v>992</v>
      </c>
      <c r="G1254" s="973" t="s">
        <v>1997</v>
      </c>
      <c r="H1254" s="973" t="s">
        <v>1998</v>
      </c>
      <c r="I1254" s="973" t="s">
        <v>1999</v>
      </c>
      <c r="J1254" s="973" t="s">
        <v>697</v>
      </c>
      <c r="K1254" s="973" t="s">
        <v>995</v>
      </c>
      <c r="L1254" s="973" t="s">
        <v>996</v>
      </c>
      <c r="M1254" s="973" t="s">
        <v>2000</v>
      </c>
      <c r="N1254" s="973" t="s">
        <v>2001</v>
      </c>
      <c r="O1254" s="973" t="s">
        <v>1971</v>
      </c>
      <c r="P1254" s="973" t="s">
        <v>999</v>
      </c>
      <c r="Q1254" s="973" t="s">
        <v>1000</v>
      </c>
      <c r="R1254" s="973" t="s">
        <v>1001</v>
      </c>
      <c r="S1254" s="973" t="s">
        <v>1002</v>
      </c>
      <c r="T1254" s="423">
        <v>250</v>
      </c>
      <c r="U1254" s="423" t="s">
        <v>1041</v>
      </c>
      <c r="V1254" s="423">
        <v>0.7</v>
      </c>
      <c r="W1254" s="423">
        <v>3</v>
      </c>
      <c r="X1254" s="423">
        <v>21</v>
      </c>
      <c r="Y1254" s="423" t="s">
        <v>2439</v>
      </c>
      <c r="Z1254" s="423" t="s">
        <v>1059</v>
      </c>
      <c r="AD1254" s="423">
        <f>IF(ISNUMBER(MATCH(B1254,'FICHA SOLIC'!$AB$26:$AB$376,0)),1,0)</f>
        <v>1</v>
      </c>
      <c r="AE1254" s="423" t="str">
        <f t="shared" si="19"/>
        <v>Puerto MonttPC</v>
      </c>
    </row>
    <row r="1255" spans="1:31" x14ac:dyDescent="0.25">
      <c r="A1255" s="423">
        <v>1254</v>
      </c>
      <c r="B1255" s="423" t="s">
        <v>349</v>
      </c>
      <c r="C1255" s="423" t="s">
        <v>1434</v>
      </c>
      <c r="D1255" s="973" t="s">
        <v>990</v>
      </c>
      <c r="E1255" s="973" t="s">
        <v>991</v>
      </c>
      <c r="F1255" s="973" t="s">
        <v>992</v>
      </c>
      <c r="G1255" s="973" t="s">
        <v>1997</v>
      </c>
      <c r="H1255" s="973" t="s">
        <v>1998</v>
      </c>
      <c r="I1255" s="973" t="s">
        <v>1999</v>
      </c>
      <c r="J1255" s="973" t="s">
        <v>697</v>
      </c>
      <c r="K1255" s="973" t="s">
        <v>995</v>
      </c>
      <c r="L1255" s="973" t="s">
        <v>996</v>
      </c>
      <c r="M1255" s="973" t="s">
        <v>2000</v>
      </c>
      <c r="N1255" s="973" t="s">
        <v>2001</v>
      </c>
      <c r="O1255" s="973" t="s">
        <v>1971</v>
      </c>
      <c r="P1255" s="973" t="s">
        <v>999</v>
      </c>
      <c r="Q1255" s="973" t="s">
        <v>1000</v>
      </c>
      <c r="R1255" s="973" t="s">
        <v>1001</v>
      </c>
      <c r="S1255" s="973" t="s">
        <v>1002</v>
      </c>
      <c r="T1255" s="423">
        <v>180</v>
      </c>
      <c r="U1255" s="423" t="s">
        <v>1041</v>
      </c>
      <c r="V1255" s="423">
        <v>0.7</v>
      </c>
      <c r="W1255" s="423">
        <v>1.5</v>
      </c>
      <c r="X1255" s="423">
        <v>15</v>
      </c>
      <c r="Z1255" s="423" t="s">
        <v>1057</v>
      </c>
      <c r="AD1255" s="423">
        <f>IF(ISNUMBER(MATCH(B1255,'FICHA SOLIC'!$AB$26:$AB$376,0)),1,0)</f>
        <v>1</v>
      </c>
      <c r="AE1255" s="423" t="str">
        <f t="shared" si="19"/>
        <v>Puerto MonttR1</v>
      </c>
    </row>
    <row r="1256" spans="1:31" x14ac:dyDescent="0.25">
      <c r="A1256" s="423">
        <v>1255</v>
      </c>
      <c r="B1256" s="423" t="s">
        <v>349</v>
      </c>
      <c r="C1256" s="423" t="s">
        <v>2444</v>
      </c>
      <c r="D1256" s="973" t="s">
        <v>990</v>
      </c>
      <c r="E1256" s="973" t="s">
        <v>991</v>
      </c>
      <c r="F1256" s="973" t="s">
        <v>992</v>
      </c>
      <c r="G1256" s="973" t="s">
        <v>1997</v>
      </c>
      <c r="H1256" s="973" t="s">
        <v>1998</v>
      </c>
      <c r="I1256" s="973" t="s">
        <v>1999</v>
      </c>
      <c r="J1256" s="973" t="s">
        <v>697</v>
      </c>
      <c r="K1256" s="973" t="s">
        <v>995</v>
      </c>
      <c r="L1256" s="973" t="s">
        <v>996</v>
      </c>
      <c r="M1256" s="973" t="s">
        <v>2000</v>
      </c>
      <c r="N1256" s="973" t="s">
        <v>2001</v>
      </c>
      <c r="O1256" s="973" t="s">
        <v>1971</v>
      </c>
      <c r="P1256" s="973" t="s">
        <v>999</v>
      </c>
      <c r="Q1256" s="973" t="s">
        <v>1000</v>
      </c>
      <c r="R1256" s="973" t="s">
        <v>1001</v>
      </c>
      <c r="S1256" s="973" t="s">
        <v>1002</v>
      </c>
      <c r="T1256" s="423">
        <v>500</v>
      </c>
      <c r="U1256" s="423" t="s">
        <v>1041</v>
      </c>
      <c r="V1256" s="423">
        <v>0.5</v>
      </c>
      <c r="W1256" s="423">
        <v>0.8</v>
      </c>
      <c r="X1256" s="423">
        <v>12</v>
      </c>
      <c r="Z1256" s="423" t="s">
        <v>1057</v>
      </c>
      <c r="AD1256" s="423">
        <f>IF(ISNUMBER(MATCH(B1256,'FICHA SOLIC'!$AB$26:$AB$376,0)),1,0)</f>
        <v>1</v>
      </c>
      <c r="AE1256" s="423" t="str">
        <f t="shared" si="19"/>
        <v>Puerto MonttR2-A</v>
      </c>
    </row>
    <row r="1257" spans="1:31" x14ac:dyDescent="0.25">
      <c r="A1257" s="423">
        <v>1256</v>
      </c>
      <c r="B1257" s="423" t="s">
        <v>349</v>
      </c>
      <c r="C1257" s="423" t="s">
        <v>2445</v>
      </c>
      <c r="D1257" s="973" t="s">
        <v>990</v>
      </c>
      <c r="E1257" s="973" t="s">
        <v>991</v>
      </c>
      <c r="F1257" s="973" t="s">
        <v>992</v>
      </c>
      <c r="G1257" s="973" t="s">
        <v>1997</v>
      </c>
      <c r="H1257" s="973" t="s">
        <v>1998</v>
      </c>
      <c r="I1257" s="973" t="s">
        <v>1999</v>
      </c>
      <c r="J1257" s="973" t="s">
        <v>697</v>
      </c>
      <c r="K1257" s="973" t="s">
        <v>995</v>
      </c>
      <c r="L1257" s="973" t="s">
        <v>996</v>
      </c>
      <c r="M1257" s="973" t="s">
        <v>2000</v>
      </c>
      <c r="N1257" s="973" t="s">
        <v>2001</v>
      </c>
      <c r="O1257" s="973" t="s">
        <v>1971</v>
      </c>
      <c r="P1257" s="973" t="s">
        <v>999</v>
      </c>
      <c r="Q1257" s="973" t="s">
        <v>1000</v>
      </c>
      <c r="R1257" s="973" t="s">
        <v>1001</v>
      </c>
      <c r="S1257" s="973" t="s">
        <v>1002</v>
      </c>
      <c r="T1257" s="423">
        <v>200</v>
      </c>
      <c r="U1257" s="423" t="s">
        <v>1041</v>
      </c>
      <c r="V1257" s="423">
        <v>0.7</v>
      </c>
      <c r="W1257" s="423">
        <v>1</v>
      </c>
      <c r="X1257" s="423">
        <v>12</v>
      </c>
      <c r="Z1257" s="423" t="s">
        <v>1057</v>
      </c>
      <c r="AD1257" s="423">
        <f>IF(ISNUMBER(MATCH(B1257,'FICHA SOLIC'!$AB$26:$AB$376,0)),1,0)</f>
        <v>1</v>
      </c>
      <c r="AE1257" s="423" t="str">
        <f t="shared" si="19"/>
        <v>Puerto MonttR2-B</v>
      </c>
    </row>
    <row r="1258" spans="1:31" x14ac:dyDescent="0.25">
      <c r="A1258" s="423">
        <v>1257</v>
      </c>
      <c r="B1258" s="423" t="s">
        <v>349</v>
      </c>
      <c r="C1258" s="423" t="s">
        <v>2446</v>
      </c>
      <c r="D1258" s="973" t="s">
        <v>990</v>
      </c>
      <c r="E1258" s="973" t="s">
        <v>991</v>
      </c>
      <c r="F1258" s="973" t="s">
        <v>992</v>
      </c>
      <c r="G1258" s="973" t="s">
        <v>1997</v>
      </c>
      <c r="H1258" s="973" t="s">
        <v>1998</v>
      </c>
      <c r="I1258" s="973" t="s">
        <v>1999</v>
      </c>
      <c r="J1258" s="973" t="s">
        <v>697</v>
      </c>
      <c r="K1258" s="973" t="s">
        <v>995</v>
      </c>
      <c r="L1258" s="973" t="s">
        <v>996</v>
      </c>
      <c r="M1258" s="973" t="s">
        <v>2000</v>
      </c>
      <c r="N1258" s="973" t="s">
        <v>2001</v>
      </c>
      <c r="O1258" s="973" t="s">
        <v>1971</v>
      </c>
      <c r="P1258" s="973" t="s">
        <v>999</v>
      </c>
      <c r="Q1258" s="973" t="s">
        <v>1000</v>
      </c>
      <c r="R1258" s="973" t="s">
        <v>1001</v>
      </c>
      <c r="S1258" s="973" t="s">
        <v>1002</v>
      </c>
      <c r="T1258" s="423">
        <v>150</v>
      </c>
      <c r="U1258" s="423" t="s">
        <v>1041</v>
      </c>
      <c r="V1258" s="423">
        <v>0.7</v>
      </c>
      <c r="W1258" s="423">
        <v>1</v>
      </c>
      <c r="X1258" s="423">
        <v>18</v>
      </c>
      <c r="Z1258" s="423" t="s">
        <v>1059</v>
      </c>
      <c r="AD1258" s="423">
        <f>IF(ISNUMBER(MATCH(B1258,'FICHA SOLIC'!$AB$26:$AB$376,0)),1,0)</f>
        <v>1</v>
      </c>
      <c r="AE1258" s="423" t="str">
        <f t="shared" si="19"/>
        <v>Puerto MonttR2-C</v>
      </c>
    </row>
    <row r="1259" spans="1:31" x14ac:dyDescent="0.25">
      <c r="A1259" s="423">
        <v>1258</v>
      </c>
      <c r="B1259" s="423" t="s">
        <v>349</v>
      </c>
      <c r="C1259" s="423" t="s">
        <v>2447</v>
      </c>
      <c r="D1259" s="973" t="s">
        <v>990</v>
      </c>
      <c r="E1259" s="973" t="s">
        <v>991</v>
      </c>
      <c r="F1259" s="973" t="s">
        <v>992</v>
      </c>
      <c r="G1259" s="973" t="s">
        <v>1997</v>
      </c>
      <c r="H1259" s="973" t="s">
        <v>1998</v>
      </c>
      <c r="I1259" s="973" t="s">
        <v>1999</v>
      </c>
      <c r="J1259" s="973" t="s">
        <v>697</v>
      </c>
      <c r="K1259" s="973" t="s">
        <v>995</v>
      </c>
      <c r="L1259" s="973" t="s">
        <v>996</v>
      </c>
      <c r="M1259" s="973" t="s">
        <v>2000</v>
      </c>
      <c r="N1259" s="973" t="s">
        <v>2001</v>
      </c>
      <c r="O1259" s="973" t="s">
        <v>1971</v>
      </c>
      <c r="P1259" s="973" t="s">
        <v>999</v>
      </c>
      <c r="Q1259" s="973" t="s">
        <v>1000</v>
      </c>
      <c r="R1259" s="973" t="s">
        <v>1001</v>
      </c>
      <c r="S1259" s="973" t="s">
        <v>1002</v>
      </c>
      <c r="T1259" s="423">
        <v>250</v>
      </c>
      <c r="U1259" s="423" t="s">
        <v>1041</v>
      </c>
      <c r="V1259" s="423">
        <v>0.5</v>
      </c>
      <c r="W1259" s="423">
        <v>0.8</v>
      </c>
      <c r="X1259" s="423" t="s">
        <v>2034</v>
      </c>
      <c r="Z1259" s="423" t="s">
        <v>1057</v>
      </c>
      <c r="AD1259" s="423">
        <f>IF(ISNUMBER(MATCH(B1259,'FICHA SOLIC'!$AB$26:$AB$376,0)),1,0)</f>
        <v>1</v>
      </c>
      <c r="AE1259" s="423" t="str">
        <f t="shared" si="19"/>
        <v>Puerto MonttR2-D</v>
      </c>
    </row>
    <row r="1260" spans="1:31" x14ac:dyDescent="0.25">
      <c r="A1260" s="423">
        <v>1259</v>
      </c>
      <c r="B1260" s="423" t="s">
        <v>349</v>
      </c>
      <c r="C1260" s="423" t="s">
        <v>1300</v>
      </c>
      <c r="D1260" s="973" t="s">
        <v>990</v>
      </c>
      <c r="E1260" s="973" t="s">
        <v>991</v>
      </c>
      <c r="F1260" s="973" t="s">
        <v>992</v>
      </c>
      <c r="G1260" s="973" t="s">
        <v>1997</v>
      </c>
      <c r="H1260" s="973" t="s">
        <v>1998</v>
      </c>
      <c r="I1260" s="973" t="s">
        <v>1999</v>
      </c>
      <c r="J1260" s="973" t="s">
        <v>697</v>
      </c>
      <c r="K1260" s="973" t="s">
        <v>995</v>
      </c>
      <c r="L1260" s="973" t="s">
        <v>996</v>
      </c>
      <c r="M1260" s="973" t="s">
        <v>2000</v>
      </c>
      <c r="N1260" s="973" t="s">
        <v>2001</v>
      </c>
      <c r="O1260" s="973" t="s">
        <v>1971</v>
      </c>
      <c r="P1260" s="973" t="s">
        <v>999</v>
      </c>
      <c r="Q1260" s="973" t="s">
        <v>1000</v>
      </c>
      <c r="R1260" s="973" t="s">
        <v>1001</v>
      </c>
      <c r="S1260" s="973" t="s">
        <v>1002</v>
      </c>
      <c r="T1260" s="423">
        <v>250</v>
      </c>
      <c r="U1260" s="423" t="s">
        <v>1041</v>
      </c>
      <c r="V1260" s="423">
        <v>0.5</v>
      </c>
      <c r="W1260" s="423">
        <v>0.8</v>
      </c>
      <c r="X1260" s="423" t="s">
        <v>2034</v>
      </c>
      <c r="Z1260" s="423" t="s">
        <v>1057</v>
      </c>
      <c r="AD1260" s="423">
        <f>IF(ISNUMBER(MATCH(B1260,'FICHA SOLIC'!$AB$26:$AB$376,0)),1,0)</f>
        <v>1</v>
      </c>
      <c r="AE1260" s="423" t="str">
        <f t="shared" si="19"/>
        <v>Puerto MonttR3</v>
      </c>
    </row>
    <row r="1261" spans="1:31" x14ac:dyDescent="0.25">
      <c r="A1261" s="423">
        <v>1260</v>
      </c>
      <c r="B1261" s="423" t="s">
        <v>349</v>
      </c>
      <c r="C1261" s="423" t="s">
        <v>1280</v>
      </c>
      <c r="D1261" s="973" t="s">
        <v>990</v>
      </c>
      <c r="E1261" s="973" t="s">
        <v>991</v>
      </c>
      <c r="F1261" s="973" t="s">
        <v>992</v>
      </c>
      <c r="G1261" s="973" t="s">
        <v>1997</v>
      </c>
      <c r="H1261" s="973" t="s">
        <v>1998</v>
      </c>
      <c r="I1261" s="973" t="s">
        <v>1999</v>
      </c>
      <c r="J1261" s="973" t="s">
        <v>697</v>
      </c>
      <c r="K1261" s="973" t="s">
        <v>995</v>
      </c>
      <c r="L1261" s="973" t="s">
        <v>996</v>
      </c>
      <c r="M1261" s="973" t="s">
        <v>2000</v>
      </c>
      <c r="N1261" s="973" t="s">
        <v>2001</v>
      </c>
      <c r="O1261" s="973" t="s">
        <v>1971</v>
      </c>
      <c r="P1261" s="973" t="s">
        <v>999</v>
      </c>
      <c r="Q1261" s="973" t="s">
        <v>1000</v>
      </c>
      <c r="R1261" s="973" t="s">
        <v>1001</v>
      </c>
      <c r="S1261" s="973" t="s">
        <v>1002</v>
      </c>
      <c r="T1261" s="423">
        <v>500</v>
      </c>
      <c r="U1261" s="423" t="s">
        <v>1041</v>
      </c>
      <c r="V1261" s="423">
        <v>0.5</v>
      </c>
      <c r="W1261" s="423">
        <v>0.8</v>
      </c>
      <c r="X1261" s="423" t="s">
        <v>2034</v>
      </c>
      <c r="Z1261" s="423" t="s">
        <v>1058</v>
      </c>
      <c r="AD1261" s="423">
        <f>IF(ISNUMBER(MATCH(B1261,'FICHA SOLIC'!$AB$26:$AB$376,0)),1,0)</f>
        <v>1</v>
      </c>
      <c r="AE1261" s="423" t="str">
        <f t="shared" si="19"/>
        <v>Puerto MonttR4</v>
      </c>
    </row>
    <row r="1262" spans="1:31" x14ac:dyDescent="0.25">
      <c r="A1262" s="423">
        <v>1261</v>
      </c>
      <c r="B1262" s="423" t="s">
        <v>349</v>
      </c>
      <c r="C1262" s="423" t="s">
        <v>2448</v>
      </c>
      <c r="D1262" s="973" t="s">
        <v>990</v>
      </c>
      <c r="E1262" s="973" t="s">
        <v>991</v>
      </c>
      <c r="F1262" s="973" t="s">
        <v>992</v>
      </c>
      <c r="G1262" s="973" t="s">
        <v>1997</v>
      </c>
      <c r="H1262" s="973" t="s">
        <v>1998</v>
      </c>
      <c r="I1262" s="973" t="s">
        <v>1999</v>
      </c>
      <c r="J1262" s="973" t="s">
        <v>697</v>
      </c>
      <c r="K1262" s="973" t="s">
        <v>995</v>
      </c>
      <c r="L1262" s="973" t="s">
        <v>996</v>
      </c>
      <c r="M1262" s="973" t="s">
        <v>2000</v>
      </c>
      <c r="N1262" s="973" t="s">
        <v>2001</v>
      </c>
      <c r="O1262" s="973" t="s">
        <v>1971</v>
      </c>
      <c r="P1262" s="973" t="s">
        <v>999</v>
      </c>
      <c r="Q1262" s="973" t="s">
        <v>1000</v>
      </c>
      <c r="R1262" s="973" t="s">
        <v>1001</v>
      </c>
      <c r="S1262" s="973" t="s">
        <v>1002</v>
      </c>
      <c r="T1262" s="423">
        <v>500</v>
      </c>
      <c r="U1262" s="423" t="s">
        <v>1041</v>
      </c>
      <c r="V1262" s="423">
        <v>0.6</v>
      </c>
      <c r="W1262" s="423">
        <v>0.8</v>
      </c>
      <c r="X1262" s="423" t="s">
        <v>2034</v>
      </c>
      <c r="Z1262" s="423" t="s">
        <v>1058</v>
      </c>
      <c r="AD1262" s="423">
        <f>IF(ISNUMBER(MATCH(B1262,'FICHA SOLIC'!$AB$26:$AB$376,0)),1,0)</f>
        <v>1</v>
      </c>
      <c r="AE1262" s="423" t="str">
        <f t="shared" si="19"/>
        <v>Puerto MonttSC-1</v>
      </c>
    </row>
    <row r="1263" spans="1:31" x14ac:dyDescent="0.25">
      <c r="A1263" s="423">
        <v>1262</v>
      </c>
      <c r="B1263" s="423" t="s">
        <v>349</v>
      </c>
      <c r="C1263" s="423" t="s">
        <v>2449</v>
      </c>
      <c r="D1263" s="973" t="s">
        <v>990</v>
      </c>
      <c r="E1263" s="973" t="s">
        <v>991</v>
      </c>
      <c r="F1263" s="973" t="s">
        <v>992</v>
      </c>
      <c r="G1263" s="973" t="s">
        <v>1997</v>
      </c>
      <c r="H1263" s="973" t="s">
        <v>1998</v>
      </c>
      <c r="I1263" s="973" t="s">
        <v>1999</v>
      </c>
      <c r="J1263" s="973" t="s">
        <v>697</v>
      </c>
      <c r="K1263" s="973" t="s">
        <v>995</v>
      </c>
      <c r="L1263" s="973" t="s">
        <v>996</v>
      </c>
      <c r="M1263" s="973" t="s">
        <v>2000</v>
      </c>
      <c r="N1263" s="973" t="s">
        <v>2001</v>
      </c>
      <c r="O1263" s="973" t="s">
        <v>1971</v>
      </c>
      <c r="P1263" s="973" t="s">
        <v>999</v>
      </c>
      <c r="Q1263" s="973" t="s">
        <v>1000</v>
      </c>
      <c r="R1263" s="973" t="s">
        <v>1001</v>
      </c>
      <c r="S1263" s="973" t="s">
        <v>1002</v>
      </c>
      <c r="T1263" s="423">
        <v>180</v>
      </c>
      <c r="U1263" s="423" t="s">
        <v>1041</v>
      </c>
      <c r="V1263" s="423">
        <v>0.6</v>
      </c>
      <c r="W1263" s="423">
        <v>1</v>
      </c>
      <c r="X1263" s="423">
        <v>21</v>
      </c>
      <c r="Z1263" s="423" t="s">
        <v>1059</v>
      </c>
      <c r="AD1263" s="423">
        <f>IF(ISNUMBER(MATCH(B1263,'FICHA SOLIC'!$AB$26:$AB$376,0)),1,0)</f>
        <v>1</v>
      </c>
      <c r="AE1263" s="423" t="str">
        <f t="shared" si="19"/>
        <v>Puerto MonttSC-2</v>
      </c>
    </row>
    <row r="1264" spans="1:31" x14ac:dyDescent="0.25">
      <c r="A1264" s="423">
        <v>1263</v>
      </c>
      <c r="B1264" s="423" t="s">
        <v>349</v>
      </c>
      <c r="C1264" s="423" t="s">
        <v>2450</v>
      </c>
      <c r="D1264" s="973" t="s">
        <v>990</v>
      </c>
      <c r="E1264" s="973" t="s">
        <v>991</v>
      </c>
      <c r="F1264" s="973" t="s">
        <v>992</v>
      </c>
      <c r="G1264" s="973" t="s">
        <v>1997</v>
      </c>
      <c r="H1264" s="973" t="s">
        <v>1998</v>
      </c>
      <c r="I1264" s="973" t="s">
        <v>1999</v>
      </c>
      <c r="J1264" s="973" t="s">
        <v>697</v>
      </c>
      <c r="K1264" s="973" t="s">
        <v>995</v>
      </c>
      <c r="L1264" s="973" t="s">
        <v>996</v>
      </c>
      <c r="M1264" s="973" t="s">
        <v>2000</v>
      </c>
      <c r="N1264" s="973" t="s">
        <v>2001</v>
      </c>
      <c r="O1264" s="973" t="s">
        <v>1971</v>
      </c>
      <c r="P1264" s="973" t="s">
        <v>999</v>
      </c>
      <c r="Q1264" s="973" t="s">
        <v>1000</v>
      </c>
      <c r="R1264" s="973" t="s">
        <v>1001</v>
      </c>
      <c r="S1264" s="973" t="s">
        <v>1002</v>
      </c>
      <c r="T1264" s="423">
        <v>500</v>
      </c>
      <c r="U1264" s="423" t="s">
        <v>1041</v>
      </c>
      <c r="V1264" s="423">
        <v>0.5</v>
      </c>
      <c r="W1264" s="423">
        <v>0.8</v>
      </c>
      <c r="X1264" s="423" t="s">
        <v>2034</v>
      </c>
      <c r="Z1264" s="423" t="s">
        <v>1058</v>
      </c>
      <c r="AD1264" s="423">
        <f>IF(ISNUMBER(MATCH(B1264,'FICHA SOLIC'!$AB$26:$AB$376,0)),1,0)</f>
        <v>1</v>
      </c>
      <c r="AE1264" s="423" t="str">
        <f t="shared" si="19"/>
        <v>Puerto MonttSC-3</v>
      </c>
    </row>
    <row r="1265" spans="1:31" x14ac:dyDescent="0.25">
      <c r="A1265" s="423">
        <v>1264</v>
      </c>
      <c r="B1265" s="423" t="s">
        <v>349</v>
      </c>
      <c r="C1265" s="423" t="s">
        <v>2299</v>
      </c>
      <c r="D1265" s="973" t="s">
        <v>990</v>
      </c>
      <c r="E1265" s="973" t="s">
        <v>991</v>
      </c>
      <c r="F1265" s="973" t="s">
        <v>992</v>
      </c>
      <c r="G1265" s="973" t="s">
        <v>1997</v>
      </c>
      <c r="H1265" s="973" t="s">
        <v>1998</v>
      </c>
      <c r="I1265" s="973" t="s">
        <v>1999</v>
      </c>
      <c r="J1265" s="973" t="s">
        <v>697</v>
      </c>
      <c r="K1265" s="973" t="s">
        <v>995</v>
      </c>
      <c r="L1265" s="973" t="s">
        <v>996</v>
      </c>
      <c r="M1265" s="973" t="s">
        <v>2000</v>
      </c>
      <c r="N1265" s="973" t="s">
        <v>2001</v>
      </c>
      <c r="O1265" s="973" t="s">
        <v>1971</v>
      </c>
      <c r="P1265" s="973" t="s">
        <v>999</v>
      </c>
      <c r="Q1265" s="973" t="s">
        <v>1000</v>
      </c>
      <c r="R1265" s="973" t="s">
        <v>1001</v>
      </c>
      <c r="S1265" s="973" t="s">
        <v>1002</v>
      </c>
      <c r="T1265" s="423">
        <v>500</v>
      </c>
      <c r="U1265" s="423" t="s">
        <v>1041</v>
      </c>
      <c r="V1265" s="423">
        <v>0.8</v>
      </c>
      <c r="W1265" s="423">
        <v>2.5</v>
      </c>
      <c r="X1265" s="423" t="s">
        <v>2034</v>
      </c>
      <c r="Z1265" s="423" t="s">
        <v>1057</v>
      </c>
      <c r="AD1265" s="423">
        <f>IF(ISNUMBER(MATCH(B1265,'FICHA SOLIC'!$AB$26:$AB$376,0)),1,0)</f>
        <v>1</v>
      </c>
      <c r="AE1265" s="423" t="str">
        <f t="shared" si="19"/>
        <v>Puerto MonttZEM</v>
      </c>
    </row>
    <row r="1266" spans="1:31" x14ac:dyDescent="0.25">
      <c r="A1266" s="423">
        <v>1265</v>
      </c>
      <c r="B1266" s="423" t="s">
        <v>349</v>
      </c>
      <c r="C1266" s="423" t="s">
        <v>2451</v>
      </c>
      <c r="D1266" s="973" t="s">
        <v>990</v>
      </c>
      <c r="E1266" s="973" t="s">
        <v>991</v>
      </c>
      <c r="F1266" s="973" t="s">
        <v>992</v>
      </c>
      <c r="G1266" s="973" t="s">
        <v>1997</v>
      </c>
      <c r="H1266" s="973" t="s">
        <v>1998</v>
      </c>
      <c r="I1266" s="973" t="s">
        <v>1999</v>
      </c>
      <c r="J1266" s="973" t="s">
        <v>697</v>
      </c>
      <c r="K1266" s="973" t="s">
        <v>995</v>
      </c>
      <c r="L1266" s="973" t="s">
        <v>996</v>
      </c>
      <c r="M1266" s="973" t="s">
        <v>2000</v>
      </c>
      <c r="N1266" s="973" t="s">
        <v>2001</v>
      </c>
      <c r="O1266" s="973" t="s">
        <v>1971</v>
      </c>
      <c r="P1266" s="973" t="s">
        <v>999</v>
      </c>
      <c r="Q1266" s="973" t="s">
        <v>1000</v>
      </c>
      <c r="R1266" s="973" t="s">
        <v>1001</v>
      </c>
      <c r="S1266" s="973" t="s">
        <v>1002</v>
      </c>
      <c r="T1266" s="423">
        <v>500</v>
      </c>
      <c r="U1266" s="423" t="s">
        <v>1041</v>
      </c>
      <c r="V1266" s="423">
        <v>0.7</v>
      </c>
      <c r="W1266" s="423">
        <v>2</v>
      </c>
      <c r="X1266" s="423">
        <v>14</v>
      </c>
      <c r="Z1266" s="423" t="s">
        <v>1150</v>
      </c>
      <c r="AD1266" s="423">
        <f>IF(ISNUMBER(MATCH(B1266,'FICHA SOLIC'!$AB$26:$AB$376,0)),1,0)</f>
        <v>1</v>
      </c>
      <c r="AE1266" s="423" t="str">
        <f t="shared" si="19"/>
        <v>Puerto MonttZEU</v>
      </c>
    </row>
    <row r="1267" spans="1:31" x14ac:dyDescent="0.25">
      <c r="A1267" s="423">
        <v>1266</v>
      </c>
      <c r="B1267" s="423" t="s">
        <v>349</v>
      </c>
      <c r="C1267" s="423" t="s">
        <v>2452</v>
      </c>
      <c r="D1267" s="973" t="s">
        <v>990</v>
      </c>
      <c r="E1267" s="973" t="s">
        <v>991</v>
      </c>
      <c r="F1267" s="973" t="s">
        <v>992</v>
      </c>
      <c r="G1267" s="973" t="s">
        <v>1997</v>
      </c>
      <c r="H1267" s="973" t="s">
        <v>1998</v>
      </c>
      <c r="I1267" s="973" t="s">
        <v>1999</v>
      </c>
      <c r="J1267" s="973" t="s">
        <v>697</v>
      </c>
      <c r="K1267" s="973" t="s">
        <v>995</v>
      </c>
      <c r="L1267" s="973" t="s">
        <v>996</v>
      </c>
      <c r="M1267" s="973" t="s">
        <v>2000</v>
      </c>
      <c r="N1267" s="973" t="s">
        <v>2001</v>
      </c>
      <c r="O1267" s="973" t="s">
        <v>1971</v>
      </c>
      <c r="P1267" s="973" t="s">
        <v>999</v>
      </c>
      <c r="Q1267" s="973" t="s">
        <v>1000</v>
      </c>
      <c r="R1267" s="973" t="s">
        <v>1001</v>
      </c>
      <c r="S1267" s="973" t="s">
        <v>1002</v>
      </c>
      <c r="T1267" s="423">
        <v>2500</v>
      </c>
      <c r="U1267" s="423" t="s">
        <v>1041</v>
      </c>
      <c r="V1267" s="423">
        <v>0.2</v>
      </c>
      <c r="W1267" s="423">
        <v>0.4</v>
      </c>
      <c r="X1267" s="423" t="s">
        <v>2034</v>
      </c>
      <c r="Z1267" s="423" t="s">
        <v>1058</v>
      </c>
      <c r="AD1267" s="423">
        <f>IF(ISNUMBER(MATCH(B1267,'FICHA SOLIC'!$AB$26:$AB$376,0)),1,0)</f>
        <v>1</v>
      </c>
      <c r="AE1267" s="423" t="str">
        <f t="shared" si="19"/>
        <v>Puerto MonttZEUC-2</v>
      </c>
    </row>
    <row r="1268" spans="1:31" x14ac:dyDescent="0.25">
      <c r="A1268" s="423">
        <v>1267</v>
      </c>
      <c r="B1268" s="423" t="s">
        <v>391</v>
      </c>
      <c r="C1268" s="423" t="s">
        <v>1460</v>
      </c>
      <c r="D1268" s="973" t="s">
        <v>990</v>
      </c>
      <c r="E1268" s="973" t="s">
        <v>991</v>
      </c>
      <c r="F1268" s="973" t="s">
        <v>992</v>
      </c>
      <c r="G1268" s="973" t="s">
        <v>1997</v>
      </c>
      <c r="H1268" s="973" t="s">
        <v>1998</v>
      </c>
      <c r="I1268" s="973" t="s">
        <v>1999</v>
      </c>
      <c r="J1268" s="973" t="s">
        <v>697</v>
      </c>
      <c r="K1268" s="973" t="s">
        <v>995</v>
      </c>
      <c r="L1268" s="973" t="s">
        <v>996</v>
      </c>
      <c r="M1268" s="973" t="s">
        <v>2000</v>
      </c>
      <c r="N1268" s="973" t="s">
        <v>2001</v>
      </c>
      <c r="O1268" s="973" t="s">
        <v>1971</v>
      </c>
      <c r="P1268" s="973" t="s">
        <v>999</v>
      </c>
      <c r="Q1268" s="973" t="s">
        <v>1000</v>
      </c>
      <c r="R1268" s="973" t="s">
        <v>1001</v>
      </c>
      <c r="S1268" s="973" t="s">
        <v>1002</v>
      </c>
      <c r="T1268" s="423">
        <v>300</v>
      </c>
      <c r="U1268" s="423" t="s">
        <v>1041</v>
      </c>
      <c r="V1268" s="423">
        <v>0.75</v>
      </c>
      <c r="W1268" s="423">
        <v>2</v>
      </c>
      <c r="X1268" s="423">
        <v>17.5</v>
      </c>
      <c r="Z1268" s="423" t="s">
        <v>1270</v>
      </c>
      <c r="AD1268" s="423">
        <f>IF(ISNUMBER(MATCH(B1268,'FICHA SOLIC'!$AB$26:$AB$376,0)),1,0)</f>
        <v>1</v>
      </c>
      <c r="AE1268" s="423" t="str">
        <f t="shared" si="19"/>
        <v>Punta ArenasZC-1</v>
      </c>
    </row>
    <row r="1269" spans="1:31" x14ac:dyDescent="0.25">
      <c r="A1269" s="423">
        <v>1268</v>
      </c>
      <c r="B1269" s="423" t="s">
        <v>391</v>
      </c>
      <c r="C1269" s="423" t="s">
        <v>2453</v>
      </c>
      <c r="D1269" s="973" t="s">
        <v>990</v>
      </c>
      <c r="E1269" s="973" t="s">
        <v>991</v>
      </c>
      <c r="F1269" s="973" t="s">
        <v>992</v>
      </c>
      <c r="G1269" s="973" t="s">
        <v>1997</v>
      </c>
      <c r="H1269" s="973" t="s">
        <v>1998</v>
      </c>
      <c r="I1269" s="973" t="s">
        <v>1999</v>
      </c>
      <c r="J1269" s="973" t="s">
        <v>697</v>
      </c>
      <c r="K1269" s="973" t="s">
        <v>995</v>
      </c>
      <c r="L1269" s="973" t="s">
        <v>996</v>
      </c>
      <c r="M1269" s="973" t="s">
        <v>2000</v>
      </c>
      <c r="N1269" s="973" t="s">
        <v>2001</v>
      </c>
      <c r="O1269" s="973" t="s">
        <v>1971</v>
      </c>
      <c r="P1269" s="973" t="s">
        <v>999</v>
      </c>
      <c r="Q1269" s="973" t="s">
        <v>1000</v>
      </c>
      <c r="R1269" s="973" t="s">
        <v>1001</v>
      </c>
      <c r="S1269" s="973" t="s">
        <v>1002</v>
      </c>
      <c r="T1269" s="423">
        <v>300</v>
      </c>
      <c r="U1269" s="423" t="s">
        <v>1041</v>
      </c>
      <c r="V1269" s="423">
        <v>0.75</v>
      </c>
      <c r="W1269" s="423">
        <v>2</v>
      </c>
      <c r="X1269" s="423">
        <v>17.5</v>
      </c>
      <c r="Z1269" s="423" t="s">
        <v>1270</v>
      </c>
      <c r="AD1269" s="423">
        <f>IF(ISNUMBER(MATCH(B1269,'FICHA SOLIC'!$AB$26:$AB$376,0)),1,0)</f>
        <v>1</v>
      </c>
      <c r="AE1269" s="423" t="str">
        <f t="shared" si="19"/>
        <v>Punta ArenasZC-1A</v>
      </c>
    </row>
    <row r="1270" spans="1:31" x14ac:dyDescent="0.25">
      <c r="A1270" s="423">
        <v>1269</v>
      </c>
      <c r="B1270" s="423" t="s">
        <v>391</v>
      </c>
      <c r="C1270" s="423" t="s">
        <v>1461</v>
      </c>
      <c r="D1270" s="973" t="s">
        <v>990</v>
      </c>
      <c r="E1270" s="973" t="s">
        <v>991</v>
      </c>
      <c r="F1270" s="973" t="s">
        <v>992</v>
      </c>
      <c r="G1270" s="973" t="s">
        <v>1997</v>
      </c>
      <c r="H1270" s="973" t="s">
        <v>1998</v>
      </c>
      <c r="I1270" s="973" t="s">
        <v>1999</v>
      </c>
      <c r="J1270" s="973" t="s">
        <v>697</v>
      </c>
      <c r="K1270" s="973" t="s">
        <v>995</v>
      </c>
      <c r="L1270" s="973" t="s">
        <v>996</v>
      </c>
      <c r="M1270" s="973" t="s">
        <v>2000</v>
      </c>
      <c r="N1270" s="973" t="s">
        <v>2001</v>
      </c>
      <c r="O1270" s="973" t="s">
        <v>1971</v>
      </c>
      <c r="P1270" s="973" t="s">
        <v>999</v>
      </c>
      <c r="Q1270" s="973" t="s">
        <v>1000</v>
      </c>
      <c r="R1270" s="973" t="s">
        <v>1001</v>
      </c>
      <c r="S1270" s="973" t="s">
        <v>1002</v>
      </c>
      <c r="T1270" s="423">
        <v>150</v>
      </c>
      <c r="U1270" s="423" t="s">
        <v>1041</v>
      </c>
      <c r="V1270" s="423">
        <v>0.75</v>
      </c>
      <c r="W1270" s="423">
        <v>2</v>
      </c>
      <c r="X1270" s="423">
        <v>17.5</v>
      </c>
      <c r="Z1270" s="423" t="s">
        <v>1059</v>
      </c>
      <c r="AD1270" s="423">
        <f>IF(ISNUMBER(MATCH(B1270,'FICHA SOLIC'!$AB$26:$AB$376,0)),1,0)</f>
        <v>1</v>
      </c>
      <c r="AE1270" s="423" t="str">
        <f t="shared" si="19"/>
        <v>Punta ArenasZC-2</v>
      </c>
    </row>
    <row r="1271" spans="1:31" x14ac:dyDescent="0.25">
      <c r="A1271" s="423">
        <v>1270</v>
      </c>
      <c r="B1271" s="423" t="s">
        <v>391</v>
      </c>
      <c r="C1271" s="423" t="s">
        <v>2454</v>
      </c>
      <c r="D1271" s="973" t="s">
        <v>990</v>
      </c>
      <c r="E1271" s="973" t="s">
        <v>991</v>
      </c>
      <c r="F1271" s="973" t="s">
        <v>992</v>
      </c>
      <c r="G1271" s="973" t="s">
        <v>1997</v>
      </c>
      <c r="H1271" s="973" t="s">
        <v>1998</v>
      </c>
      <c r="I1271" s="973" t="s">
        <v>1999</v>
      </c>
      <c r="J1271" s="973" t="s">
        <v>697</v>
      </c>
      <c r="K1271" s="973" t="s">
        <v>995</v>
      </c>
      <c r="L1271" s="973" t="s">
        <v>996</v>
      </c>
      <c r="M1271" s="973" t="s">
        <v>2000</v>
      </c>
      <c r="N1271" s="973" t="s">
        <v>2001</v>
      </c>
      <c r="O1271" s="973" t="s">
        <v>1971</v>
      </c>
      <c r="P1271" s="973" t="s">
        <v>999</v>
      </c>
      <c r="Q1271" s="973" t="s">
        <v>1000</v>
      </c>
      <c r="R1271" s="973" t="s">
        <v>1001</v>
      </c>
      <c r="S1271" s="973" t="s">
        <v>1002</v>
      </c>
      <c r="T1271" s="423">
        <v>150</v>
      </c>
      <c r="U1271" s="423" t="s">
        <v>1041</v>
      </c>
      <c r="V1271" s="423">
        <v>0.75</v>
      </c>
      <c r="W1271" s="423">
        <v>1.5</v>
      </c>
      <c r="X1271" s="423">
        <v>10.5</v>
      </c>
      <c r="Z1271" s="423" t="s">
        <v>1057</v>
      </c>
      <c r="AD1271" s="423">
        <f>IF(ISNUMBER(MATCH(B1271,'FICHA SOLIC'!$AB$26:$AB$376,0)),1,0)</f>
        <v>1</v>
      </c>
      <c r="AE1271" s="423" t="str">
        <f t="shared" si="19"/>
        <v>Punta ArenasZC-2A</v>
      </c>
    </row>
    <row r="1272" spans="1:31" x14ac:dyDescent="0.25">
      <c r="A1272" s="423">
        <v>1271</v>
      </c>
      <c r="B1272" s="423" t="s">
        <v>391</v>
      </c>
      <c r="C1272" s="423" t="s">
        <v>2455</v>
      </c>
      <c r="D1272" s="973" t="s">
        <v>990</v>
      </c>
      <c r="E1272" s="973" t="s">
        <v>991</v>
      </c>
      <c r="F1272" s="973" t="s">
        <v>992</v>
      </c>
      <c r="G1272" s="973" t="s">
        <v>1997</v>
      </c>
      <c r="H1272" s="973" t="s">
        <v>1998</v>
      </c>
      <c r="I1272" s="973" t="s">
        <v>1999</v>
      </c>
      <c r="J1272" s="973" t="s">
        <v>697</v>
      </c>
      <c r="K1272" s="973" t="s">
        <v>995</v>
      </c>
      <c r="L1272" s="973" t="s">
        <v>996</v>
      </c>
      <c r="M1272" s="973" t="s">
        <v>2000</v>
      </c>
      <c r="N1272" s="973" t="s">
        <v>2001</v>
      </c>
      <c r="O1272" s="973" t="s">
        <v>1971</v>
      </c>
      <c r="P1272" s="973" t="s">
        <v>999</v>
      </c>
      <c r="Q1272" s="973" t="s">
        <v>1000</v>
      </c>
      <c r="R1272" s="973" t="s">
        <v>1001</v>
      </c>
      <c r="S1272" s="973" t="s">
        <v>1002</v>
      </c>
      <c r="T1272" s="423">
        <v>200</v>
      </c>
      <c r="U1272" s="423" t="s">
        <v>1041</v>
      </c>
      <c r="V1272" s="423">
        <v>0.8</v>
      </c>
      <c r="W1272" s="423">
        <v>1.5</v>
      </c>
      <c r="X1272" s="423">
        <v>7</v>
      </c>
      <c r="Z1272" s="423" t="s">
        <v>1057</v>
      </c>
      <c r="AD1272" s="423">
        <f>IF(ISNUMBER(MATCH(B1272,'FICHA SOLIC'!$AB$26:$AB$376,0)),1,0)</f>
        <v>1</v>
      </c>
      <c r="AE1272" s="423" t="str">
        <f t="shared" si="19"/>
        <v>Punta ArenasZM-BC</v>
      </c>
    </row>
    <row r="1273" spans="1:31" x14ac:dyDescent="0.25">
      <c r="A1273" s="423">
        <v>1272</v>
      </c>
      <c r="B1273" s="423" t="s">
        <v>391</v>
      </c>
      <c r="C1273" s="423" t="s">
        <v>2456</v>
      </c>
      <c r="D1273" s="973" t="s">
        <v>990</v>
      </c>
      <c r="E1273" s="973" t="s">
        <v>991</v>
      </c>
      <c r="F1273" s="973" t="s">
        <v>992</v>
      </c>
      <c r="G1273" s="973" t="s">
        <v>1997</v>
      </c>
      <c r="H1273" s="973" t="s">
        <v>1998</v>
      </c>
      <c r="I1273" s="973" t="s">
        <v>1999</v>
      </c>
      <c r="J1273" s="973" t="s">
        <v>697</v>
      </c>
      <c r="K1273" s="973" t="s">
        <v>995</v>
      </c>
      <c r="L1273" s="973" t="s">
        <v>996</v>
      </c>
      <c r="M1273" s="973" t="s">
        <v>2000</v>
      </c>
      <c r="N1273" s="973" t="s">
        <v>2001</v>
      </c>
      <c r="O1273" s="973" t="s">
        <v>1971</v>
      </c>
      <c r="P1273" s="973" t="s">
        <v>999</v>
      </c>
      <c r="Q1273" s="973" t="s">
        <v>1000</v>
      </c>
      <c r="R1273" s="973" t="s">
        <v>1001</v>
      </c>
      <c r="S1273" s="973" t="s">
        <v>1002</v>
      </c>
      <c r="T1273" s="423">
        <v>150</v>
      </c>
      <c r="U1273" s="423" t="s">
        <v>1041</v>
      </c>
      <c r="V1273" s="423">
        <v>0.75</v>
      </c>
      <c r="W1273" s="423">
        <v>3</v>
      </c>
      <c r="X1273" s="423">
        <v>21</v>
      </c>
      <c r="Z1273" s="423" t="s">
        <v>1059</v>
      </c>
      <c r="AD1273" s="423">
        <f>IF(ISNUMBER(MATCH(B1273,'FICHA SOLIC'!$AB$26:$AB$376,0)),1,0)</f>
        <v>1</v>
      </c>
      <c r="AE1273" s="423" t="str">
        <f t="shared" si="19"/>
        <v>Punta ArenasZMC-1</v>
      </c>
    </row>
    <row r="1274" spans="1:31" x14ac:dyDescent="0.25">
      <c r="A1274" s="423">
        <v>1273</v>
      </c>
      <c r="B1274" s="423" t="s">
        <v>391</v>
      </c>
      <c r="C1274" s="423" t="s">
        <v>2457</v>
      </c>
      <c r="D1274" s="973" t="s">
        <v>990</v>
      </c>
      <c r="E1274" s="973" t="s">
        <v>991</v>
      </c>
      <c r="F1274" s="973" t="s">
        <v>992</v>
      </c>
      <c r="G1274" s="973" t="s">
        <v>1997</v>
      </c>
      <c r="H1274" s="973" t="s">
        <v>1998</v>
      </c>
      <c r="I1274" s="973" t="s">
        <v>1999</v>
      </c>
      <c r="J1274" s="973" t="s">
        <v>697</v>
      </c>
      <c r="K1274" s="973" t="s">
        <v>995</v>
      </c>
      <c r="L1274" s="973" t="s">
        <v>996</v>
      </c>
      <c r="M1274" s="973" t="s">
        <v>2000</v>
      </c>
      <c r="N1274" s="973" t="s">
        <v>2001</v>
      </c>
      <c r="O1274" s="973" t="s">
        <v>1971</v>
      </c>
      <c r="P1274" s="973" t="s">
        <v>999</v>
      </c>
      <c r="Q1274" s="973" t="s">
        <v>1000</v>
      </c>
      <c r="R1274" s="973" t="s">
        <v>1001</v>
      </c>
      <c r="S1274" s="973" t="s">
        <v>1002</v>
      </c>
      <c r="T1274" s="423">
        <v>150</v>
      </c>
      <c r="U1274" s="423" t="s">
        <v>1041</v>
      </c>
      <c r="V1274" s="423">
        <v>0.6</v>
      </c>
      <c r="W1274" s="423">
        <v>3</v>
      </c>
      <c r="X1274" s="423">
        <v>17.5</v>
      </c>
      <c r="Z1274" s="423" t="s">
        <v>1057</v>
      </c>
      <c r="AD1274" s="423">
        <f>IF(ISNUMBER(MATCH(B1274,'FICHA SOLIC'!$AB$26:$AB$376,0)),1,0)</f>
        <v>1</v>
      </c>
      <c r="AE1274" s="423" t="str">
        <f t="shared" si="19"/>
        <v>Punta ArenasZMC-2</v>
      </c>
    </row>
    <row r="1275" spans="1:31" x14ac:dyDescent="0.25">
      <c r="A1275" s="423">
        <v>1274</v>
      </c>
      <c r="B1275" s="423" t="s">
        <v>391</v>
      </c>
      <c r="C1275" s="423" t="s">
        <v>2458</v>
      </c>
      <c r="D1275" s="973" t="s">
        <v>990</v>
      </c>
      <c r="E1275" s="973" t="s">
        <v>991</v>
      </c>
      <c r="F1275" s="973" t="s">
        <v>992</v>
      </c>
      <c r="G1275" s="973" t="s">
        <v>1997</v>
      </c>
      <c r="H1275" s="973" t="s">
        <v>1998</v>
      </c>
      <c r="I1275" s="973" t="s">
        <v>1999</v>
      </c>
      <c r="J1275" s="973" t="s">
        <v>697</v>
      </c>
      <c r="K1275" s="973" t="s">
        <v>995</v>
      </c>
      <c r="L1275" s="973" t="s">
        <v>996</v>
      </c>
      <c r="M1275" s="973" t="s">
        <v>2000</v>
      </c>
      <c r="N1275" s="973" t="s">
        <v>2001</v>
      </c>
      <c r="O1275" s="973" t="s">
        <v>1971</v>
      </c>
      <c r="P1275" s="973" t="s">
        <v>999</v>
      </c>
      <c r="Q1275" s="973" t="s">
        <v>1000</v>
      </c>
      <c r="R1275" s="973" t="s">
        <v>1001</v>
      </c>
      <c r="S1275" s="973" t="s">
        <v>1002</v>
      </c>
      <c r="T1275" s="423">
        <v>500</v>
      </c>
      <c r="U1275" s="423" t="s">
        <v>1041</v>
      </c>
      <c r="V1275" s="423">
        <v>0.75</v>
      </c>
      <c r="W1275" s="423">
        <v>4</v>
      </c>
      <c r="X1275" s="423">
        <v>28</v>
      </c>
      <c r="Z1275" s="423" t="s">
        <v>1270</v>
      </c>
      <c r="AD1275" s="423">
        <f>IF(ISNUMBER(MATCH(B1275,'FICHA SOLIC'!$AB$26:$AB$376,0)),1,0)</f>
        <v>1</v>
      </c>
      <c r="AE1275" s="423" t="str">
        <f t="shared" si="19"/>
        <v>Punta ArenasZMD-1</v>
      </c>
    </row>
    <row r="1276" spans="1:31" x14ac:dyDescent="0.25">
      <c r="A1276" s="423">
        <v>1275</v>
      </c>
      <c r="B1276" s="423" t="s">
        <v>391</v>
      </c>
      <c r="C1276" s="423" t="s">
        <v>2459</v>
      </c>
      <c r="D1276" s="973" t="s">
        <v>990</v>
      </c>
      <c r="E1276" s="973" t="s">
        <v>991</v>
      </c>
      <c r="F1276" s="973" t="s">
        <v>992</v>
      </c>
      <c r="G1276" s="973" t="s">
        <v>1997</v>
      </c>
      <c r="H1276" s="973" t="s">
        <v>1998</v>
      </c>
      <c r="I1276" s="973" t="s">
        <v>1999</v>
      </c>
      <c r="J1276" s="973" t="s">
        <v>697</v>
      </c>
      <c r="K1276" s="973" t="s">
        <v>995</v>
      </c>
      <c r="L1276" s="973" t="s">
        <v>996</v>
      </c>
      <c r="M1276" s="973" t="s">
        <v>2000</v>
      </c>
      <c r="N1276" s="973" t="s">
        <v>2001</v>
      </c>
      <c r="O1276" s="973" t="s">
        <v>1971</v>
      </c>
      <c r="P1276" s="973" t="s">
        <v>999</v>
      </c>
      <c r="Q1276" s="973" t="s">
        <v>1000</v>
      </c>
      <c r="R1276" s="973" t="s">
        <v>1001</v>
      </c>
      <c r="S1276" s="973" t="s">
        <v>1002</v>
      </c>
      <c r="T1276" s="423">
        <v>2000</v>
      </c>
      <c r="U1276" s="423" t="s">
        <v>1041</v>
      </c>
      <c r="V1276" s="423">
        <v>1</v>
      </c>
      <c r="W1276" s="423">
        <v>3</v>
      </c>
      <c r="X1276" s="423">
        <v>10.5</v>
      </c>
      <c r="Z1276" s="423" t="s">
        <v>1096</v>
      </c>
      <c r="AD1276" s="423">
        <f>IF(ISNUMBER(MATCH(B1276,'FICHA SOLIC'!$AB$26:$AB$376,0)),1,0)</f>
        <v>1</v>
      </c>
      <c r="AE1276" s="423" t="str">
        <f t="shared" si="19"/>
        <v>Punta ArenasZMD-2</v>
      </c>
    </row>
    <row r="1277" spans="1:31" x14ac:dyDescent="0.25">
      <c r="A1277" s="423">
        <v>1276</v>
      </c>
      <c r="B1277" s="423" t="s">
        <v>391</v>
      </c>
      <c r="C1277" s="423" t="s">
        <v>2460</v>
      </c>
      <c r="D1277" s="973" t="s">
        <v>990</v>
      </c>
      <c r="E1277" s="973" t="s">
        <v>991</v>
      </c>
      <c r="F1277" s="973" t="s">
        <v>992</v>
      </c>
      <c r="G1277" s="973" t="s">
        <v>1997</v>
      </c>
      <c r="H1277" s="973" t="s">
        <v>1998</v>
      </c>
      <c r="I1277" s="973" t="s">
        <v>1999</v>
      </c>
      <c r="J1277" s="973" t="s">
        <v>697</v>
      </c>
      <c r="K1277" s="973" t="s">
        <v>995</v>
      </c>
      <c r="L1277" s="973" t="s">
        <v>996</v>
      </c>
      <c r="M1277" s="973" t="s">
        <v>2000</v>
      </c>
      <c r="N1277" s="973" t="s">
        <v>2001</v>
      </c>
      <c r="O1277" s="973" t="s">
        <v>1971</v>
      </c>
      <c r="P1277" s="973" t="s">
        <v>999</v>
      </c>
      <c r="Q1277" s="973" t="s">
        <v>1000</v>
      </c>
      <c r="R1277" s="973" t="s">
        <v>1001</v>
      </c>
      <c r="S1277" s="973" t="s">
        <v>1002</v>
      </c>
      <c r="T1277" s="423">
        <v>200</v>
      </c>
      <c r="U1277" s="423" t="s">
        <v>1041</v>
      </c>
      <c r="V1277" s="423">
        <v>0.75</v>
      </c>
      <c r="W1277" s="423">
        <v>1.5</v>
      </c>
      <c r="X1277" s="423">
        <v>14</v>
      </c>
      <c r="Z1277" s="423" t="s">
        <v>1057</v>
      </c>
      <c r="AD1277" s="423">
        <f>IF(ISNUMBER(MATCH(B1277,'FICHA SOLIC'!$AB$26:$AB$376,0)),1,0)</f>
        <v>1</v>
      </c>
      <c r="AE1277" s="423" t="str">
        <f t="shared" si="19"/>
        <v>Punta ArenasZMD-3</v>
      </c>
    </row>
    <row r="1278" spans="1:31" x14ac:dyDescent="0.25">
      <c r="A1278" s="423">
        <v>1277</v>
      </c>
      <c r="B1278" s="423" t="s">
        <v>391</v>
      </c>
      <c r="C1278" s="423" t="s">
        <v>2461</v>
      </c>
      <c r="D1278" s="973" t="s">
        <v>990</v>
      </c>
      <c r="E1278" s="973" t="s">
        <v>991</v>
      </c>
      <c r="F1278" s="973" t="s">
        <v>992</v>
      </c>
      <c r="G1278" s="973" t="s">
        <v>1997</v>
      </c>
      <c r="H1278" s="973" t="s">
        <v>1998</v>
      </c>
      <c r="I1278" s="973" t="s">
        <v>1999</v>
      </c>
      <c r="J1278" s="973" t="s">
        <v>697</v>
      </c>
      <c r="K1278" s="973" t="s">
        <v>995</v>
      </c>
      <c r="L1278" s="973" t="s">
        <v>996</v>
      </c>
      <c r="M1278" s="973" t="s">
        <v>2000</v>
      </c>
      <c r="N1278" s="973" t="s">
        <v>2001</v>
      </c>
      <c r="O1278" s="973" t="s">
        <v>1971</v>
      </c>
      <c r="P1278" s="973" t="s">
        <v>999</v>
      </c>
      <c r="Q1278" s="973" t="s">
        <v>1000</v>
      </c>
      <c r="R1278" s="973" t="s">
        <v>1001</v>
      </c>
      <c r="S1278" s="973" t="s">
        <v>1002</v>
      </c>
      <c r="T1278" s="423">
        <v>500</v>
      </c>
      <c r="U1278" s="423" t="s">
        <v>1041</v>
      </c>
      <c r="V1278" s="423">
        <v>0.75</v>
      </c>
      <c r="W1278" s="423">
        <v>4</v>
      </c>
      <c r="X1278" s="423">
        <v>21</v>
      </c>
      <c r="Z1278" s="423" t="s">
        <v>1057</v>
      </c>
      <c r="AD1278" s="423">
        <f>IF(ISNUMBER(MATCH(B1278,'FICHA SOLIC'!$AB$26:$AB$376,0)),1,0)</f>
        <v>1</v>
      </c>
      <c r="AE1278" s="423" t="str">
        <f t="shared" si="19"/>
        <v>Punta ArenasZMD-4</v>
      </c>
    </row>
    <row r="1279" spans="1:31" x14ac:dyDescent="0.25">
      <c r="A1279" s="423">
        <v>1278</v>
      </c>
      <c r="B1279" s="423" t="s">
        <v>391</v>
      </c>
      <c r="C1279" s="423" t="s">
        <v>2462</v>
      </c>
      <c r="D1279" s="973" t="s">
        <v>990</v>
      </c>
      <c r="E1279" s="973" t="s">
        <v>991</v>
      </c>
      <c r="F1279" s="973" t="s">
        <v>992</v>
      </c>
      <c r="G1279" s="973" t="s">
        <v>1997</v>
      </c>
      <c r="H1279" s="973" t="s">
        <v>1998</v>
      </c>
      <c r="I1279" s="973" t="s">
        <v>1999</v>
      </c>
      <c r="J1279" s="973" t="s">
        <v>697</v>
      </c>
      <c r="K1279" s="973" t="s">
        <v>995</v>
      </c>
      <c r="L1279" s="973" t="s">
        <v>996</v>
      </c>
      <c r="M1279" s="973" t="s">
        <v>2000</v>
      </c>
      <c r="N1279" s="973" t="s">
        <v>2001</v>
      </c>
      <c r="O1279" s="973" t="s">
        <v>1971</v>
      </c>
      <c r="P1279" s="973" t="s">
        <v>999</v>
      </c>
      <c r="Q1279" s="973" t="s">
        <v>1000</v>
      </c>
      <c r="R1279" s="973" t="s">
        <v>1001</v>
      </c>
      <c r="S1279" s="973" t="s">
        <v>1002</v>
      </c>
      <c r="T1279" s="423">
        <v>200</v>
      </c>
      <c r="U1279" s="423" t="s">
        <v>1041</v>
      </c>
      <c r="V1279" s="423">
        <v>0.75</v>
      </c>
      <c r="W1279" s="423">
        <v>3</v>
      </c>
      <c r="X1279" s="423">
        <v>14</v>
      </c>
      <c r="Z1279" s="423" t="s">
        <v>1057</v>
      </c>
      <c r="AD1279" s="423">
        <f>IF(ISNUMBER(MATCH(B1279,'FICHA SOLIC'!$AB$26:$AB$376,0)),1,0)</f>
        <v>1</v>
      </c>
      <c r="AE1279" s="423" t="str">
        <f t="shared" si="19"/>
        <v>Punta ArenasZMD-4A</v>
      </c>
    </row>
    <row r="1280" spans="1:31" x14ac:dyDescent="0.25">
      <c r="A1280" s="423">
        <v>1279</v>
      </c>
      <c r="B1280" s="423" t="s">
        <v>391</v>
      </c>
      <c r="C1280" s="423" t="s">
        <v>2463</v>
      </c>
      <c r="D1280" s="973" t="s">
        <v>990</v>
      </c>
      <c r="E1280" s="973" t="s">
        <v>991</v>
      </c>
      <c r="F1280" s="973" t="s">
        <v>992</v>
      </c>
      <c r="G1280" s="973" t="s">
        <v>1997</v>
      </c>
      <c r="H1280" s="973" t="s">
        <v>1998</v>
      </c>
      <c r="I1280" s="973" t="s">
        <v>1999</v>
      </c>
      <c r="J1280" s="973" t="s">
        <v>697</v>
      </c>
      <c r="K1280" s="973" t="s">
        <v>995</v>
      </c>
      <c r="L1280" s="973" t="s">
        <v>996</v>
      </c>
      <c r="M1280" s="973" t="s">
        <v>2000</v>
      </c>
      <c r="N1280" s="973" t="s">
        <v>2001</v>
      </c>
      <c r="O1280" s="973" t="s">
        <v>1971</v>
      </c>
      <c r="P1280" s="973" t="s">
        <v>999</v>
      </c>
      <c r="Q1280" s="973" t="s">
        <v>1000</v>
      </c>
      <c r="R1280" s="973" t="s">
        <v>1001</v>
      </c>
      <c r="S1280" s="973" t="s">
        <v>1002</v>
      </c>
      <c r="T1280" s="423">
        <v>150</v>
      </c>
      <c r="U1280" s="423" t="s">
        <v>1041</v>
      </c>
      <c r="V1280" s="423">
        <v>0.75</v>
      </c>
      <c r="W1280" s="423">
        <v>1.5</v>
      </c>
      <c r="X1280" s="423">
        <v>7</v>
      </c>
      <c r="Z1280" s="423" t="s">
        <v>1057</v>
      </c>
      <c r="AD1280" s="423">
        <f>IF(ISNUMBER(MATCH(B1280,'FICHA SOLIC'!$AB$26:$AB$376,0)),1,0)</f>
        <v>1</v>
      </c>
      <c r="AE1280" s="423" t="str">
        <f t="shared" si="19"/>
        <v>Punta ArenasZMN-1</v>
      </c>
    </row>
    <row r="1281" spans="1:31" x14ac:dyDescent="0.25">
      <c r="A1281" s="423">
        <v>1280</v>
      </c>
      <c r="B1281" s="423" t="s">
        <v>391</v>
      </c>
      <c r="C1281" s="423" t="s">
        <v>2464</v>
      </c>
      <c r="D1281" s="973" t="s">
        <v>990</v>
      </c>
      <c r="E1281" s="973" t="s">
        <v>991</v>
      </c>
      <c r="F1281" s="973" t="s">
        <v>992</v>
      </c>
      <c r="G1281" s="973" t="s">
        <v>1997</v>
      </c>
      <c r="H1281" s="973" t="s">
        <v>1998</v>
      </c>
      <c r="I1281" s="973" t="s">
        <v>1999</v>
      </c>
      <c r="J1281" s="973" t="s">
        <v>697</v>
      </c>
      <c r="K1281" s="973" t="s">
        <v>995</v>
      </c>
      <c r="L1281" s="973" t="s">
        <v>996</v>
      </c>
      <c r="M1281" s="973" t="s">
        <v>2000</v>
      </c>
      <c r="N1281" s="973" t="s">
        <v>2001</v>
      </c>
      <c r="O1281" s="973" t="s">
        <v>1971</v>
      </c>
      <c r="P1281" s="973" t="s">
        <v>999</v>
      </c>
      <c r="Q1281" s="973" t="s">
        <v>1000</v>
      </c>
      <c r="R1281" s="973" t="s">
        <v>1001</v>
      </c>
      <c r="S1281" s="973" t="s">
        <v>1002</v>
      </c>
      <c r="T1281" s="423">
        <v>500</v>
      </c>
      <c r="U1281" s="423" t="s">
        <v>1041</v>
      </c>
      <c r="V1281" s="423">
        <v>0.6</v>
      </c>
      <c r="W1281" s="423">
        <v>0.6</v>
      </c>
      <c r="X1281" s="423">
        <v>7</v>
      </c>
      <c r="Z1281" s="423" t="s">
        <v>1058</v>
      </c>
      <c r="AD1281" s="423">
        <f>IF(ISNUMBER(MATCH(B1281,'FICHA SOLIC'!$AB$26:$AB$376,0)),1,0)</f>
        <v>1</v>
      </c>
      <c r="AE1281" s="423" t="str">
        <f t="shared" si="19"/>
        <v>Punta ArenasZMN-2</v>
      </c>
    </row>
    <row r="1282" spans="1:31" x14ac:dyDescent="0.25">
      <c r="A1282" s="423">
        <v>1281</v>
      </c>
      <c r="B1282" s="423" t="s">
        <v>391</v>
      </c>
      <c r="C1282" s="423" t="s">
        <v>2465</v>
      </c>
      <c r="D1282" s="973" t="s">
        <v>2466</v>
      </c>
      <c r="E1282" s="973" t="s">
        <v>991</v>
      </c>
      <c r="F1282" s="973" t="s">
        <v>992</v>
      </c>
      <c r="G1282" s="973" t="s">
        <v>1997</v>
      </c>
      <c r="H1282" s="973" t="s">
        <v>1998</v>
      </c>
      <c r="I1282" s="973" t="s">
        <v>1999</v>
      </c>
      <c r="J1282" s="973" t="s">
        <v>697</v>
      </c>
      <c r="K1282" s="973" t="s">
        <v>995</v>
      </c>
      <c r="L1282" s="973" t="s">
        <v>996</v>
      </c>
      <c r="M1282" s="973" t="s">
        <v>2000</v>
      </c>
      <c r="N1282" s="973" t="s">
        <v>2001</v>
      </c>
      <c r="O1282" s="973" t="s">
        <v>1971</v>
      </c>
      <c r="P1282" s="973" t="s">
        <v>999</v>
      </c>
      <c r="Q1282" s="973" t="s">
        <v>1000</v>
      </c>
      <c r="R1282" s="973" t="s">
        <v>1001</v>
      </c>
      <c r="S1282" s="973" t="s">
        <v>1002</v>
      </c>
      <c r="T1282" s="423">
        <v>1500</v>
      </c>
      <c r="U1282" s="423" t="s">
        <v>1041</v>
      </c>
      <c r="V1282" s="423">
        <v>0.5</v>
      </c>
      <c r="W1282" s="423">
        <v>0.5</v>
      </c>
      <c r="X1282" s="423">
        <v>7</v>
      </c>
      <c r="Z1282" s="423" t="s">
        <v>1058</v>
      </c>
      <c r="AD1282" s="423">
        <f>IF(ISNUMBER(MATCH(B1282,'FICHA SOLIC'!$AB$26:$AB$376,0)),1,0)</f>
        <v>1</v>
      </c>
      <c r="AE1282" s="423" t="str">
        <f t="shared" si="19"/>
        <v>Punta ArenasZMN-3</v>
      </c>
    </row>
    <row r="1283" spans="1:31" x14ac:dyDescent="0.25">
      <c r="A1283" s="423">
        <v>1282</v>
      </c>
      <c r="B1283" s="423" t="s">
        <v>391</v>
      </c>
      <c r="C1283" s="423" t="s">
        <v>2467</v>
      </c>
      <c r="D1283" s="973" t="s">
        <v>990</v>
      </c>
      <c r="E1283" s="973" t="s">
        <v>991</v>
      </c>
      <c r="F1283" s="973" t="s">
        <v>992</v>
      </c>
      <c r="G1283" s="973" t="s">
        <v>1997</v>
      </c>
      <c r="H1283" s="973" t="s">
        <v>1998</v>
      </c>
      <c r="I1283" s="973" t="s">
        <v>1999</v>
      </c>
      <c r="J1283" s="973" t="s">
        <v>697</v>
      </c>
      <c r="K1283" s="973" t="s">
        <v>995</v>
      </c>
      <c r="L1283" s="973" t="s">
        <v>996</v>
      </c>
      <c r="M1283" s="973" t="s">
        <v>2000</v>
      </c>
      <c r="N1283" s="973" t="s">
        <v>2001</v>
      </c>
      <c r="O1283" s="973" t="s">
        <v>1971</v>
      </c>
      <c r="P1283" s="973" t="s">
        <v>999</v>
      </c>
      <c r="Q1283" s="973" t="s">
        <v>1000</v>
      </c>
      <c r="R1283" s="973" t="s">
        <v>1001</v>
      </c>
      <c r="S1283" s="973" t="s">
        <v>1002</v>
      </c>
      <c r="T1283" s="423">
        <v>150</v>
      </c>
      <c r="U1283" s="423" t="s">
        <v>1041</v>
      </c>
      <c r="V1283" s="423">
        <v>0.75</v>
      </c>
      <c r="W1283" s="423">
        <v>2</v>
      </c>
      <c r="X1283" s="423">
        <v>17.5</v>
      </c>
      <c r="Z1283" s="423" t="s">
        <v>1059</v>
      </c>
      <c r="AD1283" s="423">
        <f>IF(ISNUMBER(MATCH(B1283,'FICHA SOLIC'!$AB$26:$AB$376,0)),1,0)</f>
        <v>1</v>
      </c>
      <c r="AE1283" s="423" t="str">
        <f t="shared" ref="AE1283:AE1346" si="20">B1283&amp;C1283</f>
        <v>Punta ArenasZMR-1</v>
      </c>
    </row>
    <row r="1284" spans="1:31" x14ac:dyDescent="0.25">
      <c r="A1284" s="423">
        <v>1283</v>
      </c>
      <c r="B1284" s="423" t="s">
        <v>391</v>
      </c>
      <c r="C1284" s="423" t="s">
        <v>2468</v>
      </c>
      <c r="D1284" s="973" t="s">
        <v>990</v>
      </c>
      <c r="E1284" s="973" t="s">
        <v>991</v>
      </c>
      <c r="F1284" s="973" t="s">
        <v>992</v>
      </c>
      <c r="G1284" s="973" t="s">
        <v>1997</v>
      </c>
      <c r="H1284" s="973" t="s">
        <v>1998</v>
      </c>
      <c r="I1284" s="973" t="s">
        <v>1999</v>
      </c>
      <c r="J1284" s="973" t="s">
        <v>697</v>
      </c>
      <c r="K1284" s="973" t="s">
        <v>995</v>
      </c>
      <c r="L1284" s="973" t="s">
        <v>996</v>
      </c>
      <c r="M1284" s="973" t="s">
        <v>2000</v>
      </c>
      <c r="N1284" s="973" t="s">
        <v>2001</v>
      </c>
      <c r="O1284" s="973" t="s">
        <v>1971</v>
      </c>
      <c r="P1284" s="973" t="s">
        <v>999</v>
      </c>
      <c r="Q1284" s="973" t="s">
        <v>1000</v>
      </c>
      <c r="R1284" s="973" t="s">
        <v>1001</v>
      </c>
      <c r="S1284" s="973" t="s">
        <v>1002</v>
      </c>
      <c r="T1284" s="423">
        <v>300</v>
      </c>
      <c r="U1284" s="423" t="s">
        <v>1041</v>
      </c>
      <c r="V1284" s="423">
        <v>0.75</v>
      </c>
      <c r="W1284" s="423">
        <v>3</v>
      </c>
      <c r="X1284" s="423">
        <v>21</v>
      </c>
      <c r="Z1284" s="423" t="s">
        <v>1059</v>
      </c>
      <c r="AD1284" s="423">
        <f>IF(ISNUMBER(MATCH(B1284,'FICHA SOLIC'!$AB$26:$AB$376,0)),1,0)</f>
        <v>1</v>
      </c>
      <c r="AE1284" s="423" t="str">
        <f t="shared" si="20"/>
        <v>Punta ArenasZMR-2</v>
      </c>
    </row>
    <row r="1285" spans="1:31" x14ac:dyDescent="0.25">
      <c r="A1285" s="423">
        <v>1284</v>
      </c>
      <c r="B1285" s="423" t="s">
        <v>391</v>
      </c>
      <c r="C1285" s="423" t="s">
        <v>2469</v>
      </c>
      <c r="D1285" s="973" t="s">
        <v>990</v>
      </c>
      <c r="E1285" s="973" t="s">
        <v>991</v>
      </c>
      <c r="F1285" s="973" t="s">
        <v>992</v>
      </c>
      <c r="G1285" s="973" t="s">
        <v>1997</v>
      </c>
      <c r="H1285" s="973" t="s">
        <v>1998</v>
      </c>
      <c r="I1285" s="973" t="s">
        <v>1999</v>
      </c>
      <c r="J1285" s="973" t="s">
        <v>697</v>
      </c>
      <c r="K1285" s="973" t="s">
        <v>995</v>
      </c>
      <c r="L1285" s="973" t="s">
        <v>996</v>
      </c>
      <c r="M1285" s="973" t="s">
        <v>2000</v>
      </c>
      <c r="N1285" s="973" t="s">
        <v>2001</v>
      </c>
      <c r="O1285" s="973" t="s">
        <v>1971</v>
      </c>
      <c r="P1285" s="973" t="s">
        <v>999</v>
      </c>
      <c r="Q1285" s="973" t="s">
        <v>1000</v>
      </c>
      <c r="R1285" s="973" t="s">
        <v>1001</v>
      </c>
      <c r="S1285" s="973" t="s">
        <v>1002</v>
      </c>
      <c r="T1285" s="423">
        <v>150</v>
      </c>
      <c r="U1285" s="423" t="s">
        <v>1041</v>
      </c>
      <c r="V1285" s="423">
        <v>0.75</v>
      </c>
      <c r="W1285" s="423">
        <v>3</v>
      </c>
      <c r="X1285" s="423">
        <v>14</v>
      </c>
      <c r="Z1285" s="423" t="s">
        <v>1059</v>
      </c>
      <c r="AD1285" s="423">
        <f>IF(ISNUMBER(MATCH(B1285,'FICHA SOLIC'!$AB$26:$AB$376,0)),1,0)</f>
        <v>1</v>
      </c>
      <c r="AE1285" s="423" t="str">
        <f t="shared" si="20"/>
        <v>Punta ArenasZMR-3</v>
      </c>
    </row>
    <row r="1286" spans="1:31" x14ac:dyDescent="0.25">
      <c r="A1286" s="423">
        <v>1285</v>
      </c>
      <c r="B1286" s="423" t="s">
        <v>391</v>
      </c>
      <c r="C1286" s="423" t="s">
        <v>2470</v>
      </c>
      <c r="D1286" s="973" t="s">
        <v>990</v>
      </c>
      <c r="E1286" s="973" t="s">
        <v>991</v>
      </c>
      <c r="F1286" s="973" t="s">
        <v>992</v>
      </c>
      <c r="G1286" s="973" t="s">
        <v>1997</v>
      </c>
      <c r="H1286" s="973" t="s">
        <v>1998</v>
      </c>
      <c r="I1286" s="973" t="s">
        <v>1999</v>
      </c>
      <c r="J1286" s="973" t="s">
        <v>697</v>
      </c>
      <c r="K1286" s="973" t="s">
        <v>995</v>
      </c>
      <c r="L1286" s="973" t="s">
        <v>996</v>
      </c>
      <c r="M1286" s="973" t="s">
        <v>2000</v>
      </c>
      <c r="N1286" s="973" t="s">
        <v>2001</v>
      </c>
      <c r="O1286" s="973" t="s">
        <v>1971</v>
      </c>
      <c r="P1286" s="973" t="s">
        <v>999</v>
      </c>
      <c r="Q1286" s="973" t="s">
        <v>1000</v>
      </c>
      <c r="R1286" s="973" t="s">
        <v>1001</v>
      </c>
      <c r="S1286" s="973" t="s">
        <v>1002</v>
      </c>
      <c r="T1286" s="423">
        <v>300</v>
      </c>
      <c r="U1286" s="423" t="s">
        <v>1041</v>
      </c>
      <c r="V1286" s="423">
        <v>1</v>
      </c>
      <c r="W1286" s="423">
        <v>6</v>
      </c>
      <c r="X1286" s="423">
        <v>28</v>
      </c>
      <c r="Z1286" s="423" t="s">
        <v>1059</v>
      </c>
      <c r="AD1286" s="423">
        <f>IF(ISNUMBER(MATCH(B1286,'FICHA SOLIC'!$AB$26:$AB$376,0)),1,0)</f>
        <v>1</v>
      </c>
      <c r="AE1286" s="423" t="str">
        <f t="shared" si="20"/>
        <v>Punta ArenasZM-ZF</v>
      </c>
    </row>
    <row r="1287" spans="1:31" x14ac:dyDescent="0.25">
      <c r="A1287" s="423">
        <v>1286</v>
      </c>
      <c r="B1287" s="423" t="s">
        <v>391</v>
      </c>
      <c r="C1287" s="423" t="s">
        <v>2471</v>
      </c>
      <c r="D1287" s="973" t="s">
        <v>990</v>
      </c>
      <c r="E1287" s="973" t="s">
        <v>991</v>
      </c>
      <c r="F1287" s="973" t="s">
        <v>992</v>
      </c>
      <c r="G1287" s="973" t="s">
        <v>1997</v>
      </c>
      <c r="H1287" s="973" t="s">
        <v>1998</v>
      </c>
      <c r="I1287" s="973" t="s">
        <v>1999</v>
      </c>
      <c r="J1287" s="973" t="s">
        <v>697</v>
      </c>
      <c r="K1287" s="973" t="s">
        <v>995</v>
      </c>
      <c r="L1287" s="973" t="s">
        <v>996</v>
      </c>
      <c r="M1287" s="973" t="s">
        <v>2000</v>
      </c>
      <c r="N1287" s="973" t="s">
        <v>2001</v>
      </c>
      <c r="O1287" s="973" t="s">
        <v>1971</v>
      </c>
      <c r="P1287" s="973" t="s">
        <v>999</v>
      </c>
      <c r="Q1287" s="973" t="s">
        <v>1000</v>
      </c>
      <c r="R1287" s="973" t="s">
        <v>1001</v>
      </c>
      <c r="S1287" s="973" t="s">
        <v>1002</v>
      </c>
      <c r="T1287" s="423">
        <v>200</v>
      </c>
      <c r="U1287" s="423" t="s">
        <v>1041</v>
      </c>
      <c r="V1287" s="423">
        <v>0.75</v>
      </c>
      <c r="W1287" s="423">
        <v>3</v>
      </c>
      <c r="X1287" s="423">
        <v>17.5</v>
      </c>
      <c r="Z1287" s="423" t="s">
        <v>1057</v>
      </c>
      <c r="AD1287" s="423">
        <f>IF(ISNUMBER(MATCH(B1287,'FICHA SOLIC'!$AB$26:$AB$376,0)),1,0)</f>
        <v>1</v>
      </c>
      <c r="AE1287" s="423" t="str">
        <f t="shared" si="20"/>
        <v>Punta ArenasZSC-1</v>
      </c>
    </row>
    <row r="1288" spans="1:31" x14ac:dyDescent="0.25">
      <c r="A1288" s="423">
        <v>1287</v>
      </c>
      <c r="B1288" s="423" t="s">
        <v>427</v>
      </c>
      <c r="C1288" s="423" t="s">
        <v>1282</v>
      </c>
      <c r="D1288" s="425" t="s">
        <v>990</v>
      </c>
      <c r="E1288" s="425" t="s">
        <v>991</v>
      </c>
      <c r="F1288" s="425" t="s">
        <v>992</v>
      </c>
      <c r="G1288" s="425" t="s">
        <v>1054</v>
      </c>
      <c r="H1288" s="426" t="s">
        <v>699</v>
      </c>
      <c r="I1288" s="425" t="s">
        <v>1055</v>
      </c>
      <c r="J1288" s="425" t="s">
        <v>697</v>
      </c>
      <c r="K1288" s="425" t="s">
        <v>995</v>
      </c>
      <c r="L1288" s="425" t="s">
        <v>996</v>
      </c>
      <c r="M1288" s="425" t="s">
        <v>997</v>
      </c>
      <c r="N1288" s="425" t="s">
        <v>558</v>
      </c>
      <c r="O1288" s="425" t="s">
        <v>998</v>
      </c>
      <c r="P1288" s="425" t="s">
        <v>999</v>
      </c>
      <c r="Q1288" s="425" t="s">
        <v>1000</v>
      </c>
      <c r="R1288" s="425" t="s">
        <v>1001</v>
      </c>
      <c r="S1288" s="425" t="s">
        <v>1002</v>
      </c>
      <c r="T1288" s="423">
        <v>160</v>
      </c>
      <c r="U1288" s="423">
        <v>8</v>
      </c>
      <c r="V1288" s="423">
        <v>60</v>
      </c>
      <c r="X1288" s="423" t="s">
        <v>1041</v>
      </c>
      <c r="Y1288" s="423" t="s">
        <v>1041</v>
      </c>
      <c r="Z1288" s="423" t="s">
        <v>1059</v>
      </c>
      <c r="AD1288" s="423">
        <f>IF(ISNUMBER(MATCH(B1288,'FICHA SOLIC'!$AB$26:$AB$376,0)),1,0)</f>
        <v>1</v>
      </c>
      <c r="AE1288" s="423" t="str">
        <f t="shared" si="20"/>
        <v>QuilicuraH1</v>
      </c>
    </row>
    <row r="1289" spans="1:31" x14ac:dyDescent="0.25">
      <c r="A1289" s="423">
        <v>1288</v>
      </c>
      <c r="B1289" s="423" t="s">
        <v>427</v>
      </c>
      <c r="C1289" s="423" t="s">
        <v>1283</v>
      </c>
      <c r="D1289" s="425" t="s">
        <v>990</v>
      </c>
      <c r="E1289" s="425" t="s">
        <v>991</v>
      </c>
      <c r="F1289" s="425" t="s">
        <v>992</v>
      </c>
      <c r="G1289" s="425" t="s">
        <v>1054</v>
      </c>
      <c r="H1289" s="426" t="s">
        <v>699</v>
      </c>
      <c r="I1289" s="425" t="s">
        <v>1055</v>
      </c>
      <c r="J1289" s="425" t="s">
        <v>697</v>
      </c>
      <c r="K1289" s="425" t="s">
        <v>995</v>
      </c>
      <c r="L1289" s="425" t="s">
        <v>996</v>
      </c>
      <c r="M1289" s="425" t="s">
        <v>997</v>
      </c>
      <c r="N1289" s="425" t="s">
        <v>558</v>
      </c>
      <c r="O1289" s="425" t="s">
        <v>998</v>
      </c>
      <c r="P1289" s="425" t="s">
        <v>999</v>
      </c>
      <c r="Q1289" s="425" t="s">
        <v>1000</v>
      </c>
      <c r="R1289" s="425" t="s">
        <v>1001</v>
      </c>
      <c r="S1289" s="425" t="s">
        <v>1002</v>
      </c>
      <c r="T1289" s="423">
        <v>200</v>
      </c>
      <c r="U1289" s="423">
        <v>10</v>
      </c>
      <c r="V1289" s="423">
        <v>40</v>
      </c>
      <c r="X1289" s="423" t="s">
        <v>1041</v>
      </c>
      <c r="Y1289" s="423" t="s">
        <v>1041</v>
      </c>
      <c r="Z1289" s="423" t="s">
        <v>1059</v>
      </c>
      <c r="AD1289" s="423">
        <f>IF(ISNUMBER(MATCH(B1289,'FICHA SOLIC'!$AB$26:$AB$376,0)),1,0)</f>
        <v>1</v>
      </c>
      <c r="AE1289" s="423" t="str">
        <f t="shared" si="20"/>
        <v>QuilicuraH2</v>
      </c>
    </row>
    <row r="1290" spans="1:31" x14ac:dyDescent="0.25">
      <c r="A1290" s="423">
        <v>1289</v>
      </c>
      <c r="B1290" s="423" t="s">
        <v>427</v>
      </c>
      <c r="C1290" s="423" t="s">
        <v>1486</v>
      </c>
      <c r="D1290" s="425" t="s">
        <v>990</v>
      </c>
      <c r="E1290" s="425" t="s">
        <v>991</v>
      </c>
      <c r="F1290" s="425" t="s">
        <v>992</v>
      </c>
      <c r="G1290" s="425" t="s">
        <v>1054</v>
      </c>
      <c r="H1290" s="426" t="s">
        <v>699</v>
      </c>
      <c r="I1290" s="425" t="s">
        <v>1055</v>
      </c>
      <c r="J1290" s="425" t="s">
        <v>697</v>
      </c>
      <c r="K1290" s="425" t="s">
        <v>995</v>
      </c>
      <c r="L1290" s="425" t="s">
        <v>996</v>
      </c>
      <c r="M1290" s="425" t="s">
        <v>997</v>
      </c>
      <c r="N1290" s="425" t="s">
        <v>558</v>
      </c>
      <c r="O1290" s="425" t="s">
        <v>998</v>
      </c>
      <c r="P1290" s="425" t="s">
        <v>999</v>
      </c>
      <c r="Q1290" s="425" t="s">
        <v>1000</v>
      </c>
      <c r="R1290" s="425" t="s">
        <v>1001</v>
      </c>
      <c r="S1290" s="425" t="s">
        <v>1002</v>
      </c>
      <c r="T1290" s="423">
        <v>1500</v>
      </c>
      <c r="U1290" s="423">
        <v>30</v>
      </c>
      <c r="V1290" s="423">
        <v>60</v>
      </c>
      <c r="X1290" s="423" t="s">
        <v>1041</v>
      </c>
      <c r="Y1290" s="423">
        <v>5</v>
      </c>
      <c r="Z1290" s="423" t="s">
        <v>1058</v>
      </c>
      <c r="AD1290" s="423">
        <f>IF(ISNUMBER(MATCH(B1290,'FICHA SOLIC'!$AB$26:$AB$376,0)),1,0)</f>
        <v>1</v>
      </c>
      <c r="AE1290" s="423" t="str">
        <f t="shared" si="20"/>
        <v>QuilicuraI1</v>
      </c>
    </row>
    <row r="1291" spans="1:31" x14ac:dyDescent="0.25">
      <c r="A1291" s="423">
        <v>1290</v>
      </c>
      <c r="B1291" s="423" t="s">
        <v>427</v>
      </c>
      <c r="C1291" s="423" t="s">
        <v>1487</v>
      </c>
      <c r="D1291" s="425" t="s">
        <v>990</v>
      </c>
      <c r="E1291" s="425" t="s">
        <v>991</v>
      </c>
      <c r="F1291" s="425" t="s">
        <v>992</v>
      </c>
      <c r="G1291" s="425" t="s">
        <v>1054</v>
      </c>
      <c r="H1291" s="426" t="s">
        <v>699</v>
      </c>
      <c r="I1291" s="425" t="s">
        <v>1055</v>
      </c>
      <c r="J1291" s="425" t="s">
        <v>697</v>
      </c>
      <c r="K1291" s="425" t="s">
        <v>995</v>
      </c>
      <c r="L1291" s="425" t="s">
        <v>996</v>
      </c>
      <c r="M1291" s="425" t="s">
        <v>997</v>
      </c>
      <c r="N1291" s="425" t="s">
        <v>558</v>
      </c>
      <c r="O1291" s="425" t="s">
        <v>998</v>
      </c>
      <c r="P1291" s="425" t="s">
        <v>999</v>
      </c>
      <c r="Q1291" s="425" t="s">
        <v>1000</v>
      </c>
      <c r="R1291" s="425" t="s">
        <v>1001</v>
      </c>
      <c r="S1291" s="425" t="s">
        <v>1002</v>
      </c>
      <c r="T1291" s="423">
        <v>120</v>
      </c>
      <c r="U1291" s="423">
        <v>8.5</v>
      </c>
      <c r="V1291" s="423">
        <v>50</v>
      </c>
      <c r="X1291" s="423" t="s">
        <v>1041</v>
      </c>
      <c r="Y1291" s="423" t="s">
        <v>1041</v>
      </c>
      <c r="Z1291" s="423" t="s">
        <v>1059</v>
      </c>
      <c r="AD1291" s="423">
        <f>IF(ISNUMBER(MATCH(B1291,'FICHA SOLIC'!$AB$26:$AB$376,0)),1,0)</f>
        <v>1</v>
      </c>
      <c r="AE1291" s="423" t="str">
        <f t="shared" si="20"/>
        <v>QuilicuraI2</v>
      </c>
    </row>
    <row r="1292" spans="1:31" x14ac:dyDescent="0.25">
      <c r="A1292" s="423">
        <v>1291</v>
      </c>
      <c r="B1292" s="423" t="s">
        <v>427</v>
      </c>
      <c r="C1292" s="423" t="s">
        <v>1488</v>
      </c>
      <c r="D1292" s="425" t="s">
        <v>990</v>
      </c>
      <c r="E1292" s="425" t="s">
        <v>991</v>
      </c>
      <c r="F1292" s="425" t="s">
        <v>992</v>
      </c>
      <c r="G1292" s="425" t="s">
        <v>1054</v>
      </c>
      <c r="H1292" s="426" t="s">
        <v>699</v>
      </c>
      <c r="I1292" s="425" t="s">
        <v>1055</v>
      </c>
      <c r="J1292" s="425" t="s">
        <v>697</v>
      </c>
      <c r="K1292" s="425" t="s">
        <v>995</v>
      </c>
      <c r="L1292" s="425" t="s">
        <v>996</v>
      </c>
      <c r="M1292" s="425" t="s">
        <v>997</v>
      </c>
      <c r="N1292" s="425" t="s">
        <v>558</v>
      </c>
      <c r="O1292" s="425" t="s">
        <v>998</v>
      </c>
      <c r="P1292" s="425" t="s">
        <v>999</v>
      </c>
      <c r="Q1292" s="425" t="s">
        <v>1000</v>
      </c>
      <c r="R1292" s="425" t="s">
        <v>1001</v>
      </c>
      <c r="S1292" s="425" t="s">
        <v>1002</v>
      </c>
      <c r="T1292" s="423" t="s">
        <v>1041</v>
      </c>
      <c r="U1292" s="423" t="s">
        <v>1041</v>
      </c>
      <c r="V1292" s="423" t="s">
        <v>1041</v>
      </c>
      <c r="W1292" s="423" t="s">
        <v>1041</v>
      </c>
      <c r="X1292" s="423" t="s">
        <v>1041</v>
      </c>
      <c r="Y1292" s="423" t="s">
        <v>1041</v>
      </c>
      <c r="Z1292" s="423" t="s">
        <v>1041</v>
      </c>
      <c r="AD1292" s="423">
        <f>IF(ISNUMBER(MATCH(B1292,'FICHA SOLIC'!$AB$26:$AB$376,0)),1,0)</f>
        <v>1</v>
      </c>
      <c r="AE1292" s="423" t="str">
        <f t="shared" si="20"/>
        <v>QuilicuraI3</v>
      </c>
    </row>
    <row r="1293" spans="1:31" x14ac:dyDescent="0.25">
      <c r="A1293" s="423">
        <v>1292</v>
      </c>
      <c r="B1293" s="423" t="s">
        <v>428</v>
      </c>
      <c r="C1293" s="423" t="s">
        <v>1686</v>
      </c>
      <c r="D1293" s="425" t="s">
        <v>990</v>
      </c>
      <c r="E1293" s="425" t="s">
        <v>991</v>
      </c>
      <c r="F1293" s="425" t="s">
        <v>992</v>
      </c>
      <c r="G1293" s="425" t="s">
        <v>1054</v>
      </c>
      <c r="H1293" s="426" t="s">
        <v>699</v>
      </c>
      <c r="I1293" s="425" t="s">
        <v>1055</v>
      </c>
      <c r="J1293" s="425" t="s">
        <v>697</v>
      </c>
      <c r="K1293" s="425" t="s">
        <v>995</v>
      </c>
      <c r="L1293" s="425" t="s">
        <v>996</v>
      </c>
      <c r="M1293" s="425" t="s">
        <v>997</v>
      </c>
      <c r="N1293" s="425" t="s">
        <v>558</v>
      </c>
      <c r="O1293" s="425" t="s">
        <v>998</v>
      </c>
      <c r="P1293" s="425" t="s">
        <v>999</v>
      </c>
      <c r="Q1293" s="425" t="s">
        <v>1000</v>
      </c>
      <c r="R1293" s="425" t="s">
        <v>1001</v>
      </c>
      <c r="S1293" s="425" t="s">
        <v>1002</v>
      </c>
      <c r="T1293" s="423" t="s">
        <v>1097</v>
      </c>
      <c r="U1293" s="423" t="s">
        <v>1097</v>
      </c>
      <c r="V1293" s="423" t="s">
        <v>1097</v>
      </c>
      <c r="W1293" s="423" t="s">
        <v>1097</v>
      </c>
      <c r="X1293" s="423" t="s">
        <v>1097</v>
      </c>
      <c r="Y1293" s="423" t="s">
        <v>1097</v>
      </c>
      <c r="Z1293" s="423" t="s">
        <v>1097</v>
      </c>
      <c r="AD1293" s="423">
        <f>IF(ISNUMBER(MATCH(B1293,'FICHA SOLIC'!$AB$26:$AB$376,0)),1,0)</f>
        <v>1</v>
      </c>
      <c r="AE1293" s="423" t="str">
        <f t="shared" si="20"/>
        <v>Quinta NormalAR</v>
      </c>
    </row>
    <row r="1294" spans="1:31" x14ac:dyDescent="0.25">
      <c r="A1294" s="423">
        <v>1293</v>
      </c>
      <c r="B1294" s="423" t="s">
        <v>428</v>
      </c>
      <c r="C1294" s="423" t="s">
        <v>1492</v>
      </c>
      <c r="D1294" s="425" t="s">
        <v>990</v>
      </c>
      <c r="E1294" s="425" t="s">
        <v>991</v>
      </c>
      <c r="F1294" s="425" t="s">
        <v>992</v>
      </c>
      <c r="G1294" s="425" t="s">
        <v>1054</v>
      </c>
      <c r="H1294" s="426" t="s">
        <v>699</v>
      </c>
      <c r="I1294" s="425" t="s">
        <v>1055</v>
      </c>
      <c r="J1294" s="425" t="s">
        <v>697</v>
      </c>
      <c r="K1294" s="425" t="s">
        <v>995</v>
      </c>
      <c r="L1294" s="425" t="s">
        <v>996</v>
      </c>
      <c r="M1294" s="425" t="s">
        <v>997</v>
      </c>
      <c r="N1294" s="425" t="s">
        <v>558</v>
      </c>
      <c r="O1294" s="425" t="s">
        <v>998</v>
      </c>
      <c r="P1294" s="425" t="s">
        <v>999</v>
      </c>
      <c r="Q1294" s="425" t="s">
        <v>1000</v>
      </c>
      <c r="R1294" s="425" t="s">
        <v>1001</v>
      </c>
      <c r="S1294" s="425" t="s">
        <v>1002</v>
      </c>
      <c r="T1294" s="423">
        <v>5000</v>
      </c>
      <c r="U1294" s="423">
        <v>50</v>
      </c>
      <c r="V1294" s="423">
        <v>20</v>
      </c>
      <c r="W1294" s="423" t="s">
        <v>1041</v>
      </c>
      <c r="X1294" s="423" t="s">
        <v>1041</v>
      </c>
      <c r="Y1294" s="423" t="s">
        <v>1041</v>
      </c>
      <c r="Z1294" s="423" t="s">
        <v>1058</v>
      </c>
      <c r="AD1294" s="423">
        <f>IF(ISNUMBER(MATCH(B1294,'FICHA SOLIC'!$AB$26:$AB$376,0)),1,0)</f>
        <v>1</v>
      </c>
      <c r="AE1294" s="423" t="str">
        <f t="shared" si="20"/>
        <v>Quinta NormalCC</v>
      </c>
    </row>
    <row r="1295" spans="1:31" x14ac:dyDescent="0.25">
      <c r="A1295" s="423">
        <v>1294</v>
      </c>
      <c r="B1295" s="423" t="s">
        <v>428</v>
      </c>
      <c r="C1295" s="423" t="s">
        <v>1179</v>
      </c>
      <c r="D1295" s="425" t="s">
        <v>990</v>
      </c>
      <c r="E1295" s="425" t="s">
        <v>991</v>
      </c>
      <c r="F1295" s="425" t="s">
        <v>992</v>
      </c>
      <c r="G1295" s="425" t="s">
        <v>1054</v>
      </c>
      <c r="H1295" s="426" t="s">
        <v>699</v>
      </c>
      <c r="I1295" s="425" t="s">
        <v>1055</v>
      </c>
      <c r="J1295" s="425" t="s">
        <v>697</v>
      </c>
      <c r="K1295" s="425" t="s">
        <v>995</v>
      </c>
      <c r="L1295" s="425" t="s">
        <v>996</v>
      </c>
      <c r="M1295" s="425" t="s">
        <v>997</v>
      </c>
      <c r="N1295" s="425" t="s">
        <v>558</v>
      </c>
      <c r="O1295" s="425" t="s">
        <v>998</v>
      </c>
      <c r="P1295" s="425" t="s">
        <v>999</v>
      </c>
      <c r="Q1295" s="425" t="s">
        <v>1000</v>
      </c>
      <c r="R1295" s="425" t="s">
        <v>1001</v>
      </c>
      <c r="S1295" s="425" t="s">
        <v>1002</v>
      </c>
      <c r="T1295" s="423">
        <v>5000</v>
      </c>
      <c r="U1295" s="423">
        <v>50</v>
      </c>
      <c r="V1295" s="423">
        <v>1</v>
      </c>
      <c r="W1295" s="423" t="s">
        <v>1041</v>
      </c>
      <c r="X1295" s="423" t="s">
        <v>1041</v>
      </c>
      <c r="Y1295" s="423" t="s">
        <v>1041</v>
      </c>
      <c r="Z1295" s="423" t="s">
        <v>1058</v>
      </c>
      <c r="AD1295" s="423">
        <f>IF(ISNUMBER(MATCH(B1295,'FICHA SOLIC'!$AB$26:$AB$376,0)),1,0)</f>
        <v>1</v>
      </c>
      <c r="AE1295" s="423" t="str">
        <f t="shared" si="20"/>
        <v>Quinta NormalD</v>
      </c>
    </row>
    <row r="1296" spans="1:31" x14ac:dyDescent="0.25">
      <c r="A1296" s="423">
        <v>1295</v>
      </c>
      <c r="B1296" s="423" t="s">
        <v>428</v>
      </c>
      <c r="C1296" s="423" t="s">
        <v>1685</v>
      </c>
      <c r="D1296" s="425" t="s">
        <v>990</v>
      </c>
      <c r="E1296" s="425" t="s">
        <v>991</v>
      </c>
      <c r="F1296" s="425" t="s">
        <v>992</v>
      </c>
      <c r="G1296" s="425" t="s">
        <v>1054</v>
      </c>
      <c r="H1296" s="426" t="s">
        <v>699</v>
      </c>
      <c r="I1296" s="425" t="s">
        <v>1055</v>
      </c>
      <c r="J1296" s="425" t="s">
        <v>697</v>
      </c>
      <c r="K1296" s="425" t="s">
        <v>995</v>
      </c>
      <c r="L1296" s="425" t="s">
        <v>996</v>
      </c>
      <c r="M1296" s="425" t="s">
        <v>997</v>
      </c>
      <c r="N1296" s="425" t="s">
        <v>558</v>
      </c>
      <c r="O1296" s="425" t="s">
        <v>998</v>
      </c>
      <c r="P1296" s="425" t="s">
        <v>999</v>
      </c>
      <c r="Q1296" s="425" t="s">
        <v>1000</v>
      </c>
      <c r="R1296" s="425" t="s">
        <v>1001</v>
      </c>
      <c r="S1296" s="425" t="s">
        <v>1002</v>
      </c>
      <c r="T1296" s="423" t="s">
        <v>1687</v>
      </c>
      <c r="U1296" s="423" t="s">
        <v>1687</v>
      </c>
      <c r="V1296" s="423" t="s">
        <v>1687</v>
      </c>
      <c r="W1296" s="423" t="s">
        <v>1687</v>
      </c>
      <c r="X1296" s="423" t="s">
        <v>1687</v>
      </c>
      <c r="Y1296" s="423" t="s">
        <v>1687</v>
      </c>
      <c r="Z1296" s="423" t="s">
        <v>1687</v>
      </c>
      <c r="AD1296" s="423">
        <f>IF(ISNUMBER(MATCH(B1296,'FICHA SOLIC'!$AB$26:$AB$376,0)),1,0)</f>
        <v>1</v>
      </c>
      <c r="AE1296" s="423" t="str">
        <f t="shared" si="20"/>
        <v>Quinta NormalIE</v>
      </c>
    </row>
    <row r="1297" spans="1:31" x14ac:dyDescent="0.25">
      <c r="A1297" s="423">
        <v>1296</v>
      </c>
      <c r="B1297" s="423" t="s">
        <v>428</v>
      </c>
      <c r="C1297" s="423" t="s">
        <v>1684</v>
      </c>
      <c r="D1297" s="425" t="s">
        <v>990</v>
      </c>
      <c r="E1297" s="425" t="s">
        <v>991</v>
      </c>
      <c r="F1297" s="425" t="s">
        <v>992</v>
      </c>
      <c r="G1297" s="425" t="s">
        <v>1054</v>
      </c>
      <c r="H1297" s="426" t="s">
        <v>699</v>
      </c>
      <c r="I1297" s="425" t="s">
        <v>1055</v>
      </c>
      <c r="J1297" s="425" t="s">
        <v>697</v>
      </c>
      <c r="K1297" s="425" t="s">
        <v>995</v>
      </c>
      <c r="L1297" s="425" t="s">
        <v>996</v>
      </c>
      <c r="M1297" s="425" t="s">
        <v>997</v>
      </c>
      <c r="N1297" s="425" t="s">
        <v>558</v>
      </c>
      <c r="O1297" s="425" t="s">
        <v>998</v>
      </c>
      <c r="P1297" s="425" t="s">
        <v>999</v>
      </c>
      <c r="Q1297" s="425" t="s">
        <v>1000</v>
      </c>
      <c r="R1297" s="425" t="s">
        <v>1001</v>
      </c>
      <c r="S1297" s="425" t="s">
        <v>1002</v>
      </c>
      <c r="T1297" s="423">
        <v>120</v>
      </c>
      <c r="U1297" s="423">
        <v>7</v>
      </c>
      <c r="V1297" s="423">
        <v>70</v>
      </c>
      <c r="W1297" s="423" t="s">
        <v>1041</v>
      </c>
      <c r="X1297" s="423" t="s">
        <v>1041</v>
      </c>
      <c r="Y1297" s="423" t="s">
        <v>1041</v>
      </c>
      <c r="Z1297" s="423" t="s">
        <v>1059</v>
      </c>
      <c r="AD1297" s="423">
        <f>IF(ISNUMBER(MATCH(B1297,'FICHA SOLIC'!$AB$26:$AB$376,0)),1,0)</f>
        <v>1</v>
      </c>
      <c r="AE1297" s="423" t="str">
        <f t="shared" si="20"/>
        <v>Quinta NormalMI</v>
      </c>
    </row>
    <row r="1298" spans="1:31" x14ac:dyDescent="0.25">
      <c r="A1298" s="423">
        <v>1297</v>
      </c>
      <c r="B1298" s="423" t="s">
        <v>428</v>
      </c>
      <c r="C1298" s="423" t="s">
        <v>1681</v>
      </c>
      <c r="D1298" s="425" t="s">
        <v>990</v>
      </c>
      <c r="E1298" s="425" t="s">
        <v>991</v>
      </c>
      <c r="F1298" s="425" t="s">
        <v>992</v>
      </c>
      <c r="G1298" s="425" t="s">
        <v>1054</v>
      </c>
      <c r="H1298" s="426" t="s">
        <v>699</v>
      </c>
      <c r="I1298" s="425" t="s">
        <v>1055</v>
      </c>
      <c r="J1298" s="425" t="s">
        <v>697</v>
      </c>
      <c r="K1298" s="425" t="s">
        <v>995</v>
      </c>
      <c r="L1298" s="425" t="s">
        <v>996</v>
      </c>
      <c r="M1298" s="425" t="s">
        <v>997</v>
      </c>
      <c r="N1298" s="425" t="s">
        <v>558</v>
      </c>
      <c r="O1298" s="425" t="s">
        <v>998</v>
      </c>
      <c r="P1298" s="425" t="s">
        <v>999</v>
      </c>
      <c r="Q1298" s="425" t="s">
        <v>1000</v>
      </c>
      <c r="R1298" s="425" t="s">
        <v>1001</v>
      </c>
      <c r="S1298" s="425" t="s">
        <v>1002</v>
      </c>
      <c r="T1298" s="423">
        <v>120</v>
      </c>
      <c r="U1298" s="423">
        <v>7</v>
      </c>
      <c r="V1298" s="423">
        <v>70</v>
      </c>
      <c r="W1298" s="423" t="s">
        <v>1041</v>
      </c>
      <c r="X1298" s="423" t="s">
        <v>1041</v>
      </c>
      <c r="Y1298" s="423" t="s">
        <v>1041</v>
      </c>
      <c r="Z1298" s="423" t="s">
        <v>1059</v>
      </c>
      <c r="AD1298" s="423">
        <f>IF(ISNUMBER(MATCH(B1298,'FICHA SOLIC'!$AB$26:$AB$376,0)),1,0)</f>
        <v>1</v>
      </c>
      <c r="AE1298" s="423" t="str">
        <f t="shared" si="20"/>
        <v>Quinta NormalRM 1</v>
      </c>
    </row>
    <row r="1299" spans="1:31" x14ac:dyDescent="0.25">
      <c r="A1299" s="423">
        <v>1298</v>
      </c>
      <c r="B1299" s="423" t="s">
        <v>428</v>
      </c>
      <c r="C1299" s="423" t="s">
        <v>1682</v>
      </c>
      <c r="D1299" s="425" t="s">
        <v>990</v>
      </c>
      <c r="E1299" s="425" t="s">
        <v>991</v>
      </c>
      <c r="F1299" s="425" t="s">
        <v>992</v>
      </c>
      <c r="G1299" s="425" t="s">
        <v>1054</v>
      </c>
      <c r="H1299" s="426" t="s">
        <v>699</v>
      </c>
      <c r="I1299" s="425" t="s">
        <v>1055</v>
      </c>
      <c r="J1299" s="425" t="s">
        <v>697</v>
      </c>
      <c r="K1299" s="425" t="s">
        <v>995</v>
      </c>
      <c r="L1299" s="425" t="s">
        <v>996</v>
      </c>
      <c r="M1299" s="425" t="s">
        <v>997</v>
      </c>
      <c r="N1299" s="425" t="s">
        <v>558</v>
      </c>
      <c r="O1299" s="425" t="s">
        <v>998</v>
      </c>
      <c r="P1299" s="425" t="s">
        <v>999</v>
      </c>
      <c r="Q1299" s="425" t="s">
        <v>1000</v>
      </c>
      <c r="R1299" s="425" t="s">
        <v>1001</v>
      </c>
      <c r="S1299" s="425" t="s">
        <v>1002</v>
      </c>
      <c r="T1299" s="423">
        <v>120</v>
      </c>
      <c r="U1299" s="423">
        <v>7</v>
      </c>
      <c r="V1299" s="423">
        <v>70</v>
      </c>
      <c r="W1299" s="423" t="s">
        <v>1041</v>
      </c>
      <c r="X1299" s="423" t="s">
        <v>1041</v>
      </c>
      <c r="Y1299" s="423" t="s">
        <v>1041</v>
      </c>
      <c r="Z1299" s="423" t="s">
        <v>1059</v>
      </c>
      <c r="AD1299" s="423">
        <f>IF(ISNUMBER(MATCH(B1299,'FICHA SOLIC'!$AB$26:$AB$376,0)),1,0)</f>
        <v>1</v>
      </c>
      <c r="AE1299" s="423" t="str">
        <f t="shared" si="20"/>
        <v>Quinta NormalRM 2</v>
      </c>
    </row>
    <row r="1300" spans="1:31" x14ac:dyDescent="0.25">
      <c r="A1300" s="423">
        <v>1299</v>
      </c>
      <c r="B1300" s="423" t="s">
        <v>428</v>
      </c>
      <c r="C1300" s="423" t="s">
        <v>1683</v>
      </c>
      <c r="D1300" s="425" t="s">
        <v>990</v>
      </c>
      <c r="E1300" s="425" t="s">
        <v>991</v>
      </c>
      <c r="F1300" s="425" t="s">
        <v>992</v>
      </c>
      <c r="G1300" s="425" t="s">
        <v>1054</v>
      </c>
      <c r="H1300" s="426" t="s">
        <v>699</v>
      </c>
      <c r="I1300" s="425" t="s">
        <v>1055</v>
      </c>
      <c r="J1300" s="425" t="s">
        <v>697</v>
      </c>
      <c r="K1300" s="425" t="s">
        <v>995</v>
      </c>
      <c r="L1300" s="425" t="s">
        <v>996</v>
      </c>
      <c r="M1300" s="425" t="s">
        <v>997</v>
      </c>
      <c r="N1300" s="425" t="s">
        <v>558</v>
      </c>
      <c r="O1300" s="425" t="s">
        <v>998</v>
      </c>
      <c r="P1300" s="425" t="s">
        <v>999</v>
      </c>
      <c r="Q1300" s="425" t="s">
        <v>1000</v>
      </c>
      <c r="R1300" s="425" t="s">
        <v>1001</v>
      </c>
      <c r="S1300" s="425" t="s">
        <v>1002</v>
      </c>
      <c r="T1300" s="423">
        <v>200</v>
      </c>
      <c r="U1300" s="423">
        <v>15</v>
      </c>
      <c r="V1300" s="423">
        <v>70</v>
      </c>
      <c r="W1300" s="423" t="s">
        <v>1041</v>
      </c>
      <c r="X1300" s="423">
        <v>15</v>
      </c>
      <c r="Y1300" s="423" t="s">
        <v>1041</v>
      </c>
      <c r="Z1300" s="423" t="s">
        <v>1096</v>
      </c>
      <c r="AD1300" s="423">
        <f>IF(ISNUMBER(MATCH(B1300,'FICHA SOLIC'!$AB$26:$AB$376,0)),1,0)</f>
        <v>1</v>
      </c>
      <c r="AE1300" s="423" t="str">
        <f t="shared" si="20"/>
        <v>Quinta NormalSC</v>
      </c>
    </row>
    <row r="1301" spans="1:31" x14ac:dyDescent="0.25">
      <c r="A1301" s="423">
        <v>1300</v>
      </c>
      <c r="B1301" s="423" t="s">
        <v>428</v>
      </c>
      <c r="C1301" s="423" t="s">
        <v>1491</v>
      </c>
      <c r="D1301" s="425" t="s">
        <v>990</v>
      </c>
      <c r="E1301" s="425" t="s">
        <v>991</v>
      </c>
      <c r="F1301" s="425" t="s">
        <v>992</v>
      </c>
      <c r="G1301" s="425" t="s">
        <v>1054</v>
      </c>
      <c r="H1301" s="426" t="s">
        <v>699</v>
      </c>
      <c r="I1301" s="425" t="s">
        <v>1055</v>
      </c>
      <c r="J1301" s="425" t="s">
        <v>697</v>
      </c>
      <c r="K1301" s="425" t="s">
        <v>995</v>
      </c>
      <c r="L1301" s="425" t="s">
        <v>996</v>
      </c>
      <c r="M1301" s="425" t="s">
        <v>997</v>
      </c>
      <c r="N1301" s="425" t="s">
        <v>558</v>
      </c>
      <c r="O1301" s="425" t="s">
        <v>998</v>
      </c>
      <c r="P1301" s="425" t="s">
        <v>999</v>
      </c>
      <c r="Q1301" s="425" t="s">
        <v>1000</v>
      </c>
      <c r="R1301" s="425" t="s">
        <v>1001</v>
      </c>
      <c r="S1301" s="425" t="s">
        <v>1002</v>
      </c>
      <c r="T1301" s="423">
        <v>120</v>
      </c>
      <c r="U1301" s="423">
        <v>7</v>
      </c>
      <c r="V1301" s="423">
        <v>70</v>
      </c>
      <c r="W1301" s="423" t="s">
        <v>1041</v>
      </c>
      <c r="X1301" s="423" t="s">
        <v>1041</v>
      </c>
      <c r="Y1301" s="423" t="s">
        <v>1041</v>
      </c>
      <c r="Z1301" s="423" t="s">
        <v>1059</v>
      </c>
      <c r="AD1301" s="423">
        <f>IF(ISNUMBER(MATCH(B1301,'FICHA SOLIC'!$AB$26:$AB$376,0)),1,0)</f>
        <v>1</v>
      </c>
      <c r="AE1301" s="423" t="str">
        <f t="shared" si="20"/>
        <v>Quinta NormalSM</v>
      </c>
    </row>
    <row r="1302" spans="1:31" x14ac:dyDescent="0.25">
      <c r="A1302" s="423">
        <v>1301</v>
      </c>
      <c r="B1302" s="423" t="s">
        <v>183</v>
      </c>
      <c r="C1302" s="423" t="s">
        <v>2472</v>
      </c>
      <c r="D1302" s="973" t="s">
        <v>990</v>
      </c>
      <c r="E1302" s="973" t="s">
        <v>991</v>
      </c>
      <c r="F1302" s="973" t="s">
        <v>992</v>
      </c>
      <c r="G1302" s="973" t="s">
        <v>1997</v>
      </c>
      <c r="H1302" s="973" t="s">
        <v>1998</v>
      </c>
      <c r="I1302" s="973" t="s">
        <v>1999</v>
      </c>
      <c r="J1302" s="973" t="s">
        <v>697</v>
      </c>
      <c r="K1302" s="973" t="s">
        <v>995</v>
      </c>
      <c r="L1302" s="973" t="s">
        <v>996</v>
      </c>
      <c r="M1302" s="973" t="s">
        <v>2000</v>
      </c>
      <c r="N1302" s="973" t="s">
        <v>2001</v>
      </c>
      <c r="O1302" s="973" t="s">
        <v>1971</v>
      </c>
      <c r="P1302" s="973" t="s">
        <v>999</v>
      </c>
      <c r="Q1302" s="973" t="s">
        <v>1000</v>
      </c>
      <c r="R1302" s="973" t="s">
        <v>1001</v>
      </c>
      <c r="S1302" s="973" t="s">
        <v>1002</v>
      </c>
      <c r="T1302" s="423">
        <v>500</v>
      </c>
      <c r="V1302" s="423">
        <v>0.8</v>
      </c>
      <c r="W1302" s="423">
        <v>2</v>
      </c>
      <c r="X1302" s="423">
        <v>21</v>
      </c>
      <c r="Y1302" s="423" t="s">
        <v>2091</v>
      </c>
      <c r="Z1302" s="423" t="s">
        <v>1058</v>
      </c>
      <c r="AD1302" s="423">
        <f>IF(ISNUMBER(MATCH(B1302,'FICHA SOLIC'!$AB$26:$AB$376,0)),1,0)</f>
        <v>1</v>
      </c>
      <c r="AE1302" s="423" t="str">
        <f t="shared" si="20"/>
        <v>RancaguaBR-M1</v>
      </c>
    </row>
    <row r="1303" spans="1:31" x14ac:dyDescent="0.25">
      <c r="A1303" s="423">
        <v>1302</v>
      </c>
      <c r="B1303" s="423" t="s">
        <v>183</v>
      </c>
      <c r="C1303" s="423" t="s">
        <v>2473</v>
      </c>
      <c r="D1303" s="973" t="s">
        <v>990</v>
      </c>
      <c r="E1303" s="973" t="s">
        <v>991</v>
      </c>
      <c r="F1303" s="973" t="s">
        <v>992</v>
      </c>
      <c r="G1303" s="973" t="s">
        <v>1997</v>
      </c>
      <c r="H1303" s="973" t="s">
        <v>1998</v>
      </c>
      <c r="I1303" s="973" t="s">
        <v>1999</v>
      </c>
      <c r="J1303" s="973" t="s">
        <v>697</v>
      </c>
      <c r="K1303" s="973" t="s">
        <v>995</v>
      </c>
      <c r="L1303" s="973" t="s">
        <v>996</v>
      </c>
      <c r="M1303" s="973" t="s">
        <v>2000</v>
      </c>
      <c r="N1303" s="973" t="s">
        <v>2001</v>
      </c>
      <c r="O1303" s="973" t="s">
        <v>1971</v>
      </c>
      <c r="P1303" s="973" t="s">
        <v>999</v>
      </c>
      <c r="Q1303" s="973" t="s">
        <v>1000</v>
      </c>
      <c r="R1303" s="973" t="s">
        <v>1001</v>
      </c>
      <c r="S1303" s="973" t="s">
        <v>1002</v>
      </c>
      <c r="T1303" s="423">
        <v>2500</v>
      </c>
      <c r="V1303" s="423">
        <v>0.6</v>
      </c>
      <c r="W1303" s="423">
        <v>3</v>
      </c>
      <c r="X1303" s="423">
        <v>21</v>
      </c>
      <c r="Y1303" s="423" t="s">
        <v>2091</v>
      </c>
      <c r="Z1303" s="423" t="s">
        <v>1058</v>
      </c>
      <c r="AD1303" s="423">
        <f>IF(ISNUMBER(MATCH(B1303,'FICHA SOLIC'!$AB$26:$AB$376,0)),1,0)</f>
        <v>1</v>
      </c>
      <c r="AE1303" s="423" t="str">
        <f t="shared" si="20"/>
        <v>RancaguaBR-M2</v>
      </c>
    </row>
    <row r="1304" spans="1:31" x14ac:dyDescent="0.25">
      <c r="A1304" s="423">
        <v>1303</v>
      </c>
      <c r="B1304" s="423" t="s">
        <v>183</v>
      </c>
      <c r="C1304" s="423" t="s">
        <v>2474</v>
      </c>
      <c r="D1304" s="973" t="s">
        <v>990</v>
      </c>
      <c r="E1304" s="973" t="s">
        <v>991</v>
      </c>
      <c r="F1304" s="973" t="s">
        <v>992</v>
      </c>
      <c r="G1304" s="973" t="s">
        <v>1997</v>
      </c>
      <c r="H1304" s="973" t="s">
        <v>1998</v>
      </c>
      <c r="I1304" s="973" t="s">
        <v>1999</v>
      </c>
      <c r="J1304" s="973" t="s">
        <v>697</v>
      </c>
      <c r="K1304" s="973" t="s">
        <v>995</v>
      </c>
      <c r="L1304" s="973" t="s">
        <v>996</v>
      </c>
      <c r="M1304" s="973" t="s">
        <v>2000</v>
      </c>
      <c r="N1304" s="973" t="s">
        <v>2001</v>
      </c>
      <c r="O1304" s="973" t="s">
        <v>1971</v>
      </c>
      <c r="P1304" s="973" t="s">
        <v>999</v>
      </c>
      <c r="Q1304" s="973" t="s">
        <v>1000</v>
      </c>
      <c r="R1304" s="973" t="s">
        <v>1001</v>
      </c>
      <c r="S1304" s="973" t="s">
        <v>1002</v>
      </c>
      <c r="T1304" s="423">
        <v>300</v>
      </c>
      <c r="V1304" s="423">
        <v>0.8</v>
      </c>
      <c r="W1304" s="423">
        <v>2</v>
      </c>
      <c r="X1304" s="423">
        <v>21</v>
      </c>
      <c r="Y1304" s="423" t="s">
        <v>2091</v>
      </c>
      <c r="Z1304" s="423" t="s">
        <v>1058</v>
      </c>
      <c r="AD1304" s="423">
        <f>IF(ISNUMBER(MATCH(B1304,'FICHA SOLIC'!$AB$26:$AB$376,0)),1,0)</f>
        <v>1</v>
      </c>
      <c r="AE1304" s="423" t="str">
        <f t="shared" si="20"/>
        <v>RancaguaBR-M3</v>
      </c>
    </row>
    <row r="1305" spans="1:31" x14ac:dyDescent="0.25">
      <c r="A1305" s="423">
        <v>1304</v>
      </c>
      <c r="B1305" s="423" t="s">
        <v>183</v>
      </c>
      <c r="C1305" s="423" t="s">
        <v>2475</v>
      </c>
      <c r="D1305" s="973" t="s">
        <v>990</v>
      </c>
      <c r="E1305" s="973" t="s">
        <v>991</v>
      </c>
      <c r="F1305" s="973" t="s">
        <v>992</v>
      </c>
      <c r="G1305" s="973" t="s">
        <v>1997</v>
      </c>
      <c r="H1305" s="973" t="s">
        <v>1998</v>
      </c>
      <c r="I1305" s="973" t="s">
        <v>1999</v>
      </c>
      <c r="J1305" s="973" t="s">
        <v>697</v>
      </c>
      <c r="K1305" s="973" t="s">
        <v>995</v>
      </c>
      <c r="L1305" s="973" t="s">
        <v>996</v>
      </c>
      <c r="M1305" s="973" t="s">
        <v>2000</v>
      </c>
      <c r="N1305" s="973" t="s">
        <v>2001</v>
      </c>
      <c r="O1305" s="973" t="s">
        <v>1971</v>
      </c>
      <c r="P1305" s="973" t="s">
        <v>999</v>
      </c>
      <c r="Q1305" s="973" t="s">
        <v>1000</v>
      </c>
      <c r="R1305" s="973" t="s">
        <v>1001</v>
      </c>
      <c r="S1305" s="973" t="s">
        <v>1002</v>
      </c>
      <c r="T1305" s="423">
        <v>1000</v>
      </c>
      <c r="V1305" s="423">
        <v>0.8</v>
      </c>
      <c r="W1305" s="423">
        <v>2</v>
      </c>
      <c r="X1305" s="423" t="s">
        <v>2476</v>
      </c>
      <c r="Y1305" s="423" t="s">
        <v>2091</v>
      </c>
      <c r="Z1305" s="423" t="s">
        <v>1057</v>
      </c>
      <c r="AD1305" s="423">
        <f>IF(ISNUMBER(MATCH(B1305,'FICHA SOLIC'!$AB$26:$AB$376,0)),1,0)</f>
        <v>1</v>
      </c>
      <c r="AE1305" s="423" t="str">
        <f t="shared" si="20"/>
        <v>RancaguaBR-M4</v>
      </c>
    </row>
    <row r="1306" spans="1:31" x14ac:dyDescent="0.25">
      <c r="A1306" s="423">
        <v>1305</v>
      </c>
      <c r="B1306" s="423" t="s">
        <v>183</v>
      </c>
      <c r="C1306" s="423" t="s">
        <v>2477</v>
      </c>
      <c r="D1306" s="973" t="s">
        <v>990</v>
      </c>
      <c r="E1306" s="973" t="s">
        <v>991</v>
      </c>
      <c r="F1306" s="973" t="s">
        <v>992</v>
      </c>
      <c r="G1306" s="973" t="s">
        <v>1997</v>
      </c>
      <c r="H1306" s="973" t="s">
        <v>1998</v>
      </c>
      <c r="I1306" s="973" t="s">
        <v>1999</v>
      </c>
      <c r="J1306" s="973" t="s">
        <v>697</v>
      </c>
      <c r="K1306" s="973" t="s">
        <v>995</v>
      </c>
      <c r="L1306" s="973" t="s">
        <v>996</v>
      </c>
      <c r="M1306" s="973" t="s">
        <v>2000</v>
      </c>
      <c r="N1306" s="973" t="s">
        <v>2001</v>
      </c>
      <c r="O1306" s="973" t="s">
        <v>1971</v>
      </c>
      <c r="P1306" s="973" t="s">
        <v>999</v>
      </c>
      <c r="Q1306" s="973" t="s">
        <v>1000</v>
      </c>
      <c r="R1306" s="973" t="s">
        <v>1001</v>
      </c>
      <c r="S1306" s="973" t="s">
        <v>1002</v>
      </c>
      <c r="T1306" s="423">
        <v>500</v>
      </c>
      <c r="V1306" s="423">
        <v>0.8</v>
      </c>
      <c r="W1306" s="423">
        <v>3</v>
      </c>
      <c r="X1306" s="423" t="s">
        <v>2478</v>
      </c>
      <c r="Y1306" s="423" t="s">
        <v>2091</v>
      </c>
      <c r="Z1306" s="423" t="s">
        <v>1057</v>
      </c>
      <c r="AD1306" s="423">
        <f>IF(ISNUMBER(MATCH(B1306,'FICHA SOLIC'!$AB$26:$AB$376,0)),1,0)</f>
        <v>1</v>
      </c>
      <c r="AE1306" s="423" t="str">
        <f t="shared" si="20"/>
        <v>RancaguaBR-MS1</v>
      </c>
    </row>
    <row r="1307" spans="1:31" x14ac:dyDescent="0.25">
      <c r="A1307" s="423">
        <v>1306</v>
      </c>
      <c r="B1307" s="423" t="s">
        <v>183</v>
      </c>
      <c r="C1307" s="423" t="s">
        <v>2479</v>
      </c>
      <c r="D1307" s="973" t="s">
        <v>990</v>
      </c>
      <c r="E1307" s="973" t="s">
        <v>991</v>
      </c>
      <c r="F1307" s="973" t="s">
        <v>992</v>
      </c>
      <c r="G1307" s="973" t="s">
        <v>1997</v>
      </c>
      <c r="H1307" s="973" t="s">
        <v>1998</v>
      </c>
      <c r="I1307" s="973" t="s">
        <v>1999</v>
      </c>
      <c r="J1307" s="973" t="s">
        <v>697</v>
      </c>
      <c r="K1307" s="973" t="s">
        <v>995</v>
      </c>
      <c r="L1307" s="973" t="s">
        <v>996</v>
      </c>
      <c r="M1307" s="973" t="s">
        <v>2000</v>
      </c>
      <c r="N1307" s="973" t="s">
        <v>2001</v>
      </c>
      <c r="O1307" s="973" t="s">
        <v>1971</v>
      </c>
      <c r="P1307" s="973" t="s">
        <v>999</v>
      </c>
      <c r="Q1307" s="973" t="s">
        <v>1000</v>
      </c>
      <c r="R1307" s="973" t="s">
        <v>1001</v>
      </c>
      <c r="S1307" s="973" t="s">
        <v>1002</v>
      </c>
      <c r="T1307" s="423">
        <v>500</v>
      </c>
      <c r="V1307" s="423">
        <v>0.8</v>
      </c>
      <c r="W1307" s="423">
        <v>2</v>
      </c>
      <c r="X1307" s="423">
        <v>21</v>
      </c>
      <c r="Y1307" s="423" t="s">
        <v>2091</v>
      </c>
      <c r="Z1307" s="423" t="s">
        <v>1057</v>
      </c>
      <c r="AD1307" s="423">
        <f>IF(ISNUMBER(MATCH(B1307,'FICHA SOLIC'!$AB$26:$AB$376,0)),1,0)</f>
        <v>1</v>
      </c>
      <c r="AE1307" s="423" t="str">
        <f t="shared" si="20"/>
        <v>RancaguaBR-MS2</v>
      </c>
    </row>
    <row r="1308" spans="1:31" x14ac:dyDescent="0.25">
      <c r="A1308" s="423">
        <v>1307</v>
      </c>
      <c r="B1308" s="423" t="s">
        <v>183</v>
      </c>
      <c r="C1308" s="423" t="s">
        <v>2480</v>
      </c>
      <c r="D1308" s="973" t="s">
        <v>990</v>
      </c>
      <c r="E1308" s="973" t="s">
        <v>991</v>
      </c>
      <c r="F1308" s="973" t="s">
        <v>992</v>
      </c>
      <c r="G1308" s="973" t="s">
        <v>1997</v>
      </c>
      <c r="H1308" s="973" t="s">
        <v>1998</v>
      </c>
      <c r="I1308" s="973" t="s">
        <v>1999</v>
      </c>
      <c r="J1308" s="973" t="s">
        <v>697</v>
      </c>
      <c r="K1308" s="973" t="s">
        <v>995</v>
      </c>
      <c r="L1308" s="973" t="s">
        <v>996</v>
      </c>
      <c r="M1308" s="973" t="s">
        <v>2000</v>
      </c>
      <c r="N1308" s="973" t="s">
        <v>2001</v>
      </c>
      <c r="O1308" s="973" t="s">
        <v>1971</v>
      </c>
      <c r="P1308" s="973" t="s">
        <v>999</v>
      </c>
      <c r="Q1308" s="973" t="s">
        <v>1000</v>
      </c>
      <c r="R1308" s="973" t="s">
        <v>1001</v>
      </c>
      <c r="S1308" s="973" t="s">
        <v>1002</v>
      </c>
      <c r="T1308" s="423">
        <v>1500</v>
      </c>
      <c r="V1308" s="423">
        <v>60</v>
      </c>
      <c r="W1308" s="423">
        <v>10</v>
      </c>
      <c r="X1308" s="423" t="s">
        <v>2481</v>
      </c>
      <c r="Y1308" s="423" t="s">
        <v>2003</v>
      </c>
      <c r="Z1308" s="423" t="s">
        <v>1058</v>
      </c>
      <c r="AD1308" s="423">
        <f>IF(ISNUMBER(MATCH(B1308,'FICHA SOLIC'!$AB$26:$AB$376,0)),1,0)</f>
        <v>1</v>
      </c>
      <c r="AE1308" s="423" t="str">
        <f t="shared" si="20"/>
        <v>RancaguaBRO</v>
      </c>
    </row>
    <row r="1309" spans="1:31" x14ac:dyDescent="0.25">
      <c r="A1309" s="423">
        <v>1308</v>
      </c>
      <c r="B1309" s="423" t="s">
        <v>183</v>
      </c>
      <c r="C1309" s="423" t="s">
        <v>1188</v>
      </c>
      <c r="D1309" s="973" t="s">
        <v>990</v>
      </c>
      <c r="E1309" s="973" t="s">
        <v>991</v>
      </c>
      <c r="F1309" s="973" t="s">
        <v>992</v>
      </c>
      <c r="G1309" s="973" t="s">
        <v>1997</v>
      </c>
      <c r="H1309" s="973" t="s">
        <v>1998</v>
      </c>
      <c r="I1309" s="973" t="s">
        <v>1999</v>
      </c>
      <c r="J1309" s="973" t="s">
        <v>697</v>
      </c>
      <c r="K1309" s="973" t="s">
        <v>995</v>
      </c>
      <c r="L1309" s="973" t="s">
        <v>996</v>
      </c>
      <c r="M1309" s="973" t="s">
        <v>2000</v>
      </c>
      <c r="N1309" s="973" t="s">
        <v>2001</v>
      </c>
      <c r="O1309" s="973" t="s">
        <v>1971</v>
      </c>
      <c r="P1309" s="973" t="s">
        <v>999</v>
      </c>
      <c r="Q1309" s="973" t="s">
        <v>1000</v>
      </c>
      <c r="R1309" s="973" t="s">
        <v>1001</v>
      </c>
      <c r="S1309" s="973" t="s">
        <v>1002</v>
      </c>
      <c r="T1309" s="423">
        <v>300</v>
      </c>
      <c r="V1309" s="423">
        <v>70</v>
      </c>
      <c r="W1309" s="423">
        <v>4</v>
      </c>
      <c r="X1309" s="423">
        <v>10.5</v>
      </c>
      <c r="Y1309" s="423" t="s">
        <v>2003</v>
      </c>
      <c r="Z1309" s="423" t="s">
        <v>1059</v>
      </c>
      <c r="AD1309" s="423">
        <f>IF(ISNUMBER(MATCH(B1309,'FICHA SOLIC'!$AB$26:$AB$376,0)),1,0)</f>
        <v>1</v>
      </c>
      <c r="AE1309" s="423" t="str">
        <f t="shared" si="20"/>
        <v>RancaguaC1</v>
      </c>
    </row>
    <row r="1310" spans="1:31" x14ac:dyDescent="0.25">
      <c r="A1310" s="423">
        <v>1309</v>
      </c>
      <c r="B1310" s="423" t="s">
        <v>183</v>
      </c>
      <c r="C1310" s="423" t="s">
        <v>1553</v>
      </c>
      <c r="D1310" s="973" t="s">
        <v>990</v>
      </c>
      <c r="E1310" s="973" t="s">
        <v>991</v>
      </c>
      <c r="F1310" s="973" t="s">
        <v>992</v>
      </c>
      <c r="G1310" s="973" t="s">
        <v>1997</v>
      </c>
      <c r="H1310" s="973" t="s">
        <v>1998</v>
      </c>
      <c r="I1310" s="973" t="s">
        <v>1999</v>
      </c>
      <c r="J1310" s="973" t="s">
        <v>697</v>
      </c>
      <c r="K1310" s="973" t="s">
        <v>995</v>
      </c>
      <c r="L1310" s="973" t="s">
        <v>996</v>
      </c>
      <c r="M1310" s="973" t="s">
        <v>2000</v>
      </c>
      <c r="N1310" s="973" t="s">
        <v>2001</v>
      </c>
      <c r="O1310" s="973" t="s">
        <v>1971</v>
      </c>
      <c r="P1310" s="973" t="s">
        <v>999</v>
      </c>
      <c r="Q1310" s="973" t="s">
        <v>1000</v>
      </c>
      <c r="R1310" s="973" t="s">
        <v>1001</v>
      </c>
      <c r="S1310" s="973" t="s">
        <v>1002</v>
      </c>
      <c r="T1310" s="423">
        <v>1200</v>
      </c>
      <c r="V1310" s="423">
        <v>100</v>
      </c>
      <c r="W1310" s="423">
        <v>6</v>
      </c>
      <c r="X1310" s="423">
        <v>22</v>
      </c>
      <c r="Y1310" s="423" t="s">
        <v>2003</v>
      </c>
      <c r="Z1310" s="423" t="s">
        <v>1096</v>
      </c>
      <c r="AD1310" s="423">
        <f>IF(ISNUMBER(MATCH(B1310,'FICHA SOLIC'!$AB$26:$AB$376,0)),1,0)</f>
        <v>1</v>
      </c>
      <c r="AE1310" s="423" t="str">
        <f t="shared" si="20"/>
        <v>RancaguaC3</v>
      </c>
    </row>
    <row r="1311" spans="1:31" x14ac:dyDescent="0.25">
      <c r="A1311" s="423">
        <v>1310</v>
      </c>
      <c r="B1311" s="423" t="s">
        <v>183</v>
      </c>
      <c r="C1311" s="423" t="s">
        <v>2072</v>
      </c>
      <c r="D1311" s="973" t="s">
        <v>990</v>
      </c>
      <c r="E1311" s="973" t="s">
        <v>991</v>
      </c>
      <c r="F1311" s="973" t="s">
        <v>992</v>
      </c>
      <c r="G1311" s="973" t="s">
        <v>1997</v>
      </c>
      <c r="H1311" s="973" t="s">
        <v>1998</v>
      </c>
      <c r="I1311" s="973" t="s">
        <v>1999</v>
      </c>
      <c r="J1311" s="973" t="s">
        <v>697</v>
      </c>
      <c r="K1311" s="973" t="s">
        <v>995</v>
      </c>
      <c r="L1311" s="973" t="s">
        <v>996</v>
      </c>
      <c r="M1311" s="973" t="s">
        <v>2000</v>
      </c>
      <c r="N1311" s="973" t="s">
        <v>2001</v>
      </c>
      <c r="O1311" s="973" t="s">
        <v>1971</v>
      </c>
      <c r="P1311" s="973" t="s">
        <v>999</v>
      </c>
      <c r="Q1311" s="973" t="s">
        <v>1000</v>
      </c>
      <c r="R1311" s="973" t="s">
        <v>1001</v>
      </c>
      <c r="S1311" s="973" t="s">
        <v>1002</v>
      </c>
      <c r="T1311" s="423" t="s">
        <v>2482</v>
      </c>
      <c r="V1311" s="423">
        <v>70</v>
      </c>
      <c r="W1311" s="423">
        <v>2</v>
      </c>
      <c r="X1311" s="423" t="s">
        <v>2062</v>
      </c>
      <c r="Y1311" s="423" t="s">
        <v>2003</v>
      </c>
      <c r="Z1311" s="423" t="s">
        <v>1059</v>
      </c>
      <c r="AD1311" s="423">
        <f>IF(ISNUMBER(MATCH(B1311,'FICHA SOLIC'!$AB$26:$AB$376,0)),1,0)</f>
        <v>1</v>
      </c>
      <c r="AE1311" s="423" t="str">
        <f t="shared" si="20"/>
        <v>RancaguaC4</v>
      </c>
    </row>
    <row r="1312" spans="1:31" x14ac:dyDescent="0.25">
      <c r="A1312" s="423">
        <v>1311</v>
      </c>
      <c r="B1312" s="423" t="s">
        <v>183</v>
      </c>
      <c r="C1312" s="423" t="s">
        <v>2483</v>
      </c>
      <c r="D1312" s="973" t="s">
        <v>990</v>
      </c>
      <c r="E1312" s="973" t="s">
        <v>991</v>
      </c>
      <c r="F1312" s="973" t="s">
        <v>992</v>
      </c>
      <c r="G1312" s="973" t="s">
        <v>1997</v>
      </c>
      <c r="H1312" s="973" t="s">
        <v>1998</v>
      </c>
      <c r="I1312" s="973" t="s">
        <v>1999</v>
      </c>
      <c r="J1312" s="973" t="s">
        <v>697</v>
      </c>
      <c r="K1312" s="973" t="s">
        <v>995</v>
      </c>
      <c r="L1312" s="973" t="s">
        <v>996</v>
      </c>
      <c r="M1312" s="973" t="s">
        <v>2000</v>
      </c>
      <c r="N1312" s="973" t="s">
        <v>2001</v>
      </c>
      <c r="O1312" s="973" t="s">
        <v>1971</v>
      </c>
      <c r="P1312" s="973" t="s">
        <v>999</v>
      </c>
      <c r="Q1312" s="973" t="s">
        <v>1000</v>
      </c>
      <c r="R1312" s="973" t="s">
        <v>1001</v>
      </c>
      <c r="S1312" s="973" t="s">
        <v>1002</v>
      </c>
      <c r="T1312" s="423">
        <v>1200</v>
      </c>
      <c r="V1312" s="423">
        <v>100</v>
      </c>
      <c r="W1312" s="423">
        <v>6</v>
      </c>
      <c r="X1312" s="423">
        <v>7</v>
      </c>
      <c r="Y1312" s="423" t="s">
        <v>2003</v>
      </c>
      <c r="Z1312" s="423" t="s">
        <v>1096</v>
      </c>
      <c r="AD1312" s="423">
        <f>IF(ISNUMBER(MATCH(B1312,'FICHA SOLIC'!$AB$26:$AB$376,0)),1,0)</f>
        <v>1</v>
      </c>
      <c r="AE1312" s="423" t="str">
        <f t="shared" si="20"/>
        <v>RancaguaCH O</v>
      </c>
    </row>
    <row r="1313" spans="1:31" x14ac:dyDescent="0.25">
      <c r="A1313" s="423">
        <v>1312</v>
      </c>
      <c r="B1313" s="423" t="s">
        <v>183</v>
      </c>
      <c r="C1313" s="423" t="s">
        <v>2484</v>
      </c>
      <c r="D1313" s="973" t="s">
        <v>990</v>
      </c>
      <c r="E1313" s="973" t="s">
        <v>991</v>
      </c>
      <c r="F1313" s="973" t="s">
        <v>992</v>
      </c>
      <c r="G1313" s="973" t="s">
        <v>1997</v>
      </c>
      <c r="H1313" s="973" t="s">
        <v>1998</v>
      </c>
      <c r="I1313" s="973" t="s">
        <v>1999</v>
      </c>
      <c r="J1313" s="973" t="s">
        <v>697</v>
      </c>
      <c r="K1313" s="973" t="s">
        <v>995</v>
      </c>
      <c r="L1313" s="973" t="s">
        <v>996</v>
      </c>
      <c r="M1313" s="973" t="s">
        <v>2000</v>
      </c>
      <c r="N1313" s="973" t="s">
        <v>2001</v>
      </c>
      <c r="O1313" s="973" t="s">
        <v>1971</v>
      </c>
      <c r="P1313" s="973" t="s">
        <v>999</v>
      </c>
      <c r="Q1313" s="973" t="s">
        <v>1000</v>
      </c>
      <c r="R1313" s="973" t="s">
        <v>1001</v>
      </c>
      <c r="S1313" s="973" t="s">
        <v>1002</v>
      </c>
      <c r="T1313" s="423" t="s">
        <v>2482</v>
      </c>
      <c r="V1313" s="423">
        <v>100</v>
      </c>
      <c r="W1313" s="423" t="s">
        <v>2485</v>
      </c>
      <c r="X1313" s="423">
        <v>7</v>
      </c>
      <c r="Z1313" s="423" t="s">
        <v>1096</v>
      </c>
      <c r="AD1313" s="423">
        <f>IF(ISNUMBER(MATCH(B1313,'FICHA SOLIC'!$AB$26:$AB$376,0)),1,0)</f>
        <v>1</v>
      </c>
      <c r="AE1313" s="423" t="str">
        <f t="shared" si="20"/>
        <v>RancaguaEH</v>
      </c>
    </row>
    <row r="1314" spans="1:31" x14ac:dyDescent="0.25">
      <c r="A1314" s="423">
        <v>1313</v>
      </c>
      <c r="B1314" s="423" t="s">
        <v>183</v>
      </c>
      <c r="C1314" s="423" t="s">
        <v>2486</v>
      </c>
      <c r="D1314" s="973" t="s">
        <v>990</v>
      </c>
      <c r="E1314" s="973" t="s">
        <v>991</v>
      </c>
      <c r="F1314" s="973" t="s">
        <v>992</v>
      </c>
      <c r="G1314" s="973" t="s">
        <v>1997</v>
      </c>
      <c r="H1314" s="973" t="s">
        <v>1998</v>
      </c>
      <c r="I1314" s="973" t="s">
        <v>1999</v>
      </c>
      <c r="J1314" s="973" t="s">
        <v>697</v>
      </c>
      <c r="K1314" s="973" t="s">
        <v>995</v>
      </c>
      <c r="L1314" s="973" t="s">
        <v>996</v>
      </c>
      <c r="M1314" s="973" t="s">
        <v>2000</v>
      </c>
      <c r="N1314" s="973" t="s">
        <v>2001</v>
      </c>
      <c r="O1314" s="973" t="s">
        <v>1971</v>
      </c>
      <c r="P1314" s="973" t="s">
        <v>999</v>
      </c>
      <c r="Q1314" s="973" t="s">
        <v>1000</v>
      </c>
      <c r="R1314" s="973" t="s">
        <v>1001</v>
      </c>
      <c r="S1314" s="973" t="s">
        <v>1002</v>
      </c>
      <c r="T1314" s="423">
        <v>1000</v>
      </c>
      <c r="V1314" s="423">
        <v>60</v>
      </c>
      <c r="W1314" s="423">
        <v>2.5</v>
      </c>
      <c r="X1314" s="423">
        <v>7</v>
      </c>
      <c r="Z1314" s="423" t="s">
        <v>1057</v>
      </c>
      <c r="AD1314" s="423">
        <f>IF(ISNUMBER(MATCH(B1314,'FICHA SOLIC'!$AB$26:$AB$376,0)),1,0)</f>
        <v>1</v>
      </c>
      <c r="AE1314" s="423" t="str">
        <f t="shared" si="20"/>
        <v>RancaguaEQ-CB</v>
      </c>
    </row>
    <row r="1315" spans="1:31" x14ac:dyDescent="0.25">
      <c r="A1315" s="423">
        <v>1314</v>
      </c>
      <c r="B1315" s="423" t="s">
        <v>183</v>
      </c>
      <c r="C1315" s="423" t="s">
        <v>2487</v>
      </c>
      <c r="D1315" s="973" t="s">
        <v>990</v>
      </c>
      <c r="E1315" s="973" t="s">
        <v>991</v>
      </c>
      <c r="F1315" s="973" t="s">
        <v>992</v>
      </c>
      <c r="G1315" s="973" t="s">
        <v>1997</v>
      </c>
      <c r="H1315" s="973" t="s">
        <v>1998</v>
      </c>
      <c r="I1315" s="973" t="s">
        <v>1999</v>
      </c>
      <c r="J1315" s="973" t="s">
        <v>697</v>
      </c>
      <c r="K1315" s="973" t="s">
        <v>995</v>
      </c>
      <c r="L1315" s="973" t="s">
        <v>996</v>
      </c>
      <c r="M1315" s="973" t="s">
        <v>2000</v>
      </c>
      <c r="N1315" s="973" t="s">
        <v>2001</v>
      </c>
      <c r="O1315" s="973" t="s">
        <v>1971</v>
      </c>
      <c r="P1315" s="973" t="s">
        <v>999</v>
      </c>
      <c r="Q1315" s="973" t="s">
        <v>1000</v>
      </c>
      <c r="R1315" s="973" t="s">
        <v>1001</v>
      </c>
      <c r="S1315" s="973" t="s">
        <v>1002</v>
      </c>
      <c r="T1315" s="423">
        <v>1000</v>
      </c>
      <c r="V1315" s="423">
        <v>70</v>
      </c>
      <c r="W1315" s="423">
        <v>4</v>
      </c>
      <c r="X1315" s="423">
        <v>7</v>
      </c>
      <c r="Z1315" s="423" t="s">
        <v>1059</v>
      </c>
      <c r="AD1315" s="423">
        <f>IF(ISNUMBER(MATCH(B1315,'FICHA SOLIC'!$AB$26:$AB$376,0)),1,0)</f>
        <v>1</v>
      </c>
      <c r="AE1315" s="423" t="str">
        <f t="shared" si="20"/>
        <v>RancaguaEQ-CB1</v>
      </c>
    </row>
    <row r="1316" spans="1:31" x14ac:dyDescent="0.25">
      <c r="A1316" s="423">
        <v>1315</v>
      </c>
      <c r="B1316" s="423" t="s">
        <v>183</v>
      </c>
      <c r="C1316" s="423" t="s">
        <v>2488</v>
      </c>
      <c r="D1316" s="973" t="s">
        <v>990</v>
      </c>
      <c r="E1316" s="973" t="s">
        <v>991</v>
      </c>
      <c r="F1316" s="973" t="s">
        <v>992</v>
      </c>
      <c r="G1316" s="973" t="s">
        <v>1997</v>
      </c>
      <c r="H1316" s="973" t="s">
        <v>1998</v>
      </c>
      <c r="I1316" s="973" t="s">
        <v>1999</v>
      </c>
      <c r="J1316" s="973" t="s">
        <v>697</v>
      </c>
      <c r="K1316" s="973" t="s">
        <v>995</v>
      </c>
      <c r="L1316" s="973" t="s">
        <v>996</v>
      </c>
      <c r="M1316" s="973" t="s">
        <v>2000</v>
      </c>
      <c r="N1316" s="973" t="s">
        <v>2001</v>
      </c>
      <c r="O1316" s="973" t="s">
        <v>1971</v>
      </c>
      <c r="P1316" s="973" t="s">
        <v>999</v>
      </c>
      <c r="Q1316" s="973" t="s">
        <v>1000</v>
      </c>
      <c r="R1316" s="973" t="s">
        <v>1001</v>
      </c>
      <c r="S1316" s="973" t="s">
        <v>1002</v>
      </c>
      <c r="T1316" s="423" t="s">
        <v>2482</v>
      </c>
      <c r="V1316" s="423">
        <v>80</v>
      </c>
      <c r="W1316" s="423">
        <v>4</v>
      </c>
      <c r="X1316" s="423" t="s">
        <v>2489</v>
      </c>
      <c r="Y1316" s="423" t="s">
        <v>2003</v>
      </c>
      <c r="Z1316" s="423" t="s">
        <v>1059</v>
      </c>
      <c r="AD1316" s="423">
        <f>IF(ISNUMBER(MATCH(B1316,'FICHA SOLIC'!$AB$26:$AB$376,0)),1,0)</f>
        <v>1</v>
      </c>
      <c r="AE1316" s="423" t="str">
        <f t="shared" si="20"/>
        <v>RancaguaEQ-CB1E</v>
      </c>
    </row>
    <row r="1317" spans="1:31" x14ac:dyDescent="0.25">
      <c r="A1317" s="423">
        <v>1316</v>
      </c>
      <c r="B1317" s="423" t="s">
        <v>183</v>
      </c>
      <c r="C1317" s="423" t="s">
        <v>2490</v>
      </c>
      <c r="D1317" s="973" t="s">
        <v>990</v>
      </c>
      <c r="E1317" s="973" t="s">
        <v>991</v>
      </c>
      <c r="F1317" s="973" t="s">
        <v>992</v>
      </c>
      <c r="G1317" s="973" t="s">
        <v>1997</v>
      </c>
      <c r="H1317" s="973" t="s">
        <v>1998</v>
      </c>
      <c r="I1317" s="973" t="s">
        <v>1999</v>
      </c>
      <c r="J1317" s="973" t="s">
        <v>697</v>
      </c>
      <c r="K1317" s="973" t="s">
        <v>995</v>
      </c>
      <c r="L1317" s="973" t="s">
        <v>996</v>
      </c>
      <c r="M1317" s="973" t="s">
        <v>2000</v>
      </c>
      <c r="N1317" s="973" t="s">
        <v>2001</v>
      </c>
      <c r="O1317" s="973" t="s">
        <v>1971</v>
      </c>
      <c r="P1317" s="973" t="s">
        <v>999</v>
      </c>
      <c r="Q1317" s="973" t="s">
        <v>1000</v>
      </c>
      <c r="R1317" s="973" t="s">
        <v>1001</v>
      </c>
      <c r="S1317" s="973" t="s">
        <v>1002</v>
      </c>
      <c r="T1317" s="423">
        <v>1500</v>
      </c>
      <c r="V1317" s="423">
        <v>60</v>
      </c>
      <c r="W1317" s="423">
        <v>8</v>
      </c>
      <c r="X1317" s="423" t="s">
        <v>2003</v>
      </c>
      <c r="Y1317" s="423" t="s">
        <v>2003</v>
      </c>
      <c r="Z1317" s="423" t="s">
        <v>1058</v>
      </c>
      <c r="AD1317" s="423">
        <f>IF(ISNUMBER(MATCH(B1317,'FICHA SOLIC'!$AB$26:$AB$376,0)),1,0)</f>
        <v>1</v>
      </c>
      <c r="AE1317" s="423" t="str">
        <f t="shared" si="20"/>
        <v>RancaguaEQ-CBSO</v>
      </c>
    </row>
    <row r="1318" spans="1:31" x14ac:dyDescent="0.25">
      <c r="A1318" s="423">
        <v>1317</v>
      </c>
      <c r="B1318" s="423" t="s">
        <v>183</v>
      </c>
      <c r="C1318" s="423" t="s">
        <v>2491</v>
      </c>
      <c r="D1318" s="973" t="s">
        <v>990</v>
      </c>
      <c r="E1318" s="973" t="s">
        <v>991</v>
      </c>
      <c r="F1318" s="973" t="s">
        <v>992</v>
      </c>
      <c r="G1318" s="973" t="s">
        <v>1997</v>
      </c>
      <c r="H1318" s="973" t="s">
        <v>1998</v>
      </c>
      <c r="I1318" s="973" t="s">
        <v>1999</v>
      </c>
      <c r="J1318" s="973" t="s">
        <v>697</v>
      </c>
      <c r="K1318" s="973" t="s">
        <v>995</v>
      </c>
      <c r="L1318" s="973" t="s">
        <v>996</v>
      </c>
      <c r="M1318" s="973" t="s">
        <v>2000</v>
      </c>
      <c r="N1318" s="973" t="s">
        <v>2001</v>
      </c>
      <c r="O1318" s="973" t="s">
        <v>1971</v>
      </c>
      <c r="P1318" s="973" t="s">
        <v>999</v>
      </c>
      <c r="Q1318" s="973" t="s">
        <v>1000</v>
      </c>
      <c r="R1318" s="973" t="s">
        <v>1001</v>
      </c>
      <c r="S1318" s="973" t="s">
        <v>1002</v>
      </c>
      <c r="T1318" s="423" t="s">
        <v>2482</v>
      </c>
      <c r="V1318" s="423">
        <v>80</v>
      </c>
      <c r="W1318" s="423">
        <v>1.5</v>
      </c>
      <c r="X1318" s="423">
        <v>8</v>
      </c>
      <c r="Y1318" s="423" t="s">
        <v>2003</v>
      </c>
      <c r="Z1318" s="423" t="s">
        <v>1057</v>
      </c>
      <c r="AD1318" s="423">
        <f>IF(ISNUMBER(MATCH(B1318,'FICHA SOLIC'!$AB$26:$AB$376,0)),1,0)</f>
        <v>1</v>
      </c>
      <c r="AE1318" s="423" t="str">
        <f t="shared" si="20"/>
        <v>RancaguaEQ-E</v>
      </c>
    </row>
    <row r="1319" spans="1:31" x14ac:dyDescent="0.25">
      <c r="A1319" s="423">
        <v>1318</v>
      </c>
      <c r="B1319" s="423" t="s">
        <v>183</v>
      </c>
      <c r="C1319" s="423" t="s">
        <v>2492</v>
      </c>
      <c r="D1319" s="973" t="s">
        <v>990</v>
      </c>
      <c r="E1319" s="973" t="s">
        <v>991</v>
      </c>
      <c r="F1319" s="973" t="s">
        <v>992</v>
      </c>
      <c r="G1319" s="973" t="s">
        <v>1997</v>
      </c>
      <c r="H1319" s="973" t="s">
        <v>1998</v>
      </c>
      <c r="I1319" s="973" t="s">
        <v>1999</v>
      </c>
      <c r="J1319" s="973" t="s">
        <v>697</v>
      </c>
      <c r="K1319" s="973" t="s">
        <v>995</v>
      </c>
      <c r="L1319" s="973" t="s">
        <v>996</v>
      </c>
      <c r="M1319" s="973" t="s">
        <v>2000</v>
      </c>
      <c r="N1319" s="973" t="s">
        <v>2001</v>
      </c>
      <c r="O1319" s="973" t="s">
        <v>1971</v>
      </c>
      <c r="P1319" s="973" t="s">
        <v>999</v>
      </c>
      <c r="Q1319" s="973" t="s">
        <v>1000</v>
      </c>
      <c r="R1319" s="973" t="s">
        <v>1001</v>
      </c>
      <c r="S1319" s="973" t="s">
        <v>1002</v>
      </c>
      <c r="T1319" s="423">
        <v>10000</v>
      </c>
      <c r="V1319" s="423">
        <v>30</v>
      </c>
      <c r="W1319" s="423">
        <v>0.4</v>
      </c>
      <c r="X1319" s="423" t="s">
        <v>2489</v>
      </c>
      <c r="Y1319" s="423" t="s">
        <v>2003</v>
      </c>
      <c r="Z1319" s="423" t="s">
        <v>1058</v>
      </c>
      <c r="AD1319" s="423">
        <f>IF(ISNUMBER(MATCH(B1319,'FICHA SOLIC'!$AB$26:$AB$376,0)),1,0)</f>
        <v>1</v>
      </c>
      <c r="AE1319" s="423" t="str">
        <f t="shared" si="20"/>
        <v>RancaguaEQ-PU1</v>
      </c>
    </row>
    <row r="1320" spans="1:31" x14ac:dyDescent="0.25">
      <c r="A1320" s="423">
        <v>1319</v>
      </c>
      <c r="B1320" s="423" t="s">
        <v>183</v>
      </c>
      <c r="C1320" s="423" t="s">
        <v>2493</v>
      </c>
      <c r="D1320" s="973" t="s">
        <v>990</v>
      </c>
      <c r="E1320" s="973" t="s">
        <v>991</v>
      </c>
      <c r="F1320" s="973" t="s">
        <v>992</v>
      </c>
      <c r="G1320" s="973" t="s">
        <v>1997</v>
      </c>
      <c r="H1320" s="973" t="s">
        <v>1998</v>
      </c>
      <c r="I1320" s="973" t="s">
        <v>1999</v>
      </c>
      <c r="J1320" s="973" t="s">
        <v>697</v>
      </c>
      <c r="K1320" s="973" t="s">
        <v>995</v>
      </c>
      <c r="L1320" s="973" t="s">
        <v>996</v>
      </c>
      <c r="M1320" s="973" t="s">
        <v>2000</v>
      </c>
      <c r="N1320" s="973" t="s">
        <v>2001</v>
      </c>
      <c r="O1320" s="973" t="s">
        <v>1971</v>
      </c>
      <c r="P1320" s="973" t="s">
        <v>999</v>
      </c>
      <c r="Q1320" s="973" t="s">
        <v>1000</v>
      </c>
      <c r="R1320" s="973" t="s">
        <v>1001</v>
      </c>
      <c r="S1320" s="973" t="s">
        <v>1002</v>
      </c>
      <c r="AD1320" s="423">
        <f>IF(ISNUMBER(MATCH(B1320,'FICHA SOLIC'!$AB$26:$AB$376,0)),1,0)</f>
        <v>1</v>
      </c>
      <c r="AE1320" s="423" t="str">
        <f t="shared" si="20"/>
        <v>RancaguaEQ-PU2</v>
      </c>
    </row>
    <row r="1321" spans="1:31" x14ac:dyDescent="0.25">
      <c r="A1321" s="423">
        <v>1320</v>
      </c>
      <c r="B1321" s="423" t="s">
        <v>183</v>
      </c>
      <c r="C1321" s="423" t="s">
        <v>2494</v>
      </c>
      <c r="D1321" s="973" t="s">
        <v>990</v>
      </c>
      <c r="E1321" s="973" t="s">
        <v>991</v>
      </c>
      <c r="F1321" s="973" t="s">
        <v>992</v>
      </c>
      <c r="G1321" s="973" t="s">
        <v>1997</v>
      </c>
      <c r="H1321" s="973" t="s">
        <v>1998</v>
      </c>
      <c r="I1321" s="973" t="s">
        <v>1999</v>
      </c>
      <c r="J1321" s="973" t="s">
        <v>697</v>
      </c>
      <c r="K1321" s="973" t="s">
        <v>995</v>
      </c>
      <c r="L1321" s="973" t="s">
        <v>996</v>
      </c>
      <c r="M1321" s="973" t="s">
        <v>2000</v>
      </c>
      <c r="N1321" s="973" t="s">
        <v>2001</v>
      </c>
      <c r="O1321" s="973" t="s">
        <v>1971</v>
      </c>
      <c r="P1321" s="973" t="s">
        <v>999</v>
      </c>
      <c r="Q1321" s="973" t="s">
        <v>1000</v>
      </c>
      <c r="R1321" s="973" t="s">
        <v>1001</v>
      </c>
      <c r="S1321" s="973" t="s">
        <v>1002</v>
      </c>
      <c r="T1321" s="423">
        <v>6000</v>
      </c>
      <c r="V1321" s="423">
        <v>60</v>
      </c>
      <c r="W1321" s="423">
        <v>1</v>
      </c>
      <c r="X1321" s="423" t="s">
        <v>2478</v>
      </c>
      <c r="Y1321" s="423" t="s">
        <v>2091</v>
      </c>
      <c r="Z1321" s="423" t="s">
        <v>1058</v>
      </c>
      <c r="AD1321" s="423">
        <f>IF(ISNUMBER(MATCH(B1321,'FICHA SOLIC'!$AB$26:$AB$376,0)),1,0)</f>
        <v>1</v>
      </c>
      <c r="AE1321" s="423" t="str">
        <f t="shared" si="20"/>
        <v>RancaguaEQS</v>
      </c>
    </row>
    <row r="1322" spans="1:31" x14ac:dyDescent="0.25">
      <c r="A1322" s="423">
        <v>1321</v>
      </c>
      <c r="B1322" s="423" t="s">
        <v>183</v>
      </c>
      <c r="C1322" s="423" t="s">
        <v>2495</v>
      </c>
      <c r="D1322" s="973" t="s">
        <v>990</v>
      </c>
      <c r="E1322" s="973" t="s">
        <v>991</v>
      </c>
      <c r="F1322" s="973" t="s">
        <v>992</v>
      </c>
      <c r="G1322" s="973" t="s">
        <v>1997</v>
      </c>
      <c r="H1322" s="973" t="s">
        <v>1998</v>
      </c>
      <c r="I1322" s="973" t="s">
        <v>1999</v>
      </c>
      <c r="J1322" s="973" t="s">
        <v>697</v>
      </c>
      <c r="K1322" s="973" t="s">
        <v>995</v>
      </c>
      <c r="L1322" s="973" t="s">
        <v>996</v>
      </c>
      <c r="M1322" s="973" t="s">
        <v>2000</v>
      </c>
      <c r="N1322" s="973" t="s">
        <v>2001</v>
      </c>
      <c r="O1322" s="973" t="s">
        <v>1971</v>
      </c>
      <c r="P1322" s="973" t="s">
        <v>999</v>
      </c>
      <c r="Q1322" s="973" t="s">
        <v>1000</v>
      </c>
      <c r="R1322" s="973" t="s">
        <v>1001</v>
      </c>
      <c r="S1322" s="973" t="s">
        <v>1002</v>
      </c>
      <c r="AD1322" s="423">
        <f>IF(ISNUMBER(MATCH(B1322,'FICHA SOLIC'!$AB$26:$AB$376,0)),1,0)</f>
        <v>1</v>
      </c>
      <c r="AE1322" s="423" t="str">
        <f t="shared" si="20"/>
        <v>RancaguaEQ-SC</v>
      </c>
    </row>
    <row r="1323" spans="1:31" x14ac:dyDescent="0.25">
      <c r="A1323" s="423">
        <v>1322</v>
      </c>
      <c r="B1323" s="423" t="s">
        <v>183</v>
      </c>
      <c r="C1323" s="423" t="s">
        <v>2496</v>
      </c>
      <c r="D1323" s="973" t="s">
        <v>990</v>
      </c>
      <c r="E1323" s="973" t="s">
        <v>991</v>
      </c>
      <c r="F1323" s="973" t="s">
        <v>992</v>
      </c>
      <c r="G1323" s="973" t="s">
        <v>1997</v>
      </c>
      <c r="H1323" s="973" t="s">
        <v>1998</v>
      </c>
      <c r="I1323" s="973" t="s">
        <v>1999</v>
      </c>
      <c r="J1323" s="973" t="s">
        <v>697</v>
      </c>
      <c r="K1323" s="973" t="s">
        <v>995</v>
      </c>
      <c r="L1323" s="973" t="s">
        <v>996</v>
      </c>
      <c r="M1323" s="973" t="s">
        <v>2000</v>
      </c>
      <c r="N1323" s="973" t="s">
        <v>2001</v>
      </c>
      <c r="O1323" s="973" t="s">
        <v>1971</v>
      </c>
      <c r="P1323" s="973" t="s">
        <v>999</v>
      </c>
      <c r="Q1323" s="973" t="s">
        <v>1000</v>
      </c>
      <c r="R1323" s="973" t="s">
        <v>1001</v>
      </c>
      <c r="S1323" s="973" t="s">
        <v>1002</v>
      </c>
      <c r="T1323" s="423">
        <v>250</v>
      </c>
      <c r="V1323" s="423">
        <v>50</v>
      </c>
      <c r="W1323" s="423">
        <v>1.4</v>
      </c>
      <c r="X1323" s="423">
        <v>7</v>
      </c>
      <c r="Y1323" s="423" t="s">
        <v>2003</v>
      </c>
      <c r="Z1323" s="423" t="s">
        <v>2497</v>
      </c>
      <c r="AD1323" s="423">
        <f>IF(ISNUMBER(MATCH(B1323,'FICHA SOLIC'!$AB$26:$AB$376,0)),1,0)</f>
        <v>1</v>
      </c>
      <c r="AE1323" s="423" t="str">
        <f t="shared" si="20"/>
        <v>RancaguaEX1</v>
      </c>
    </row>
    <row r="1324" spans="1:31" x14ac:dyDescent="0.25">
      <c r="A1324" s="423">
        <v>1323</v>
      </c>
      <c r="B1324" s="423" t="s">
        <v>183</v>
      </c>
      <c r="C1324" s="423" t="s">
        <v>2498</v>
      </c>
      <c r="D1324" s="973" t="s">
        <v>990</v>
      </c>
      <c r="E1324" s="973" t="s">
        <v>991</v>
      </c>
      <c r="F1324" s="973" t="s">
        <v>992</v>
      </c>
      <c r="G1324" s="973" t="s">
        <v>1997</v>
      </c>
      <c r="H1324" s="973" t="s">
        <v>1998</v>
      </c>
      <c r="I1324" s="973" t="s">
        <v>1999</v>
      </c>
      <c r="J1324" s="973" t="s">
        <v>697</v>
      </c>
      <c r="K1324" s="973" t="s">
        <v>995</v>
      </c>
      <c r="L1324" s="973" t="s">
        <v>996</v>
      </c>
      <c r="M1324" s="973" t="s">
        <v>2000</v>
      </c>
      <c r="N1324" s="973" t="s">
        <v>2001</v>
      </c>
      <c r="O1324" s="973" t="s">
        <v>1971</v>
      </c>
      <c r="P1324" s="973" t="s">
        <v>999</v>
      </c>
      <c r="Q1324" s="973" t="s">
        <v>1000</v>
      </c>
      <c r="R1324" s="973" t="s">
        <v>1001</v>
      </c>
      <c r="S1324" s="973" t="s">
        <v>1002</v>
      </c>
      <c r="T1324" s="423">
        <v>250</v>
      </c>
      <c r="V1324" s="423">
        <v>40</v>
      </c>
      <c r="W1324" s="423">
        <v>0.7</v>
      </c>
      <c r="X1324" s="423" t="s">
        <v>2062</v>
      </c>
      <c r="Y1324" s="423" t="s">
        <v>2003</v>
      </c>
      <c r="Z1324" s="423" t="s">
        <v>1057</v>
      </c>
      <c r="AD1324" s="423">
        <f>IF(ISNUMBER(MATCH(B1324,'FICHA SOLIC'!$AB$26:$AB$376,0)),1,0)</f>
        <v>1</v>
      </c>
      <c r="AE1324" s="423" t="str">
        <f t="shared" si="20"/>
        <v>RancaguaEX2</v>
      </c>
    </row>
    <row r="1325" spans="1:31" x14ac:dyDescent="0.25">
      <c r="A1325" s="423">
        <v>1324</v>
      </c>
      <c r="B1325" s="423" t="s">
        <v>183</v>
      </c>
      <c r="C1325" s="423" t="s">
        <v>2499</v>
      </c>
      <c r="D1325" s="973" t="s">
        <v>990</v>
      </c>
      <c r="E1325" s="973" t="s">
        <v>991</v>
      </c>
      <c r="F1325" s="973" t="s">
        <v>992</v>
      </c>
      <c r="G1325" s="973" t="s">
        <v>1997</v>
      </c>
      <c r="H1325" s="973" t="s">
        <v>1998</v>
      </c>
      <c r="I1325" s="973" t="s">
        <v>1999</v>
      </c>
      <c r="J1325" s="973" t="s">
        <v>697</v>
      </c>
      <c r="K1325" s="973" t="s">
        <v>995</v>
      </c>
      <c r="L1325" s="973" t="s">
        <v>996</v>
      </c>
      <c r="M1325" s="973" t="s">
        <v>2000</v>
      </c>
      <c r="N1325" s="973" t="s">
        <v>2001</v>
      </c>
      <c r="O1325" s="973" t="s">
        <v>1971</v>
      </c>
      <c r="P1325" s="973" t="s">
        <v>999</v>
      </c>
      <c r="Q1325" s="973" t="s">
        <v>1000</v>
      </c>
      <c r="R1325" s="973" t="s">
        <v>1001</v>
      </c>
      <c r="S1325" s="973" t="s">
        <v>1002</v>
      </c>
      <c r="T1325" s="423">
        <v>600</v>
      </c>
      <c r="V1325" s="423">
        <v>30</v>
      </c>
      <c r="W1325" s="423">
        <v>0.5</v>
      </c>
      <c r="X1325" s="423" t="s">
        <v>2062</v>
      </c>
      <c r="Y1325" s="423">
        <v>3</v>
      </c>
      <c r="Z1325" s="423" t="s">
        <v>2359</v>
      </c>
      <c r="AD1325" s="423">
        <f>IF(ISNUMBER(MATCH(B1325,'FICHA SOLIC'!$AB$26:$AB$376,0)),1,0)</f>
        <v>1</v>
      </c>
      <c r="AE1325" s="423" t="str">
        <f t="shared" si="20"/>
        <v>RancaguaEX3</v>
      </c>
    </row>
    <row r="1326" spans="1:31" x14ac:dyDescent="0.25">
      <c r="A1326" s="423">
        <v>1325</v>
      </c>
      <c r="B1326" s="423" t="s">
        <v>183</v>
      </c>
      <c r="C1326" s="423" t="s">
        <v>2500</v>
      </c>
      <c r="D1326" s="973" t="s">
        <v>990</v>
      </c>
      <c r="E1326" s="973" t="s">
        <v>991</v>
      </c>
      <c r="F1326" s="973" t="s">
        <v>992</v>
      </c>
      <c r="G1326" s="973" t="s">
        <v>1997</v>
      </c>
      <c r="H1326" s="973" t="s">
        <v>1998</v>
      </c>
      <c r="I1326" s="973" t="s">
        <v>1999</v>
      </c>
      <c r="J1326" s="973" t="s">
        <v>697</v>
      </c>
      <c r="K1326" s="973" t="s">
        <v>995</v>
      </c>
      <c r="L1326" s="973" t="s">
        <v>996</v>
      </c>
      <c r="M1326" s="973" t="s">
        <v>2000</v>
      </c>
      <c r="N1326" s="973" t="s">
        <v>2001</v>
      </c>
      <c r="O1326" s="973" t="s">
        <v>1971</v>
      </c>
      <c r="P1326" s="973" t="s">
        <v>999</v>
      </c>
      <c r="Q1326" s="973" t="s">
        <v>1000</v>
      </c>
      <c r="R1326" s="973" t="s">
        <v>1001</v>
      </c>
      <c r="S1326" s="973" t="s">
        <v>1002</v>
      </c>
      <c r="T1326" s="423">
        <v>10000</v>
      </c>
      <c r="V1326" s="423">
        <v>3</v>
      </c>
      <c r="W1326" s="423">
        <v>0.03</v>
      </c>
      <c r="X1326" s="423">
        <v>5</v>
      </c>
      <c r="Y1326" s="423">
        <v>15</v>
      </c>
      <c r="Z1326" s="423" t="s">
        <v>1058</v>
      </c>
      <c r="AD1326" s="423">
        <f>IF(ISNUMBER(MATCH(B1326,'FICHA SOLIC'!$AB$26:$AB$376,0)),1,0)</f>
        <v>1</v>
      </c>
      <c r="AE1326" s="423" t="str">
        <f t="shared" si="20"/>
        <v>RancaguaEX4</v>
      </c>
    </row>
    <row r="1327" spans="1:31" x14ac:dyDescent="0.25">
      <c r="A1327" s="423">
        <v>1326</v>
      </c>
      <c r="B1327" s="423" t="s">
        <v>183</v>
      </c>
      <c r="C1327" s="423" t="s">
        <v>2501</v>
      </c>
      <c r="D1327" s="973" t="s">
        <v>990</v>
      </c>
      <c r="E1327" s="973" t="s">
        <v>991</v>
      </c>
      <c r="F1327" s="973" t="s">
        <v>992</v>
      </c>
      <c r="G1327" s="973" t="s">
        <v>1997</v>
      </c>
      <c r="H1327" s="973" t="s">
        <v>1998</v>
      </c>
      <c r="I1327" s="973" t="s">
        <v>1999</v>
      </c>
      <c r="J1327" s="973" t="s">
        <v>697</v>
      </c>
      <c r="K1327" s="973" t="s">
        <v>995</v>
      </c>
      <c r="L1327" s="973" t="s">
        <v>996</v>
      </c>
      <c r="M1327" s="973" t="s">
        <v>2000</v>
      </c>
      <c r="N1327" s="973" t="s">
        <v>2001</v>
      </c>
      <c r="O1327" s="973" t="s">
        <v>1971</v>
      </c>
      <c r="P1327" s="973" t="s">
        <v>999</v>
      </c>
      <c r="Q1327" s="973" t="s">
        <v>1000</v>
      </c>
      <c r="R1327" s="973" t="s">
        <v>1001</v>
      </c>
      <c r="S1327" s="973" t="s">
        <v>1002</v>
      </c>
      <c r="T1327" s="423">
        <v>300</v>
      </c>
      <c r="V1327" s="423">
        <v>50</v>
      </c>
      <c r="W1327" s="423">
        <v>1</v>
      </c>
      <c r="X1327" s="423">
        <v>8</v>
      </c>
      <c r="Y1327" s="423" t="s">
        <v>2003</v>
      </c>
      <c r="Z1327" s="423" t="s">
        <v>1058</v>
      </c>
      <c r="AD1327" s="423">
        <f>IF(ISNUMBER(MATCH(B1327,'FICHA SOLIC'!$AB$26:$AB$376,0)),1,0)</f>
        <v>1</v>
      </c>
      <c r="AE1327" s="423" t="str">
        <f t="shared" si="20"/>
        <v>RancaguaEX5</v>
      </c>
    </row>
    <row r="1328" spans="1:31" x14ac:dyDescent="0.25">
      <c r="A1328" s="423">
        <v>1327</v>
      </c>
      <c r="B1328" s="423" t="s">
        <v>183</v>
      </c>
      <c r="C1328" s="423" t="s">
        <v>2502</v>
      </c>
      <c r="D1328" s="973" t="s">
        <v>990</v>
      </c>
      <c r="E1328" s="973" t="s">
        <v>991</v>
      </c>
      <c r="F1328" s="973" t="s">
        <v>992</v>
      </c>
      <c r="G1328" s="973" t="s">
        <v>1997</v>
      </c>
      <c r="H1328" s="973" t="s">
        <v>1998</v>
      </c>
      <c r="I1328" s="973" t="s">
        <v>1999</v>
      </c>
      <c r="J1328" s="973" t="s">
        <v>697</v>
      </c>
      <c r="K1328" s="973" t="s">
        <v>995</v>
      </c>
      <c r="L1328" s="973" t="s">
        <v>996</v>
      </c>
      <c r="M1328" s="973" t="s">
        <v>2000</v>
      </c>
      <c r="N1328" s="973" t="s">
        <v>2001</v>
      </c>
      <c r="O1328" s="973" t="s">
        <v>1971</v>
      </c>
      <c r="P1328" s="973" t="s">
        <v>999</v>
      </c>
      <c r="Q1328" s="973" t="s">
        <v>1000</v>
      </c>
      <c r="R1328" s="973" t="s">
        <v>1001</v>
      </c>
      <c r="S1328" s="973" t="s">
        <v>1002</v>
      </c>
      <c r="T1328" s="423">
        <v>160</v>
      </c>
      <c r="V1328" s="423">
        <v>80</v>
      </c>
      <c r="W1328" s="423">
        <v>1.2</v>
      </c>
      <c r="X1328" s="423">
        <v>8</v>
      </c>
      <c r="Y1328" s="423" t="s">
        <v>2003</v>
      </c>
      <c r="Z1328" s="423" t="s">
        <v>1058</v>
      </c>
      <c r="AD1328" s="423">
        <f>IF(ISNUMBER(MATCH(B1328,'FICHA SOLIC'!$AB$26:$AB$376,0)),1,0)</f>
        <v>1</v>
      </c>
      <c r="AE1328" s="423" t="str">
        <f t="shared" si="20"/>
        <v>RancaguaEX6</v>
      </c>
    </row>
    <row r="1329" spans="1:31" x14ac:dyDescent="0.25">
      <c r="A1329" s="423">
        <v>1328</v>
      </c>
      <c r="B1329" s="423" t="s">
        <v>183</v>
      </c>
      <c r="C1329" s="423" t="s">
        <v>2503</v>
      </c>
      <c r="D1329" s="973" t="s">
        <v>990</v>
      </c>
      <c r="E1329" s="973" t="s">
        <v>991</v>
      </c>
      <c r="F1329" s="973" t="s">
        <v>992</v>
      </c>
      <c r="G1329" s="973" t="s">
        <v>1997</v>
      </c>
      <c r="H1329" s="973" t="s">
        <v>1998</v>
      </c>
      <c r="I1329" s="973" t="s">
        <v>1999</v>
      </c>
      <c r="J1329" s="973" t="s">
        <v>697</v>
      </c>
      <c r="K1329" s="973" t="s">
        <v>995</v>
      </c>
      <c r="L1329" s="973" t="s">
        <v>996</v>
      </c>
      <c r="M1329" s="973" t="s">
        <v>2000</v>
      </c>
      <c r="N1329" s="973" t="s">
        <v>2001</v>
      </c>
      <c r="O1329" s="973" t="s">
        <v>1971</v>
      </c>
      <c r="P1329" s="973" t="s">
        <v>999</v>
      </c>
      <c r="Q1329" s="973" t="s">
        <v>1000</v>
      </c>
      <c r="R1329" s="973" t="s">
        <v>1001</v>
      </c>
      <c r="S1329" s="973" t="s">
        <v>1002</v>
      </c>
      <c r="T1329" s="423">
        <v>600</v>
      </c>
      <c r="V1329" s="423">
        <v>30</v>
      </c>
      <c r="W1329" s="423">
        <v>0.5</v>
      </c>
      <c r="X1329" s="423" t="s">
        <v>2062</v>
      </c>
      <c r="Y1329" s="423">
        <v>3</v>
      </c>
      <c r="Z1329" s="423" t="s">
        <v>1058</v>
      </c>
      <c r="AD1329" s="423">
        <f>IF(ISNUMBER(MATCH(B1329,'FICHA SOLIC'!$AB$26:$AB$376,0)),1,0)</f>
        <v>1</v>
      </c>
      <c r="AE1329" s="423" t="str">
        <f t="shared" si="20"/>
        <v>RancaguaEX7</v>
      </c>
    </row>
    <row r="1330" spans="1:31" x14ac:dyDescent="0.25">
      <c r="A1330" s="423">
        <v>1329</v>
      </c>
      <c r="B1330" s="423" t="s">
        <v>183</v>
      </c>
      <c r="C1330" s="423" t="s">
        <v>2504</v>
      </c>
      <c r="D1330" s="973" t="s">
        <v>990</v>
      </c>
      <c r="E1330" s="973" t="s">
        <v>991</v>
      </c>
      <c r="F1330" s="973" t="s">
        <v>992</v>
      </c>
      <c r="G1330" s="973" t="s">
        <v>1997</v>
      </c>
      <c r="H1330" s="973" t="s">
        <v>1998</v>
      </c>
      <c r="I1330" s="973" t="s">
        <v>1999</v>
      </c>
      <c r="J1330" s="973" t="s">
        <v>697</v>
      </c>
      <c r="K1330" s="973" t="s">
        <v>995</v>
      </c>
      <c r="L1330" s="973" t="s">
        <v>996</v>
      </c>
      <c r="M1330" s="973" t="s">
        <v>2000</v>
      </c>
      <c r="N1330" s="973" t="s">
        <v>2001</v>
      </c>
      <c r="O1330" s="973" t="s">
        <v>1971</v>
      </c>
      <c r="P1330" s="973" t="s">
        <v>999</v>
      </c>
      <c r="Q1330" s="973" t="s">
        <v>1000</v>
      </c>
      <c r="R1330" s="973" t="s">
        <v>1001</v>
      </c>
      <c r="S1330" s="973" t="s">
        <v>1002</v>
      </c>
      <c r="T1330" s="423">
        <v>200</v>
      </c>
      <c r="V1330" s="423">
        <v>0.6</v>
      </c>
      <c r="W1330" s="423">
        <v>2</v>
      </c>
      <c r="X1330" s="423" t="s">
        <v>2505</v>
      </c>
      <c r="Y1330" s="423" t="s">
        <v>2003</v>
      </c>
      <c r="Z1330" s="423" t="s">
        <v>1059</v>
      </c>
      <c r="AD1330" s="423">
        <f>IF(ISNUMBER(MATCH(B1330,'FICHA SOLIC'!$AB$26:$AB$376,0)),1,0)</f>
        <v>1</v>
      </c>
      <c r="AE1330" s="423" t="str">
        <f t="shared" si="20"/>
        <v>RancaguaEX8</v>
      </c>
    </row>
    <row r="1331" spans="1:31" x14ac:dyDescent="0.25">
      <c r="A1331" s="423">
        <v>1330</v>
      </c>
      <c r="B1331" s="423" t="s">
        <v>183</v>
      </c>
      <c r="C1331" s="423" t="s">
        <v>2506</v>
      </c>
      <c r="D1331" s="973" t="s">
        <v>990</v>
      </c>
      <c r="E1331" s="973" t="s">
        <v>991</v>
      </c>
      <c r="F1331" s="973" t="s">
        <v>992</v>
      </c>
      <c r="G1331" s="973" t="s">
        <v>1997</v>
      </c>
      <c r="H1331" s="973" t="s">
        <v>1998</v>
      </c>
      <c r="I1331" s="973" t="s">
        <v>1999</v>
      </c>
      <c r="J1331" s="973" t="s">
        <v>697</v>
      </c>
      <c r="K1331" s="973" t="s">
        <v>995</v>
      </c>
      <c r="L1331" s="973" t="s">
        <v>996</v>
      </c>
      <c r="M1331" s="973" t="s">
        <v>2000</v>
      </c>
      <c r="N1331" s="973" t="s">
        <v>2001</v>
      </c>
      <c r="O1331" s="973" t="s">
        <v>1971</v>
      </c>
      <c r="P1331" s="973" t="s">
        <v>999</v>
      </c>
      <c r="Q1331" s="973" t="s">
        <v>1000</v>
      </c>
      <c r="R1331" s="973" t="s">
        <v>1001</v>
      </c>
      <c r="S1331" s="973" t="s">
        <v>1002</v>
      </c>
      <c r="T1331" s="423">
        <v>600</v>
      </c>
      <c r="V1331" s="423">
        <v>80</v>
      </c>
      <c r="W1331" s="423">
        <v>1.5</v>
      </c>
      <c r="X1331" s="423" t="s">
        <v>2478</v>
      </c>
      <c r="Y1331" s="423" t="s">
        <v>2091</v>
      </c>
      <c r="Z1331" s="423" t="s">
        <v>1058</v>
      </c>
      <c r="AD1331" s="423">
        <f>IF(ISNUMBER(MATCH(B1331,'FICHA SOLIC'!$AB$26:$AB$376,0)),1,0)</f>
        <v>1</v>
      </c>
      <c r="AE1331" s="423" t="str">
        <f t="shared" si="20"/>
        <v>RancaguaIA</v>
      </c>
    </row>
    <row r="1332" spans="1:31" x14ac:dyDescent="0.25">
      <c r="A1332" s="423">
        <v>1331</v>
      </c>
      <c r="B1332" s="423" t="s">
        <v>183</v>
      </c>
      <c r="C1332" s="423" t="s">
        <v>1685</v>
      </c>
      <c r="D1332" s="973" t="s">
        <v>990</v>
      </c>
      <c r="E1332" s="973" t="s">
        <v>991</v>
      </c>
      <c r="F1332" s="973" t="s">
        <v>992</v>
      </c>
      <c r="G1332" s="973" t="s">
        <v>1997</v>
      </c>
      <c r="H1332" s="973" t="s">
        <v>1998</v>
      </c>
      <c r="I1332" s="973" t="s">
        <v>1999</v>
      </c>
      <c r="J1332" s="973" t="s">
        <v>697</v>
      </c>
      <c r="K1332" s="973" t="s">
        <v>995</v>
      </c>
      <c r="L1332" s="973" t="s">
        <v>996</v>
      </c>
      <c r="M1332" s="973" t="s">
        <v>2000</v>
      </c>
      <c r="N1332" s="973" t="s">
        <v>2001</v>
      </c>
      <c r="O1332" s="973" t="s">
        <v>1971</v>
      </c>
      <c r="P1332" s="973" t="s">
        <v>999</v>
      </c>
      <c r="Q1332" s="973" t="s">
        <v>1000</v>
      </c>
      <c r="R1332" s="973" t="s">
        <v>1001</v>
      </c>
      <c r="S1332" s="973" t="s">
        <v>1002</v>
      </c>
      <c r="T1332" s="423">
        <v>800</v>
      </c>
      <c r="V1332" s="423">
        <v>80</v>
      </c>
      <c r="W1332" s="423">
        <v>1.5</v>
      </c>
      <c r="X1332" s="423" t="s">
        <v>2478</v>
      </c>
      <c r="Y1332" s="423" t="s">
        <v>2091</v>
      </c>
      <c r="Z1332" s="423" t="s">
        <v>1058</v>
      </c>
      <c r="AD1332" s="423">
        <f>IF(ISNUMBER(MATCH(B1332,'FICHA SOLIC'!$AB$26:$AB$376,0)),1,0)</f>
        <v>1</v>
      </c>
      <c r="AE1332" s="423" t="str">
        <f t="shared" si="20"/>
        <v>RancaguaIE</v>
      </c>
    </row>
    <row r="1333" spans="1:31" x14ac:dyDescent="0.25">
      <c r="A1333" s="423">
        <v>1332</v>
      </c>
      <c r="B1333" s="423" t="s">
        <v>183</v>
      </c>
      <c r="C1333" s="423" t="s">
        <v>2507</v>
      </c>
      <c r="D1333" s="973" t="s">
        <v>990</v>
      </c>
      <c r="E1333" s="973" t="s">
        <v>991</v>
      </c>
      <c r="F1333" s="973" t="s">
        <v>992</v>
      </c>
      <c r="G1333" s="973" t="s">
        <v>1997</v>
      </c>
      <c r="H1333" s="973" t="s">
        <v>1998</v>
      </c>
      <c r="I1333" s="973" t="s">
        <v>1999</v>
      </c>
      <c r="J1333" s="973" t="s">
        <v>697</v>
      </c>
      <c r="K1333" s="973" t="s">
        <v>995</v>
      </c>
      <c r="L1333" s="973" t="s">
        <v>996</v>
      </c>
      <c r="M1333" s="973" t="s">
        <v>2000</v>
      </c>
      <c r="N1333" s="973" t="s">
        <v>2001</v>
      </c>
      <c r="O1333" s="973" t="s">
        <v>1971</v>
      </c>
      <c r="P1333" s="973" t="s">
        <v>999</v>
      </c>
      <c r="Q1333" s="973" t="s">
        <v>1000</v>
      </c>
      <c r="R1333" s="973" t="s">
        <v>1001</v>
      </c>
      <c r="S1333" s="973" t="s">
        <v>1002</v>
      </c>
      <c r="T1333" s="423">
        <v>1000</v>
      </c>
      <c r="V1333" s="423">
        <v>0.5</v>
      </c>
      <c r="W1333" s="423">
        <v>1.5</v>
      </c>
      <c r="X1333" s="423">
        <v>15</v>
      </c>
      <c r="Y1333" s="423" t="s">
        <v>2091</v>
      </c>
      <c r="Z1333" s="423" t="s">
        <v>1058</v>
      </c>
      <c r="AD1333" s="423">
        <f>IF(ISNUMBER(MATCH(B1333,'FICHA SOLIC'!$AB$26:$AB$376,0)),1,0)</f>
        <v>1</v>
      </c>
      <c r="AE1333" s="423" t="str">
        <f t="shared" si="20"/>
        <v>RancaguaIT-1</v>
      </c>
    </row>
    <row r="1334" spans="1:31" x14ac:dyDescent="0.25">
      <c r="A1334" s="423">
        <v>1333</v>
      </c>
      <c r="B1334" s="423" t="s">
        <v>183</v>
      </c>
      <c r="C1334" s="423" t="s">
        <v>1568</v>
      </c>
      <c r="D1334" s="973" t="s">
        <v>990</v>
      </c>
      <c r="E1334" s="973" t="s">
        <v>991</v>
      </c>
      <c r="F1334" s="973" t="s">
        <v>992</v>
      </c>
      <c r="G1334" s="973" t="s">
        <v>1997</v>
      </c>
      <c r="H1334" s="973" t="s">
        <v>1998</v>
      </c>
      <c r="I1334" s="973" t="s">
        <v>1999</v>
      </c>
      <c r="J1334" s="973" t="s">
        <v>697</v>
      </c>
      <c r="K1334" s="973" t="s">
        <v>995</v>
      </c>
      <c r="L1334" s="973" t="s">
        <v>996</v>
      </c>
      <c r="M1334" s="973" t="s">
        <v>2000</v>
      </c>
      <c r="N1334" s="973" t="s">
        <v>2001</v>
      </c>
      <c r="O1334" s="973" t="s">
        <v>1971</v>
      </c>
      <c r="P1334" s="973" t="s">
        <v>999</v>
      </c>
      <c r="Q1334" s="973" t="s">
        <v>1000</v>
      </c>
      <c r="R1334" s="973" t="s">
        <v>1001</v>
      </c>
      <c r="S1334" s="973" t="s">
        <v>1002</v>
      </c>
      <c r="T1334" s="423">
        <v>1500</v>
      </c>
      <c r="V1334" s="423">
        <v>65</v>
      </c>
      <c r="W1334" s="423">
        <v>5</v>
      </c>
      <c r="X1334" s="423">
        <v>14.5</v>
      </c>
      <c r="Y1334" s="423" t="s">
        <v>2003</v>
      </c>
      <c r="Z1334" s="423" t="s">
        <v>1150</v>
      </c>
      <c r="AD1334" s="423">
        <f>IF(ISNUMBER(MATCH(B1334,'FICHA SOLIC'!$AB$26:$AB$376,0)),1,0)</f>
        <v>1</v>
      </c>
      <c r="AE1334" s="423" t="str">
        <f t="shared" si="20"/>
        <v>RancaguaPE</v>
      </c>
    </row>
    <row r="1335" spans="1:31" x14ac:dyDescent="0.25">
      <c r="A1335" s="423">
        <v>1334</v>
      </c>
      <c r="B1335" s="423" t="s">
        <v>183</v>
      </c>
      <c r="C1335" s="423" t="s">
        <v>2508</v>
      </c>
      <c r="D1335" s="973" t="s">
        <v>990</v>
      </c>
      <c r="E1335" s="973" t="s">
        <v>991</v>
      </c>
      <c r="F1335" s="973" t="s">
        <v>992</v>
      </c>
      <c r="G1335" s="973" t="s">
        <v>1997</v>
      </c>
      <c r="H1335" s="973" t="s">
        <v>1998</v>
      </c>
      <c r="I1335" s="973" t="s">
        <v>1999</v>
      </c>
      <c r="J1335" s="973" t="s">
        <v>697</v>
      </c>
      <c r="K1335" s="973" t="s">
        <v>995</v>
      </c>
      <c r="L1335" s="973" t="s">
        <v>996</v>
      </c>
      <c r="M1335" s="973" t="s">
        <v>2000</v>
      </c>
      <c r="N1335" s="973" t="s">
        <v>2001</v>
      </c>
      <c r="O1335" s="973" t="s">
        <v>1971</v>
      </c>
      <c r="P1335" s="973" t="s">
        <v>999</v>
      </c>
      <c r="Q1335" s="973" t="s">
        <v>1000</v>
      </c>
      <c r="R1335" s="973" t="s">
        <v>1001</v>
      </c>
      <c r="S1335" s="973" t="s">
        <v>1002</v>
      </c>
      <c r="T1335" s="423">
        <v>10000</v>
      </c>
      <c r="V1335" s="423">
        <v>0.3</v>
      </c>
      <c r="W1335" s="423">
        <v>0.4</v>
      </c>
      <c r="X1335" s="423" t="s">
        <v>2062</v>
      </c>
      <c r="Y1335" s="423" t="s">
        <v>2003</v>
      </c>
      <c r="Z1335" s="423" t="s">
        <v>1058</v>
      </c>
      <c r="AD1335" s="423">
        <f>IF(ISNUMBER(MATCH(B1335,'FICHA SOLIC'!$AB$26:$AB$376,0)),1,0)</f>
        <v>1</v>
      </c>
      <c r="AE1335" s="423" t="str">
        <f t="shared" si="20"/>
        <v>RancaguaPU1-AV</v>
      </c>
    </row>
    <row r="1336" spans="1:31" x14ac:dyDescent="0.25">
      <c r="A1336" s="423">
        <v>1335</v>
      </c>
      <c r="B1336" s="423" t="s">
        <v>183</v>
      </c>
      <c r="C1336" s="423" t="s">
        <v>2509</v>
      </c>
      <c r="D1336" s="973" t="s">
        <v>990</v>
      </c>
      <c r="E1336" s="973" t="s">
        <v>991</v>
      </c>
      <c r="F1336" s="973" t="s">
        <v>992</v>
      </c>
      <c r="G1336" s="973" t="s">
        <v>1997</v>
      </c>
      <c r="H1336" s="973" t="s">
        <v>1998</v>
      </c>
      <c r="I1336" s="973" t="s">
        <v>1999</v>
      </c>
      <c r="J1336" s="973" t="s">
        <v>697</v>
      </c>
      <c r="K1336" s="973" t="s">
        <v>995</v>
      </c>
      <c r="L1336" s="973" t="s">
        <v>996</v>
      </c>
      <c r="M1336" s="973" t="s">
        <v>2000</v>
      </c>
      <c r="N1336" s="973" t="s">
        <v>2001</v>
      </c>
      <c r="O1336" s="973" t="s">
        <v>1971</v>
      </c>
      <c r="P1336" s="973" t="s">
        <v>999</v>
      </c>
      <c r="Q1336" s="973" t="s">
        <v>1000</v>
      </c>
      <c r="R1336" s="973" t="s">
        <v>1001</v>
      </c>
      <c r="S1336" s="973" t="s">
        <v>1002</v>
      </c>
      <c r="AD1336" s="423">
        <f>IF(ISNUMBER(MATCH(B1336,'FICHA SOLIC'!$AB$26:$AB$376,0)),1,0)</f>
        <v>1</v>
      </c>
      <c r="AE1336" s="423" t="str">
        <f t="shared" si="20"/>
        <v>RancaguaPU2-EP</v>
      </c>
    </row>
    <row r="1337" spans="1:31" x14ac:dyDescent="0.25">
      <c r="A1337" s="423">
        <v>1336</v>
      </c>
      <c r="B1337" s="423" t="s">
        <v>183</v>
      </c>
      <c r="C1337" s="423" t="s">
        <v>1434</v>
      </c>
      <c r="D1337" s="973" t="s">
        <v>990</v>
      </c>
      <c r="E1337" s="973" t="s">
        <v>991</v>
      </c>
      <c r="F1337" s="973" t="s">
        <v>992</v>
      </c>
      <c r="G1337" s="973" t="s">
        <v>1997</v>
      </c>
      <c r="H1337" s="973" t="s">
        <v>1998</v>
      </c>
      <c r="I1337" s="973" t="s">
        <v>1999</v>
      </c>
      <c r="J1337" s="973" t="s">
        <v>697</v>
      </c>
      <c r="K1337" s="973" t="s">
        <v>995</v>
      </c>
      <c r="L1337" s="973" t="s">
        <v>996</v>
      </c>
      <c r="M1337" s="973" t="s">
        <v>2000</v>
      </c>
      <c r="N1337" s="973" t="s">
        <v>2001</v>
      </c>
      <c r="O1337" s="973" t="s">
        <v>1971</v>
      </c>
      <c r="P1337" s="973" t="s">
        <v>999</v>
      </c>
      <c r="Q1337" s="973" t="s">
        <v>1000</v>
      </c>
      <c r="R1337" s="973" t="s">
        <v>1001</v>
      </c>
      <c r="S1337" s="973" t="s">
        <v>1002</v>
      </c>
      <c r="T1337" s="423">
        <v>120</v>
      </c>
      <c r="V1337" s="423">
        <v>80</v>
      </c>
      <c r="W1337" s="423">
        <v>2</v>
      </c>
      <c r="X1337" s="423">
        <v>7</v>
      </c>
      <c r="Y1337" s="423" t="s">
        <v>2091</v>
      </c>
      <c r="Z1337" s="423" t="s">
        <v>1059</v>
      </c>
      <c r="AD1337" s="423">
        <f>IF(ISNUMBER(MATCH(B1337,'FICHA SOLIC'!$AB$26:$AB$376,0)),1,0)</f>
        <v>1</v>
      </c>
      <c r="AE1337" s="423" t="str">
        <f t="shared" si="20"/>
        <v>RancaguaR1</v>
      </c>
    </row>
    <row r="1338" spans="1:31" x14ac:dyDescent="0.25">
      <c r="A1338" s="423">
        <v>1337</v>
      </c>
      <c r="B1338" s="423" t="s">
        <v>183</v>
      </c>
      <c r="C1338" s="423" t="s">
        <v>1299</v>
      </c>
      <c r="D1338" s="973" t="s">
        <v>990</v>
      </c>
      <c r="E1338" s="973" t="s">
        <v>991</v>
      </c>
      <c r="F1338" s="973" t="s">
        <v>992</v>
      </c>
      <c r="G1338" s="973" t="s">
        <v>1997</v>
      </c>
      <c r="H1338" s="973" t="s">
        <v>1998</v>
      </c>
      <c r="I1338" s="973" t="s">
        <v>1999</v>
      </c>
      <c r="J1338" s="973" t="s">
        <v>697</v>
      </c>
      <c r="K1338" s="973" t="s">
        <v>995</v>
      </c>
      <c r="L1338" s="973" t="s">
        <v>996</v>
      </c>
      <c r="M1338" s="973" t="s">
        <v>2000</v>
      </c>
      <c r="N1338" s="973" t="s">
        <v>2001</v>
      </c>
      <c r="O1338" s="973" t="s">
        <v>1971</v>
      </c>
      <c r="P1338" s="973" t="s">
        <v>999</v>
      </c>
      <c r="Q1338" s="973" t="s">
        <v>1000</v>
      </c>
      <c r="R1338" s="973" t="s">
        <v>1001</v>
      </c>
      <c r="S1338" s="973" t="s">
        <v>1002</v>
      </c>
      <c r="T1338" s="423">
        <v>160</v>
      </c>
      <c r="V1338" s="423">
        <v>80</v>
      </c>
      <c r="W1338" s="423">
        <v>1.2</v>
      </c>
      <c r="X1338" s="423" t="s">
        <v>2510</v>
      </c>
      <c r="Y1338" s="423" t="s">
        <v>2091</v>
      </c>
      <c r="Z1338" s="423" t="s">
        <v>1059</v>
      </c>
      <c r="AD1338" s="423">
        <f>IF(ISNUMBER(MATCH(B1338,'FICHA SOLIC'!$AB$26:$AB$376,0)),1,0)</f>
        <v>1</v>
      </c>
      <c r="AE1338" s="423" t="str">
        <f t="shared" si="20"/>
        <v>RancaguaR2</v>
      </c>
    </row>
    <row r="1339" spans="1:31" x14ac:dyDescent="0.25">
      <c r="A1339" s="423">
        <v>1338</v>
      </c>
      <c r="B1339" s="423" t="s">
        <v>183</v>
      </c>
      <c r="C1339" s="423" t="s">
        <v>1300</v>
      </c>
      <c r="D1339" s="973" t="s">
        <v>990</v>
      </c>
      <c r="E1339" s="973" t="s">
        <v>991</v>
      </c>
      <c r="F1339" s="973" t="s">
        <v>992</v>
      </c>
      <c r="G1339" s="973" t="s">
        <v>1997</v>
      </c>
      <c r="H1339" s="973" t="s">
        <v>1998</v>
      </c>
      <c r="I1339" s="973" t="s">
        <v>1999</v>
      </c>
      <c r="J1339" s="973" t="s">
        <v>697</v>
      </c>
      <c r="K1339" s="973" t="s">
        <v>995</v>
      </c>
      <c r="L1339" s="973" t="s">
        <v>996</v>
      </c>
      <c r="M1339" s="973" t="s">
        <v>2000</v>
      </c>
      <c r="N1339" s="973" t="s">
        <v>2001</v>
      </c>
      <c r="O1339" s="973" t="s">
        <v>1971</v>
      </c>
      <c r="P1339" s="973" t="s">
        <v>999</v>
      </c>
      <c r="Q1339" s="973" t="s">
        <v>1000</v>
      </c>
      <c r="R1339" s="973" t="s">
        <v>1001</v>
      </c>
      <c r="S1339" s="973" t="s">
        <v>1002</v>
      </c>
      <c r="T1339" s="423">
        <v>250</v>
      </c>
      <c r="V1339" s="423">
        <v>60</v>
      </c>
      <c r="W1339" s="423">
        <v>1</v>
      </c>
      <c r="X1339" s="423">
        <v>13.5</v>
      </c>
      <c r="Y1339" s="423" t="s">
        <v>2091</v>
      </c>
      <c r="Z1339" s="423" t="s">
        <v>1057</v>
      </c>
      <c r="AD1339" s="423">
        <f>IF(ISNUMBER(MATCH(B1339,'FICHA SOLIC'!$AB$26:$AB$376,0)),1,0)</f>
        <v>1</v>
      </c>
      <c r="AE1339" s="423" t="str">
        <f t="shared" si="20"/>
        <v>RancaguaR3</v>
      </c>
    </row>
    <row r="1340" spans="1:31" x14ac:dyDescent="0.25">
      <c r="A1340" s="423">
        <v>1339</v>
      </c>
      <c r="B1340" s="423" t="s">
        <v>183</v>
      </c>
      <c r="C1340" s="423" t="s">
        <v>1280</v>
      </c>
      <c r="D1340" s="973" t="s">
        <v>990</v>
      </c>
      <c r="E1340" s="973" t="s">
        <v>991</v>
      </c>
      <c r="F1340" s="973" t="s">
        <v>992</v>
      </c>
      <c r="G1340" s="973" t="s">
        <v>1997</v>
      </c>
      <c r="H1340" s="973" t="s">
        <v>1998</v>
      </c>
      <c r="I1340" s="973" t="s">
        <v>1999</v>
      </c>
      <c r="J1340" s="973" t="s">
        <v>697</v>
      </c>
      <c r="K1340" s="973" t="s">
        <v>995</v>
      </c>
      <c r="L1340" s="973" t="s">
        <v>996</v>
      </c>
      <c r="M1340" s="973" t="s">
        <v>2000</v>
      </c>
      <c r="N1340" s="973" t="s">
        <v>2001</v>
      </c>
      <c r="O1340" s="973" t="s">
        <v>1971</v>
      </c>
      <c r="P1340" s="973" t="s">
        <v>999</v>
      </c>
      <c r="Q1340" s="973" t="s">
        <v>1000</v>
      </c>
      <c r="R1340" s="973" t="s">
        <v>1001</v>
      </c>
      <c r="S1340" s="973" t="s">
        <v>1002</v>
      </c>
      <c r="T1340" s="423">
        <v>500</v>
      </c>
      <c r="V1340" s="423">
        <v>40</v>
      </c>
      <c r="W1340" s="423">
        <v>1.6</v>
      </c>
      <c r="X1340" s="423">
        <v>22</v>
      </c>
      <c r="Y1340" s="423" t="s">
        <v>2091</v>
      </c>
      <c r="Z1340" s="423" t="s">
        <v>1058</v>
      </c>
      <c r="AD1340" s="423">
        <f>IF(ISNUMBER(MATCH(B1340,'FICHA SOLIC'!$AB$26:$AB$376,0)),1,0)</f>
        <v>1</v>
      </c>
      <c r="AE1340" s="423" t="str">
        <f t="shared" si="20"/>
        <v>RancaguaR4</v>
      </c>
    </row>
    <row r="1341" spans="1:31" x14ac:dyDescent="0.25">
      <c r="A1341" s="423">
        <v>1340</v>
      </c>
      <c r="B1341" s="423" t="s">
        <v>183</v>
      </c>
      <c r="C1341" s="423" t="s">
        <v>1278</v>
      </c>
      <c r="D1341" s="973" t="s">
        <v>990</v>
      </c>
      <c r="E1341" s="973" t="s">
        <v>991</v>
      </c>
      <c r="F1341" s="973" t="s">
        <v>992</v>
      </c>
      <c r="G1341" s="973" t="s">
        <v>1997</v>
      </c>
      <c r="H1341" s="973" t="s">
        <v>1998</v>
      </c>
      <c r="I1341" s="973" t="s">
        <v>1999</v>
      </c>
      <c r="J1341" s="973" t="s">
        <v>697</v>
      </c>
      <c r="K1341" s="973" t="s">
        <v>995</v>
      </c>
      <c r="L1341" s="973" t="s">
        <v>996</v>
      </c>
      <c r="M1341" s="973" t="s">
        <v>2000</v>
      </c>
      <c r="N1341" s="973" t="s">
        <v>2001</v>
      </c>
      <c r="O1341" s="973" t="s">
        <v>1971</v>
      </c>
      <c r="P1341" s="973" t="s">
        <v>999</v>
      </c>
      <c r="Q1341" s="973" t="s">
        <v>1000</v>
      </c>
      <c r="R1341" s="973" t="s">
        <v>1001</v>
      </c>
      <c r="S1341" s="973" t="s">
        <v>1002</v>
      </c>
      <c r="T1341" s="423">
        <v>300</v>
      </c>
      <c r="V1341" s="423">
        <v>50</v>
      </c>
      <c r="W1341" s="423">
        <v>1</v>
      </c>
      <c r="X1341" s="423">
        <v>8</v>
      </c>
      <c r="Y1341" s="423" t="s">
        <v>2091</v>
      </c>
      <c r="Z1341" s="423" t="s">
        <v>1058</v>
      </c>
      <c r="AD1341" s="423">
        <f>IF(ISNUMBER(MATCH(B1341,'FICHA SOLIC'!$AB$26:$AB$376,0)),1,0)</f>
        <v>1</v>
      </c>
      <c r="AE1341" s="423" t="str">
        <f t="shared" si="20"/>
        <v>RancaguaR5</v>
      </c>
    </row>
    <row r="1342" spans="1:31" x14ac:dyDescent="0.25">
      <c r="A1342" s="423">
        <v>1341</v>
      </c>
      <c r="B1342" s="423" t="s">
        <v>183</v>
      </c>
      <c r="C1342" s="423" t="s">
        <v>1435</v>
      </c>
      <c r="D1342" s="973" t="s">
        <v>990</v>
      </c>
      <c r="E1342" s="973" t="s">
        <v>991</v>
      </c>
      <c r="F1342" s="973" t="s">
        <v>992</v>
      </c>
      <c r="G1342" s="973" t="s">
        <v>1997</v>
      </c>
      <c r="H1342" s="973" t="s">
        <v>1998</v>
      </c>
      <c r="I1342" s="973" t="s">
        <v>1999</v>
      </c>
      <c r="J1342" s="973" t="s">
        <v>697</v>
      </c>
      <c r="K1342" s="973" t="s">
        <v>995</v>
      </c>
      <c r="L1342" s="973" t="s">
        <v>996</v>
      </c>
      <c r="M1342" s="973" t="s">
        <v>2000</v>
      </c>
      <c r="N1342" s="973" t="s">
        <v>2001</v>
      </c>
      <c r="O1342" s="973" t="s">
        <v>1971</v>
      </c>
      <c r="P1342" s="973" t="s">
        <v>999</v>
      </c>
      <c r="Q1342" s="973" t="s">
        <v>1000</v>
      </c>
      <c r="R1342" s="973" t="s">
        <v>1001</v>
      </c>
      <c r="S1342" s="973" t="s">
        <v>1002</v>
      </c>
      <c r="T1342" s="423">
        <v>200</v>
      </c>
      <c r="V1342" s="423">
        <v>0.7</v>
      </c>
      <c r="W1342" s="423">
        <v>1.8</v>
      </c>
      <c r="X1342" s="423" t="s">
        <v>2511</v>
      </c>
      <c r="Y1342" s="423" t="s">
        <v>2091</v>
      </c>
      <c r="Z1342" s="423" t="s">
        <v>1059</v>
      </c>
      <c r="AD1342" s="423">
        <f>IF(ISNUMBER(MATCH(B1342,'FICHA SOLIC'!$AB$26:$AB$376,0)),1,0)</f>
        <v>1</v>
      </c>
      <c r="AE1342" s="423" t="str">
        <f t="shared" si="20"/>
        <v>RancaguaR6</v>
      </c>
    </row>
    <row r="1343" spans="1:31" x14ac:dyDescent="0.25">
      <c r="A1343" s="423">
        <v>1342</v>
      </c>
      <c r="B1343" s="423" t="s">
        <v>183</v>
      </c>
      <c r="C1343" s="423" t="s">
        <v>2512</v>
      </c>
      <c r="D1343" s="973" t="s">
        <v>990</v>
      </c>
      <c r="E1343" s="973" t="s">
        <v>991</v>
      </c>
      <c r="F1343" s="973" t="s">
        <v>992</v>
      </c>
      <c r="G1343" s="973" t="s">
        <v>1997</v>
      </c>
      <c r="H1343" s="973" t="s">
        <v>1998</v>
      </c>
      <c r="I1343" s="973" t="s">
        <v>1999</v>
      </c>
      <c r="J1343" s="973" t="s">
        <v>697</v>
      </c>
      <c r="K1343" s="973" t="s">
        <v>995</v>
      </c>
      <c r="L1343" s="973" t="s">
        <v>996</v>
      </c>
      <c r="M1343" s="973" t="s">
        <v>2000</v>
      </c>
      <c r="N1343" s="973" t="s">
        <v>2001</v>
      </c>
      <c r="O1343" s="973" t="s">
        <v>1971</v>
      </c>
      <c r="P1343" s="973" t="s">
        <v>999</v>
      </c>
      <c r="Q1343" s="973" t="s">
        <v>1000</v>
      </c>
      <c r="R1343" s="973" t="s">
        <v>1001</v>
      </c>
      <c r="S1343" s="973" t="s">
        <v>1002</v>
      </c>
      <c r="T1343" s="423">
        <v>1500</v>
      </c>
      <c r="V1343" s="423">
        <v>40</v>
      </c>
      <c r="W1343" s="423">
        <v>2</v>
      </c>
      <c r="X1343" s="423" t="s">
        <v>2003</v>
      </c>
      <c r="Y1343" s="423" t="s">
        <v>2003</v>
      </c>
      <c r="Z1343" s="423" t="s">
        <v>1058</v>
      </c>
      <c r="AD1343" s="423">
        <f>IF(ISNUMBER(MATCH(B1343,'FICHA SOLIC'!$AB$26:$AB$376,0)),1,0)</f>
        <v>1</v>
      </c>
      <c r="AE1343" s="423" t="str">
        <f t="shared" si="20"/>
        <v>RancaguaRAM</v>
      </c>
    </row>
    <row r="1344" spans="1:31" x14ac:dyDescent="0.25">
      <c r="A1344" s="423">
        <v>1343</v>
      </c>
      <c r="B1344" s="423" t="s">
        <v>183</v>
      </c>
      <c r="C1344" s="423" t="s">
        <v>2513</v>
      </c>
      <c r="D1344" s="973" t="s">
        <v>990</v>
      </c>
      <c r="E1344" s="973" t="s">
        <v>991</v>
      </c>
      <c r="F1344" s="973" t="s">
        <v>992</v>
      </c>
      <c r="G1344" s="973" t="s">
        <v>1997</v>
      </c>
      <c r="H1344" s="973" t="s">
        <v>1998</v>
      </c>
      <c r="I1344" s="973" t="s">
        <v>1999</v>
      </c>
      <c r="J1344" s="973" t="s">
        <v>697</v>
      </c>
      <c r="K1344" s="973" t="s">
        <v>995</v>
      </c>
      <c r="L1344" s="973" t="s">
        <v>996</v>
      </c>
      <c r="M1344" s="973" t="s">
        <v>2000</v>
      </c>
      <c r="N1344" s="973" t="s">
        <v>2001</v>
      </c>
      <c r="O1344" s="973" t="s">
        <v>1971</v>
      </c>
      <c r="P1344" s="973" t="s">
        <v>999</v>
      </c>
      <c r="Q1344" s="973" t="s">
        <v>1000</v>
      </c>
      <c r="R1344" s="973" t="s">
        <v>1001</v>
      </c>
      <c r="S1344" s="973" t="s">
        <v>1002</v>
      </c>
      <c r="T1344" s="423">
        <v>120</v>
      </c>
      <c r="V1344" s="423">
        <v>70</v>
      </c>
      <c r="W1344" s="423">
        <v>1.8</v>
      </c>
      <c r="X1344" s="423">
        <v>10</v>
      </c>
      <c r="Y1344" s="423" t="s">
        <v>2091</v>
      </c>
      <c r="Z1344" s="423" t="s">
        <v>1059</v>
      </c>
      <c r="AD1344" s="423">
        <f>IF(ISNUMBER(MATCH(B1344,'FICHA SOLIC'!$AB$26:$AB$376,0)),1,0)</f>
        <v>1</v>
      </c>
      <c r="AE1344" s="423" t="str">
        <f t="shared" si="20"/>
        <v>RancaguaSM1</v>
      </c>
    </row>
    <row r="1345" spans="1:31" x14ac:dyDescent="0.25">
      <c r="A1345" s="423">
        <v>1344</v>
      </c>
      <c r="B1345" s="423" t="s">
        <v>183</v>
      </c>
      <c r="C1345" s="423" t="s">
        <v>2514</v>
      </c>
      <c r="D1345" s="973" t="s">
        <v>990</v>
      </c>
      <c r="E1345" s="973" t="s">
        <v>991</v>
      </c>
      <c r="F1345" s="973" t="s">
        <v>992</v>
      </c>
      <c r="G1345" s="973" t="s">
        <v>1997</v>
      </c>
      <c r="H1345" s="973" t="s">
        <v>1998</v>
      </c>
      <c r="I1345" s="973" t="s">
        <v>1999</v>
      </c>
      <c r="J1345" s="973" t="s">
        <v>697</v>
      </c>
      <c r="K1345" s="973" t="s">
        <v>995</v>
      </c>
      <c r="L1345" s="973" t="s">
        <v>996</v>
      </c>
      <c r="M1345" s="973" t="s">
        <v>2000</v>
      </c>
      <c r="N1345" s="973" t="s">
        <v>2001</v>
      </c>
      <c r="O1345" s="973" t="s">
        <v>1971</v>
      </c>
      <c r="P1345" s="973" t="s">
        <v>999</v>
      </c>
      <c r="Q1345" s="973" t="s">
        <v>1000</v>
      </c>
      <c r="R1345" s="973" t="s">
        <v>1001</v>
      </c>
      <c r="S1345" s="973" t="s">
        <v>1002</v>
      </c>
      <c r="T1345" s="423">
        <v>300</v>
      </c>
      <c r="V1345" s="423">
        <v>80</v>
      </c>
      <c r="W1345" s="423">
        <v>4</v>
      </c>
      <c r="X1345" s="423">
        <v>17</v>
      </c>
      <c r="Y1345" s="423" t="s">
        <v>2091</v>
      </c>
      <c r="Z1345" s="423" t="s">
        <v>1059</v>
      </c>
      <c r="AD1345" s="423">
        <f>IF(ISNUMBER(MATCH(B1345,'FICHA SOLIC'!$AB$26:$AB$376,0)),1,0)</f>
        <v>1</v>
      </c>
      <c r="AE1345" s="423" t="str">
        <f t="shared" si="20"/>
        <v>RancaguaSM1-A</v>
      </c>
    </row>
    <row r="1346" spans="1:31" x14ac:dyDescent="0.25">
      <c r="A1346" s="423">
        <v>1345</v>
      </c>
      <c r="B1346" s="423" t="s">
        <v>183</v>
      </c>
      <c r="C1346" s="423" t="s">
        <v>2515</v>
      </c>
      <c r="D1346" s="973" t="s">
        <v>990</v>
      </c>
      <c r="E1346" s="973" t="s">
        <v>991</v>
      </c>
      <c r="F1346" s="973" t="s">
        <v>992</v>
      </c>
      <c r="G1346" s="973" t="s">
        <v>1997</v>
      </c>
      <c r="H1346" s="973" t="s">
        <v>1998</v>
      </c>
      <c r="I1346" s="973" t="s">
        <v>1999</v>
      </c>
      <c r="J1346" s="973" t="s">
        <v>697</v>
      </c>
      <c r="K1346" s="973" t="s">
        <v>995</v>
      </c>
      <c r="L1346" s="973" t="s">
        <v>996</v>
      </c>
      <c r="M1346" s="973" t="s">
        <v>2000</v>
      </c>
      <c r="N1346" s="973" t="s">
        <v>2001</v>
      </c>
      <c r="O1346" s="973" t="s">
        <v>1971</v>
      </c>
      <c r="P1346" s="973" t="s">
        <v>999</v>
      </c>
      <c r="Q1346" s="973" t="s">
        <v>1000</v>
      </c>
      <c r="R1346" s="973" t="s">
        <v>1001</v>
      </c>
      <c r="S1346" s="973" t="s">
        <v>1002</v>
      </c>
      <c r="T1346" s="423">
        <v>120</v>
      </c>
      <c r="V1346" s="423" t="s">
        <v>2516</v>
      </c>
      <c r="W1346" s="423">
        <v>1.8</v>
      </c>
      <c r="X1346" s="423">
        <v>10</v>
      </c>
      <c r="Y1346" s="423" t="s">
        <v>2091</v>
      </c>
      <c r="Z1346" s="423" t="s">
        <v>1059</v>
      </c>
      <c r="AD1346" s="423">
        <f>IF(ISNUMBER(MATCH(B1346,'FICHA SOLIC'!$AB$26:$AB$376,0)),1,0)</f>
        <v>1</v>
      </c>
      <c r="AE1346" s="423" t="str">
        <f t="shared" si="20"/>
        <v>RancaguaSM2</v>
      </c>
    </row>
    <row r="1347" spans="1:31" x14ac:dyDescent="0.25">
      <c r="A1347" s="423">
        <v>1346</v>
      </c>
      <c r="B1347" s="423" t="s">
        <v>183</v>
      </c>
      <c r="C1347" s="423" t="s">
        <v>2517</v>
      </c>
      <c r="D1347" s="973" t="s">
        <v>990</v>
      </c>
      <c r="E1347" s="973" t="s">
        <v>991</v>
      </c>
      <c r="F1347" s="973" t="s">
        <v>992</v>
      </c>
      <c r="G1347" s="973" t="s">
        <v>1997</v>
      </c>
      <c r="H1347" s="973" t="s">
        <v>1998</v>
      </c>
      <c r="I1347" s="973" t="s">
        <v>1999</v>
      </c>
      <c r="J1347" s="973" t="s">
        <v>697</v>
      </c>
      <c r="K1347" s="973" t="s">
        <v>995</v>
      </c>
      <c r="L1347" s="973" t="s">
        <v>996</v>
      </c>
      <c r="M1347" s="973" t="s">
        <v>2000</v>
      </c>
      <c r="N1347" s="973" t="s">
        <v>2001</v>
      </c>
      <c r="O1347" s="973" t="s">
        <v>1971</v>
      </c>
      <c r="P1347" s="973" t="s">
        <v>999</v>
      </c>
      <c r="Q1347" s="973" t="s">
        <v>1000</v>
      </c>
      <c r="R1347" s="973" t="s">
        <v>1001</v>
      </c>
      <c r="S1347" s="973" t="s">
        <v>1002</v>
      </c>
      <c r="T1347" s="423">
        <v>200</v>
      </c>
      <c r="V1347" s="423">
        <v>60</v>
      </c>
      <c r="W1347" s="423">
        <v>1</v>
      </c>
      <c r="X1347" s="423">
        <v>7.5</v>
      </c>
      <c r="Y1347" s="423" t="s">
        <v>2091</v>
      </c>
      <c r="Z1347" s="423" t="s">
        <v>1057</v>
      </c>
      <c r="AD1347" s="423">
        <f>IF(ISNUMBER(MATCH(B1347,'FICHA SOLIC'!$AB$26:$AB$376,0)),1,0)</f>
        <v>1</v>
      </c>
      <c r="AE1347" s="423" t="str">
        <f t="shared" ref="AE1347:AE1410" si="21">B1347&amp;C1347</f>
        <v>RancaguaSM3</v>
      </c>
    </row>
    <row r="1348" spans="1:31" x14ac:dyDescent="0.25">
      <c r="A1348" s="423">
        <v>1347</v>
      </c>
      <c r="B1348" s="423" t="s">
        <v>183</v>
      </c>
      <c r="C1348" s="423" t="s">
        <v>2518</v>
      </c>
      <c r="D1348" s="973" t="s">
        <v>990</v>
      </c>
      <c r="E1348" s="973" t="s">
        <v>991</v>
      </c>
      <c r="F1348" s="973" t="s">
        <v>992</v>
      </c>
      <c r="G1348" s="973" t="s">
        <v>1997</v>
      </c>
      <c r="H1348" s="973" t="s">
        <v>1998</v>
      </c>
      <c r="I1348" s="973" t="s">
        <v>1999</v>
      </c>
      <c r="J1348" s="973" t="s">
        <v>697</v>
      </c>
      <c r="K1348" s="973" t="s">
        <v>995</v>
      </c>
      <c r="L1348" s="973" t="s">
        <v>996</v>
      </c>
      <c r="M1348" s="973" t="s">
        <v>2000</v>
      </c>
      <c r="N1348" s="973" t="s">
        <v>2001</v>
      </c>
      <c r="O1348" s="973" t="s">
        <v>1971</v>
      </c>
      <c r="P1348" s="973" t="s">
        <v>999</v>
      </c>
      <c r="Q1348" s="973" t="s">
        <v>1000</v>
      </c>
      <c r="R1348" s="973" t="s">
        <v>1001</v>
      </c>
      <c r="S1348" s="973" t="s">
        <v>1002</v>
      </c>
      <c r="T1348" s="423">
        <v>150</v>
      </c>
      <c r="V1348" s="423">
        <v>0.7</v>
      </c>
      <c r="W1348" s="423">
        <v>1.5</v>
      </c>
      <c r="X1348" s="423">
        <v>17.5</v>
      </c>
      <c r="Y1348" s="423" t="s">
        <v>2091</v>
      </c>
      <c r="Z1348" s="423" t="s">
        <v>1057</v>
      </c>
      <c r="AD1348" s="423">
        <f>IF(ISNUMBER(MATCH(B1348,'FICHA SOLIC'!$AB$26:$AB$376,0)),1,0)</f>
        <v>1</v>
      </c>
      <c r="AE1348" s="423" t="str">
        <f t="shared" si="21"/>
        <v>RancaguaSM4</v>
      </c>
    </row>
    <row r="1349" spans="1:31" x14ac:dyDescent="0.25">
      <c r="A1349" s="423">
        <v>1348</v>
      </c>
      <c r="B1349" s="423" t="s">
        <v>183</v>
      </c>
      <c r="C1349" s="423" t="s">
        <v>2519</v>
      </c>
      <c r="D1349" s="973" t="s">
        <v>990</v>
      </c>
      <c r="E1349" s="973" t="s">
        <v>991</v>
      </c>
      <c r="F1349" s="973" t="s">
        <v>992</v>
      </c>
      <c r="G1349" s="973" t="s">
        <v>1997</v>
      </c>
      <c r="H1349" s="973" t="s">
        <v>1998</v>
      </c>
      <c r="I1349" s="973" t="s">
        <v>1999</v>
      </c>
      <c r="J1349" s="973" t="s">
        <v>697</v>
      </c>
      <c r="K1349" s="973" t="s">
        <v>995</v>
      </c>
      <c r="L1349" s="973" t="s">
        <v>996</v>
      </c>
      <c r="M1349" s="973" t="s">
        <v>2000</v>
      </c>
      <c r="N1349" s="973" t="s">
        <v>2001</v>
      </c>
      <c r="O1349" s="973" t="s">
        <v>1971</v>
      </c>
      <c r="P1349" s="973" t="s">
        <v>999</v>
      </c>
      <c r="Q1349" s="973" t="s">
        <v>1000</v>
      </c>
      <c r="R1349" s="973" t="s">
        <v>1001</v>
      </c>
      <c r="S1349" s="973" t="s">
        <v>1002</v>
      </c>
      <c r="AD1349" s="423">
        <f>IF(ISNUMBER(MATCH(B1349,'FICHA SOLIC'!$AB$26:$AB$376,0)),1,0)</f>
        <v>1</v>
      </c>
      <c r="AE1349" s="423" t="str">
        <f t="shared" si="21"/>
        <v>RancaguaZ11A</v>
      </c>
    </row>
    <row r="1350" spans="1:31" x14ac:dyDescent="0.25">
      <c r="A1350" s="423">
        <v>1349</v>
      </c>
      <c r="B1350" s="423" t="s">
        <v>183</v>
      </c>
      <c r="C1350" s="423" t="s">
        <v>2520</v>
      </c>
      <c r="D1350" s="973" t="s">
        <v>990</v>
      </c>
      <c r="E1350" s="973" t="s">
        <v>991</v>
      </c>
      <c r="F1350" s="973" t="s">
        <v>992</v>
      </c>
      <c r="G1350" s="973" t="s">
        <v>1997</v>
      </c>
      <c r="H1350" s="973" t="s">
        <v>1998</v>
      </c>
      <c r="I1350" s="973" t="s">
        <v>1999</v>
      </c>
      <c r="J1350" s="973" t="s">
        <v>697</v>
      </c>
      <c r="K1350" s="973" t="s">
        <v>995</v>
      </c>
      <c r="L1350" s="973" t="s">
        <v>996</v>
      </c>
      <c r="M1350" s="973" t="s">
        <v>2000</v>
      </c>
      <c r="N1350" s="973" t="s">
        <v>2001</v>
      </c>
      <c r="O1350" s="973" t="s">
        <v>1971</v>
      </c>
      <c r="P1350" s="973" t="s">
        <v>999</v>
      </c>
      <c r="Q1350" s="973" t="s">
        <v>1000</v>
      </c>
      <c r="R1350" s="973" t="s">
        <v>1001</v>
      </c>
      <c r="S1350" s="973" t="s">
        <v>1002</v>
      </c>
      <c r="T1350" s="423">
        <v>2500</v>
      </c>
      <c r="V1350" s="423">
        <v>30</v>
      </c>
      <c r="W1350" s="423">
        <v>0.3</v>
      </c>
      <c r="X1350" s="423" t="s">
        <v>2521</v>
      </c>
      <c r="Y1350" s="423">
        <v>15</v>
      </c>
      <c r="Z1350" s="423" t="s">
        <v>1058</v>
      </c>
      <c r="AD1350" s="423">
        <f>IF(ISNUMBER(MATCH(B1350,'FICHA SOLIC'!$AB$26:$AB$376,0)),1,0)</f>
        <v>1</v>
      </c>
      <c r="AE1350" s="423" t="str">
        <f t="shared" si="21"/>
        <v>RancaguaZ11B-1</v>
      </c>
    </row>
    <row r="1351" spans="1:31" x14ac:dyDescent="0.25">
      <c r="A1351" s="423">
        <v>1350</v>
      </c>
      <c r="B1351" s="423" t="s">
        <v>183</v>
      </c>
      <c r="C1351" s="423" t="s">
        <v>2522</v>
      </c>
      <c r="D1351" s="973" t="s">
        <v>990</v>
      </c>
      <c r="E1351" s="973" t="s">
        <v>991</v>
      </c>
      <c r="F1351" s="973" t="s">
        <v>992</v>
      </c>
      <c r="G1351" s="973" t="s">
        <v>1997</v>
      </c>
      <c r="H1351" s="973" t="s">
        <v>1998</v>
      </c>
      <c r="I1351" s="973" t="s">
        <v>1999</v>
      </c>
      <c r="J1351" s="973" t="s">
        <v>697</v>
      </c>
      <c r="K1351" s="973" t="s">
        <v>995</v>
      </c>
      <c r="L1351" s="973" t="s">
        <v>996</v>
      </c>
      <c r="M1351" s="973" t="s">
        <v>2000</v>
      </c>
      <c r="N1351" s="973" t="s">
        <v>2001</v>
      </c>
      <c r="O1351" s="973" t="s">
        <v>1971</v>
      </c>
      <c r="P1351" s="973" t="s">
        <v>999</v>
      </c>
      <c r="Q1351" s="973" t="s">
        <v>1000</v>
      </c>
      <c r="R1351" s="973" t="s">
        <v>1001</v>
      </c>
      <c r="S1351" s="973" t="s">
        <v>1002</v>
      </c>
      <c r="T1351" s="423">
        <v>1000</v>
      </c>
      <c r="V1351" s="423">
        <v>40</v>
      </c>
      <c r="W1351" s="423">
        <v>0.4</v>
      </c>
      <c r="X1351" s="423" t="s">
        <v>2521</v>
      </c>
      <c r="Y1351" s="423" t="s">
        <v>2003</v>
      </c>
      <c r="Z1351" s="423" t="s">
        <v>1057</v>
      </c>
      <c r="AD1351" s="423">
        <f>IF(ISNUMBER(MATCH(B1351,'FICHA SOLIC'!$AB$26:$AB$376,0)),1,0)</f>
        <v>1</v>
      </c>
      <c r="AE1351" s="423" t="str">
        <f t="shared" si="21"/>
        <v>RancaguaZ11B-2</v>
      </c>
    </row>
    <row r="1352" spans="1:31" x14ac:dyDescent="0.25">
      <c r="A1352" s="423">
        <v>1351</v>
      </c>
      <c r="B1352" s="423" t="s">
        <v>183</v>
      </c>
      <c r="C1352" s="423" t="s">
        <v>2018</v>
      </c>
      <c r="D1352" s="973" t="s">
        <v>990</v>
      </c>
      <c r="E1352" s="973" t="s">
        <v>991</v>
      </c>
      <c r="F1352" s="973" t="s">
        <v>992</v>
      </c>
      <c r="G1352" s="973" t="s">
        <v>1997</v>
      </c>
      <c r="H1352" s="973" t="s">
        <v>1998</v>
      </c>
      <c r="I1352" s="973" t="s">
        <v>1999</v>
      </c>
      <c r="J1352" s="973" t="s">
        <v>697</v>
      </c>
      <c r="K1352" s="973" t="s">
        <v>995</v>
      </c>
      <c r="L1352" s="973" t="s">
        <v>996</v>
      </c>
      <c r="M1352" s="973" t="s">
        <v>2000</v>
      </c>
      <c r="N1352" s="973" t="s">
        <v>2001</v>
      </c>
      <c r="O1352" s="973" t="s">
        <v>1971</v>
      </c>
      <c r="P1352" s="973" t="s">
        <v>999</v>
      </c>
      <c r="Q1352" s="973" t="s">
        <v>1000</v>
      </c>
      <c r="R1352" s="973" t="s">
        <v>1001</v>
      </c>
      <c r="S1352" s="973" t="s">
        <v>1002</v>
      </c>
      <c r="AD1352" s="423">
        <f>IF(ISNUMBER(MATCH(B1352,'FICHA SOLIC'!$AB$26:$AB$376,0)),1,0)</f>
        <v>1</v>
      </c>
      <c r="AE1352" s="423" t="str">
        <f t="shared" si="21"/>
        <v>RancaguaZ12</v>
      </c>
    </row>
    <row r="1353" spans="1:31" x14ac:dyDescent="0.25">
      <c r="A1353" s="423">
        <v>1352</v>
      </c>
      <c r="B1353" s="423" t="s">
        <v>183</v>
      </c>
      <c r="C1353" s="423" t="s">
        <v>2523</v>
      </c>
      <c r="D1353" s="973" t="s">
        <v>990</v>
      </c>
      <c r="E1353" s="973" t="s">
        <v>991</v>
      </c>
      <c r="F1353" s="973" t="s">
        <v>992</v>
      </c>
      <c r="G1353" s="973" t="s">
        <v>1997</v>
      </c>
      <c r="H1353" s="973" t="s">
        <v>1998</v>
      </c>
      <c r="I1353" s="973" t="s">
        <v>1999</v>
      </c>
      <c r="J1353" s="973" t="s">
        <v>697</v>
      </c>
      <c r="K1353" s="973" t="s">
        <v>995</v>
      </c>
      <c r="L1353" s="973" t="s">
        <v>996</v>
      </c>
      <c r="M1353" s="973" t="s">
        <v>2000</v>
      </c>
      <c r="N1353" s="973" t="s">
        <v>2001</v>
      </c>
      <c r="O1353" s="973" t="s">
        <v>1971</v>
      </c>
      <c r="P1353" s="973" t="s">
        <v>999</v>
      </c>
      <c r="Q1353" s="973" t="s">
        <v>1000</v>
      </c>
      <c r="R1353" s="973" t="s">
        <v>1001</v>
      </c>
      <c r="S1353" s="973" t="s">
        <v>1002</v>
      </c>
      <c r="AD1353" s="423">
        <f>IF(ISNUMBER(MATCH(B1353,'FICHA SOLIC'!$AB$26:$AB$376,0)),1,0)</f>
        <v>1</v>
      </c>
      <c r="AE1353" s="423" t="str">
        <f t="shared" si="21"/>
        <v>RancaguaZ16</v>
      </c>
    </row>
    <row r="1354" spans="1:31" x14ac:dyDescent="0.25">
      <c r="A1354" s="423">
        <v>1353</v>
      </c>
      <c r="B1354" s="423" t="s">
        <v>183</v>
      </c>
      <c r="C1354" s="423" t="s">
        <v>2524</v>
      </c>
      <c r="D1354" s="973" t="s">
        <v>990</v>
      </c>
      <c r="E1354" s="973" t="s">
        <v>991</v>
      </c>
      <c r="F1354" s="973" t="s">
        <v>992</v>
      </c>
      <c r="G1354" s="973" t="s">
        <v>1997</v>
      </c>
      <c r="H1354" s="973" t="s">
        <v>1998</v>
      </c>
      <c r="I1354" s="973" t="s">
        <v>1999</v>
      </c>
      <c r="J1354" s="973" t="s">
        <v>697</v>
      </c>
      <c r="K1354" s="973" t="s">
        <v>995</v>
      </c>
      <c r="L1354" s="973" t="s">
        <v>996</v>
      </c>
      <c r="M1354" s="973" t="s">
        <v>2000</v>
      </c>
      <c r="N1354" s="973" t="s">
        <v>2001</v>
      </c>
      <c r="O1354" s="973" t="s">
        <v>1971</v>
      </c>
      <c r="P1354" s="973" t="s">
        <v>999</v>
      </c>
      <c r="Q1354" s="973" t="s">
        <v>1000</v>
      </c>
      <c r="R1354" s="973" t="s">
        <v>1001</v>
      </c>
      <c r="S1354" s="973" t="s">
        <v>1002</v>
      </c>
      <c r="T1354" s="423">
        <v>2500</v>
      </c>
      <c r="V1354" s="423">
        <v>60</v>
      </c>
      <c r="W1354" s="423">
        <v>2</v>
      </c>
      <c r="X1354" s="423">
        <v>14.5</v>
      </c>
      <c r="Y1354" s="423" t="s">
        <v>2003</v>
      </c>
      <c r="Z1354" s="423" t="s">
        <v>1058</v>
      </c>
      <c r="AD1354" s="423">
        <f>IF(ISNUMBER(MATCH(B1354,'FICHA SOLIC'!$AB$26:$AB$376,0)),1,0)</f>
        <v>1</v>
      </c>
      <c r="AE1354" s="423" t="str">
        <f t="shared" si="21"/>
        <v>RancaguaZ20</v>
      </c>
    </row>
    <row r="1355" spans="1:31" x14ac:dyDescent="0.25">
      <c r="A1355" s="423">
        <v>1354</v>
      </c>
      <c r="B1355" s="423" t="s">
        <v>183</v>
      </c>
      <c r="C1355" s="423" t="s">
        <v>2525</v>
      </c>
      <c r="D1355" s="973" t="s">
        <v>990</v>
      </c>
      <c r="E1355" s="973" t="s">
        <v>991</v>
      </c>
      <c r="F1355" s="973" t="s">
        <v>992</v>
      </c>
      <c r="G1355" s="973" t="s">
        <v>1997</v>
      </c>
      <c r="H1355" s="973" t="s">
        <v>1998</v>
      </c>
      <c r="I1355" s="973" t="s">
        <v>1999</v>
      </c>
      <c r="J1355" s="973" t="s">
        <v>697</v>
      </c>
      <c r="K1355" s="973" t="s">
        <v>995</v>
      </c>
      <c r="L1355" s="973" t="s">
        <v>996</v>
      </c>
      <c r="M1355" s="973" t="s">
        <v>2000</v>
      </c>
      <c r="N1355" s="973" t="s">
        <v>2001</v>
      </c>
      <c r="O1355" s="973" t="s">
        <v>1971</v>
      </c>
      <c r="P1355" s="973" t="s">
        <v>999</v>
      </c>
      <c r="Q1355" s="973" t="s">
        <v>1000</v>
      </c>
      <c r="R1355" s="973" t="s">
        <v>1001</v>
      </c>
      <c r="S1355" s="973" t="s">
        <v>1002</v>
      </c>
      <c r="AD1355" s="423">
        <f>IF(ISNUMBER(MATCH(B1355,'FICHA SOLIC'!$AB$26:$AB$376,0)),1,0)</f>
        <v>1</v>
      </c>
      <c r="AE1355" s="423" t="str">
        <f t="shared" si="21"/>
        <v>RancaguaZEQPU-1</v>
      </c>
    </row>
    <row r="1356" spans="1:31" x14ac:dyDescent="0.25">
      <c r="A1356" s="423">
        <v>1355</v>
      </c>
      <c r="B1356" s="423" t="s">
        <v>429</v>
      </c>
      <c r="C1356" s="423" t="s">
        <v>1053</v>
      </c>
      <c r="D1356" s="425" t="s">
        <v>990</v>
      </c>
      <c r="E1356" s="425" t="s">
        <v>991</v>
      </c>
      <c r="F1356" s="425" t="s">
        <v>992</v>
      </c>
      <c r="G1356" s="425" t="s">
        <v>1054</v>
      </c>
      <c r="H1356" s="426" t="s">
        <v>699</v>
      </c>
      <c r="I1356" s="425" t="s">
        <v>1055</v>
      </c>
      <c r="J1356" s="425" t="s">
        <v>697</v>
      </c>
      <c r="K1356" s="425" t="s">
        <v>995</v>
      </c>
      <c r="L1356" s="425" t="s">
        <v>996</v>
      </c>
      <c r="M1356" s="425" t="s">
        <v>997</v>
      </c>
      <c r="N1356" s="425" t="s">
        <v>558</v>
      </c>
      <c r="O1356" s="425" t="s">
        <v>998</v>
      </c>
      <c r="P1356" s="425" t="s">
        <v>999</v>
      </c>
      <c r="Q1356" s="425" t="s">
        <v>1000</v>
      </c>
      <c r="R1356" s="425" t="s">
        <v>1001</v>
      </c>
      <c r="S1356" s="425" t="s">
        <v>1002</v>
      </c>
      <c r="T1356" s="423">
        <v>600</v>
      </c>
      <c r="U1356" s="423">
        <v>20</v>
      </c>
      <c r="V1356" s="423">
        <v>40</v>
      </c>
      <c r="W1356" s="423">
        <v>3.5</v>
      </c>
      <c r="X1356" s="423">
        <v>38</v>
      </c>
      <c r="Z1356" s="423" t="s">
        <v>1150</v>
      </c>
      <c r="AD1356" s="423">
        <f>IF(ISNUMBER(MATCH(B1356,'FICHA SOLIC'!$AB$26:$AB$376,0)),1,0)</f>
        <v>1</v>
      </c>
      <c r="AE1356" s="423" t="str">
        <f t="shared" si="21"/>
        <v>RecoletaE-A1</v>
      </c>
    </row>
    <row r="1357" spans="1:31" x14ac:dyDescent="0.25">
      <c r="A1357" s="423">
        <v>1356</v>
      </c>
      <c r="B1357" s="423" t="s">
        <v>429</v>
      </c>
      <c r="C1357" s="423" t="s">
        <v>1302</v>
      </c>
      <c r="D1357" s="425" t="s">
        <v>990</v>
      </c>
      <c r="E1357" s="425" t="s">
        <v>991</v>
      </c>
      <c r="F1357" s="425" t="s">
        <v>992</v>
      </c>
      <c r="G1357" s="425" t="s">
        <v>1054</v>
      </c>
      <c r="H1357" s="426" t="s">
        <v>699</v>
      </c>
      <c r="I1357" s="425" t="s">
        <v>1055</v>
      </c>
      <c r="J1357" s="425" t="s">
        <v>697</v>
      </c>
      <c r="K1357" s="425" t="s">
        <v>995</v>
      </c>
      <c r="L1357" s="425" t="s">
        <v>996</v>
      </c>
      <c r="M1357" s="425" t="s">
        <v>997</v>
      </c>
      <c r="N1357" s="425" t="s">
        <v>558</v>
      </c>
      <c r="O1357" s="425" t="s">
        <v>998</v>
      </c>
      <c r="P1357" s="425" t="s">
        <v>999</v>
      </c>
      <c r="Q1357" s="425" t="s">
        <v>1000</v>
      </c>
      <c r="R1357" s="425" t="s">
        <v>1001</v>
      </c>
      <c r="S1357" s="425" t="s">
        <v>1002</v>
      </c>
      <c r="T1357" s="423">
        <v>600</v>
      </c>
      <c r="U1357" s="423">
        <v>20</v>
      </c>
      <c r="V1357" s="423">
        <v>40</v>
      </c>
      <c r="W1357" s="423">
        <v>2.4</v>
      </c>
      <c r="X1357" s="423">
        <v>38</v>
      </c>
      <c r="Z1357" s="423" t="s">
        <v>1059</v>
      </c>
      <c r="AD1357" s="423">
        <f>IF(ISNUMBER(MATCH(B1357,'FICHA SOLIC'!$AB$26:$AB$376,0)),1,0)</f>
        <v>1</v>
      </c>
      <c r="AE1357" s="423" t="str">
        <f t="shared" si="21"/>
        <v>RecoletaE-A2</v>
      </c>
    </row>
    <row r="1358" spans="1:31" x14ac:dyDescent="0.25">
      <c r="A1358" s="423">
        <v>1357</v>
      </c>
      <c r="B1358" s="423" t="s">
        <v>429</v>
      </c>
      <c r="C1358" s="423" t="s">
        <v>1306</v>
      </c>
      <c r="D1358" s="425" t="s">
        <v>990</v>
      </c>
      <c r="E1358" s="425" t="s">
        <v>991</v>
      </c>
      <c r="F1358" s="425" t="s">
        <v>992</v>
      </c>
      <c r="G1358" s="425" t="s">
        <v>1054</v>
      </c>
      <c r="H1358" s="426" t="s">
        <v>699</v>
      </c>
      <c r="I1358" s="425" t="s">
        <v>1055</v>
      </c>
      <c r="J1358" s="425" t="s">
        <v>697</v>
      </c>
      <c r="K1358" s="425" t="s">
        <v>995</v>
      </c>
      <c r="L1358" s="425" t="s">
        <v>996</v>
      </c>
      <c r="M1358" s="425" t="s">
        <v>997</v>
      </c>
      <c r="N1358" s="425" t="s">
        <v>558</v>
      </c>
      <c r="O1358" s="425" t="s">
        <v>998</v>
      </c>
      <c r="P1358" s="425" t="s">
        <v>999</v>
      </c>
      <c r="Q1358" s="425" t="s">
        <v>1000</v>
      </c>
      <c r="R1358" s="425" t="s">
        <v>1001</v>
      </c>
      <c r="S1358" s="425" t="s">
        <v>1002</v>
      </c>
      <c r="T1358" s="423">
        <v>160</v>
      </c>
      <c r="U1358" s="423">
        <v>8</v>
      </c>
      <c r="V1358" s="423">
        <v>60</v>
      </c>
      <c r="W1358" s="423">
        <v>1</v>
      </c>
      <c r="X1358" s="423">
        <v>9</v>
      </c>
      <c r="Z1358" s="423" t="s">
        <v>1059</v>
      </c>
      <c r="AD1358" s="423">
        <f>IF(ISNUMBER(MATCH(B1358,'FICHA SOLIC'!$AB$26:$AB$376,0)),1,0)</f>
        <v>1</v>
      </c>
      <c r="AE1358" s="423" t="str">
        <f t="shared" si="21"/>
        <v>RecoletaE-B1</v>
      </c>
    </row>
    <row r="1359" spans="1:31" x14ac:dyDescent="0.25">
      <c r="A1359" s="423">
        <v>1358</v>
      </c>
      <c r="B1359" s="423" t="s">
        <v>429</v>
      </c>
      <c r="C1359" s="423" t="s">
        <v>1307</v>
      </c>
      <c r="D1359" s="425" t="s">
        <v>990</v>
      </c>
      <c r="E1359" s="425" t="s">
        <v>991</v>
      </c>
      <c r="F1359" s="425" t="s">
        <v>992</v>
      </c>
      <c r="G1359" s="425" t="s">
        <v>1054</v>
      </c>
      <c r="H1359" s="426" t="s">
        <v>699</v>
      </c>
      <c r="I1359" s="425" t="s">
        <v>1055</v>
      </c>
      <c r="J1359" s="425" t="s">
        <v>697</v>
      </c>
      <c r="K1359" s="425" t="s">
        <v>995</v>
      </c>
      <c r="L1359" s="425" t="s">
        <v>996</v>
      </c>
      <c r="M1359" s="425" t="s">
        <v>997</v>
      </c>
      <c r="N1359" s="425" t="s">
        <v>558</v>
      </c>
      <c r="O1359" s="425" t="s">
        <v>998</v>
      </c>
      <c r="P1359" s="425" t="s">
        <v>999</v>
      </c>
      <c r="Q1359" s="425" t="s">
        <v>1000</v>
      </c>
      <c r="R1359" s="425" t="s">
        <v>1001</v>
      </c>
      <c r="S1359" s="425" t="s">
        <v>1002</v>
      </c>
      <c r="T1359" s="423">
        <v>10000</v>
      </c>
      <c r="U1359" s="434"/>
      <c r="V1359" s="423">
        <v>25</v>
      </c>
      <c r="W1359" s="423">
        <v>0.25</v>
      </c>
      <c r="Z1359" s="423" t="s">
        <v>1058</v>
      </c>
      <c r="AD1359" s="423">
        <f>IF(ISNUMBER(MATCH(B1359,'FICHA SOLIC'!$AB$26:$AB$376,0)),1,0)</f>
        <v>1</v>
      </c>
      <c r="AE1359" s="423" t="str">
        <f t="shared" si="21"/>
        <v>RecoletaE-B2</v>
      </c>
    </row>
    <row r="1360" spans="1:31" x14ac:dyDescent="0.25">
      <c r="A1360" s="423">
        <v>1359</v>
      </c>
      <c r="B1360" s="423" t="s">
        <v>429</v>
      </c>
      <c r="C1360" s="423" t="s">
        <v>1303</v>
      </c>
      <c r="D1360" s="425" t="s">
        <v>990</v>
      </c>
      <c r="E1360" s="425" t="s">
        <v>991</v>
      </c>
      <c r="F1360" s="425" t="s">
        <v>992</v>
      </c>
      <c r="G1360" s="425" t="s">
        <v>1054</v>
      </c>
      <c r="H1360" s="426" t="s">
        <v>699</v>
      </c>
      <c r="I1360" s="425" t="s">
        <v>1055</v>
      </c>
      <c r="J1360" s="425" t="s">
        <v>697</v>
      </c>
      <c r="K1360" s="425" t="s">
        <v>995</v>
      </c>
      <c r="L1360" s="425" t="s">
        <v>996</v>
      </c>
      <c r="M1360" s="425" t="s">
        <v>997</v>
      </c>
      <c r="N1360" s="425" t="s">
        <v>558</v>
      </c>
      <c r="O1360" s="425" t="s">
        <v>998</v>
      </c>
      <c r="P1360" s="425" t="s">
        <v>999</v>
      </c>
      <c r="Q1360" s="425" t="s">
        <v>1000</v>
      </c>
      <c r="R1360" s="425" t="s">
        <v>1001</v>
      </c>
      <c r="S1360" s="425" t="s">
        <v>1002</v>
      </c>
      <c r="T1360" s="423">
        <v>600</v>
      </c>
      <c r="U1360" s="423">
        <v>20</v>
      </c>
      <c r="V1360" s="423">
        <v>40</v>
      </c>
      <c r="W1360" s="423">
        <v>1.6</v>
      </c>
      <c r="X1360" s="423">
        <v>20</v>
      </c>
      <c r="Z1360" s="423" t="s">
        <v>1059</v>
      </c>
      <c r="AD1360" s="423">
        <f>IF(ISNUMBER(MATCH(B1360,'FICHA SOLIC'!$AB$26:$AB$376,0)),1,0)</f>
        <v>1</v>
      </c>
      <c r="AE1360" s="423" t="str">
        <f t="shared" si="21"/>
        <v>RecoletaE-M1</v>
      </c>
    </row>
    <row r="1361" spans="1:31" x14ac:dyDescent="0.25">
      <c r="A1361" s="423">
        <v>1360</v>
      </c>
      <c r="B1361" s="423" t="s">
        <v>429</v>
      </c>
      <c r="C1361" s="423" t="s">
        <v>1304</v>
      </c>
      <c r="D1361" s="425" t="s">
        <v>990</v>
      </c>
      <c r="E1361" s="425" t="s">
        <v>991</v>
      </c>
      <c r="F1361" s="425" t="s">
        <v>992</v>
      </c>
      <c r="G1361" s="425" t="s">
        <v>1054</v>
      </c>
      <c r="H1361" s="426" t="s">
        <v>699</v>
      </c>
      <c r="I1361" s="425" t="s">
        <v>1055</v>
      </c>
      <c r="J1361" s="425" t="s">
        <v>697</v>
      </c>
      <c r="K1361" s="425" t="s">
        <v>995</v>
      </c>
      <c r="L1361" s="425" t="s">
        <v>996</v>
      </c>
      <c r="M1361" s="425" t="s">
        <v>997</v>
      </c>
      <c r="N1361" s="425" t="s">
        <v>558</v>
      </c>
      <c r="O1361" s="425" t="s">
        <v>998</v>
      </c>
      <c r="P1361" s="425" t="s">
        <v>999</v>
      </c>
      <c r="Q1361" s="425" t="s">
        <v>1000</v>
      </c>
      <c r="R1361" s="425" t="s">
        <v>1001</v>
      </c>
      <c r="S1361" s="425" t="s">
        <v>1002</v>
      </c>
      <c r="T1361" s="423">
        <v>600</v>
      </c>
      <c r="U1361" s="423">
        <v>20</v>
      </c>
      <c r="V1361" s="423">
        <v>40</v>
      </c>
      <c r="W1361" s="423">
        <v>2.4</v>
      </c>
      <c r="X1361" s="423">
        <v>20</v>
      </c>
      <c r="Z1361" s="423" t="s">
        <v>1059</v>
      </c>
      <c r="AD1361" s="423">
        <f>IF(ISNUMBER(MATCH(B1361,'FICHA SOLIC'!$AB$26:$AB$376,0)),1,0)</f>
        <v>1</v>
      </c>
      <c r="AE1361" s="423" t="str">
        <f t="shared" si="21"/>
        <v>RecoletaE-M2</v>
      </c>
    </row>
    <row r="1362" spans="1:31" x14ac:dyDescent="0.25">
      <c r="A1362" s="423">
        <v>1361</v>
      </c>
      <c r="B1362" s="423" t="s">
        <v>429</v>
      </c>
      <c r="C1362" s="423" t="s">
        <v>1305</v>
      </c>
      <c r="D1362" s="425" t="s">
        <v>990</v>
      </c>
      <c r="E1362" s="425" t="s">
        <v>991</v>
      </c>
      <c r="F1362" s="425" t="s">
        <v>992</v>
      </c>
      <c r="G1362" s="425" t="s">
        <v>1054</v>
      </c>
      <c r="H1362" s="426" t="s">
        <v>699</v>
      </c>
      <c r="I1362" s="425" t="s">
        <v>1055</v>
      </c>
      <c r="J1362" s="425" t="s">
        <v>697</v>
      </c>
      <c r="K1362" s="425" t="s">
        <v>995</v>
      </c>
      <c r="L1362" s="425" t="s">
        <v>996</v>
      </c>
      <c r="M1362" s="425" t="s">
        <v>997</v>
      </c>
      <c r="N1362" s="425" t="s">
        <v>558</v>
      </c>
      <c r="O1362" s="425" t="s">
        <v>998</v>
      </c>
      <c r="P1362" s="425" t="s">
        <v>999</v>
      </c>
      <c r="Q1362" s="425" t="s">
        <v>1000</v>
      </c>
      <c r="R1362" s="425" t="s">
        <v>1001</v>
      </c>
      <c r="S1362" s="425" t="s">
        <v>1002</v>
      </c>
      <c r="T1362" s="423">
        <v>600</v>
      </c>
      <c r="U1362" s="423">
        <v>20</v>
      </c>
      <c r="V1362" s="423">
        <v>40</v>
      </c>
      <c r="W1362" s="423">
        <v>2</v>
      </c>
      <c r="X1362" s="423">
        <v>20</v>
      </c>
      <c r="Z1362" s="423" t="s">
        <v>1059</v>
      </c>
      <c r="AD1362" s="423">
        <f>IF(ISNUMBER(MATCH(B1362,'FICHA SOLIC'!$AB$26:$AB$376,0)),1,0)</f>
        <v>1</v>
      </c>
      <c r="AE1362" s="423" t="str">
        <f t="shared" si="21"/>
        <v>RecoletaE-M3</v>
      </c>
    </row>
    <row r="1363" spans="1:31" x14ac:dyDescent="0.25">
      <c r="A1363" s="423">
        <v>1362</v>
      </c>
      <c r="B1363" s="423" t="s">
        <v>429</v>
      </c>
      <c r="C1363" s="423" t="s">
        <v>1317</v>
      </c>
      <c r="D1363" s="425" t="s">
        <v>990</v>
      </c>
      <c r="E1363" s="425" t="s">
        <v>991</v>
      </c>
      <c r="F1363" s="425" t="s">
        <v>992</v>
      </c>
      <c r="G1363" s="425" t="s">
        <v>1054</v>
      </c>
      <c r="H1363" s="426" t="s">
        <v>699</v>
      </c>
      <c r="I1363" s="425" t="s">
        <v>1055</v>
      </c>
      <c r="J1363" s="425" t="s">
        <v>697</v>
      </c>
      <c r="K1363" s="425" t="s">
        <v>995</v>
      </c>
      <c r="L1363" s="425" t="s">
        <v>996</v>
      </c>
      <c r="M1363" s="425" t="s">
        <v>997</v>
      </c>
      <c r="N1363" s="425" t="s">
        <v>558</v>
      </c>
      <c r="O1363" s="425" t="s">
        <v>998</v>
      </c>
      <c r="P1363" s="425" t="s">
        <v>999</v>
      </c>
      <c r="Q1363" s="425" t="s">
        <v>1000</v>
      </c>
      <c r="R1363" s="425" t="s">
        <v>1001</v>
      </c>
      <c r="S1363" s="425" t="s">
        <v>1002</v>
      </c>
      <c r="T1363" s="423">
        <v>600</v>
      </c>
      <c r="U1363" s="423">
        <v>20</v>
      </c>
      <c r="V1363" s="423">
        <v>30</v>
      </c>
      <c r="W1363" s="423">
        <v>2.4</v>
      </c>
      <c r="X1363" s="423">
        <v>38</v>
      </c>
      <c r="Z1363" s="423" t="s">
        <v>1059</v>
      </c>
      <c r="AD1363" s="423">
        <f>IF(ISNUMBER(MATCH(B1363,'FICHA SOLIC'!$AB$26:$AB$376,0)),1,0)</f>
        <v>1</v>
      </c>
      <c r="AE1363" s="423" t="str">
        <f t="shared" si="21"/>
        <v>RecoletaU-Ea</v>
      </c>
    </row>
    <row r="1364" spans="1:31" x14ac:dyDescent="0.25">
      <c r="A1364" s="423">
        <v>1363</v>
      </c>
      <c r="B1364" s="423" t="s">
        <v>429</v>
      </c>
      <c r="C1364" s="423" t="s">
        <v>1314</v>
      </c>
      <c r="D1364" s="425" t="s">
        <v>990</v>
      </c>
      <c r="E1364" s="425" t="s">
        <v>991</v>
      </c>
      <c r="F1364" s="425" t="s">
        <v>992</v>
      </c>
      <c r="G1364" s="425" t="s">
        <v>1054</v>
      </c>
      <c r="H1364" s="426" t="s">
        <v>699</v>
      </c>
      <c r="I1364" s="425" t="s">
        <v>1055</v>
      </c>
      <c r="J1364" s="425" t="s">
        <v>697</v>
      </c>
      <c r="K1364" s="425" t="s">
        <v>995</v>
      </c>
      <c r="L1364" s="425" t="s">
        <v>996</v>
      </c>
      <c r="M1364" s="425" t="s">
        <v>997</v>
      </c>
      <c r="N1364" s="425" t="s">
        <v>558</v>
      </c>
      <c r="O1364" s="425" t="s">
        <v>998</v>
      </c>
      <c r="P1364" s="425" t="s">
        <v>999</v>
      </c>
      <c r="Q1364" s="425" t="s">
        <v>1000</v>
      </c>
      <c r="R1364" s="425" t="s">
        <v>1001</v>
      </c>
      <c r="S1364" s="425" t="s">
        <v>1002</v>
      </c>
      <c r="T1364" s="423" t="s">
        <v>1097</v>
      </c>
      <c r="U1364" s="423" t="s">
        <v>1097</v>
      </c>
      <c r="V1364" s="423">
        <v>5</v>
      </c>
      <c r="W1364" s="423">
        <v>0.05</v>
      </c>
      <c r="X1364" s="423" t="s">
        <v>1041</v>
      </c>
      <c r="Y1364" s="423" t="s">
        <v>1041</v>
      </c>
      <c r="Z1364" s="423" t="s">
        <v>1041</v>
      </c>
      <c r="AD1364" s="423">
        <f>IF(ISNUMBER(MATCH(B1364,'FICHA SOLIC'!$AB$26:$AB$376,0)),1,0)</f>
        <v>1</v>
      </c>
      <c r="AE1364" s="423" t="str">
        <f t="shared" si="21"/>
        <v>RecoletaZ-AV</v>
      </c>
    </row>
    <row r="1365" spans="1:31" x14ac:dyDescent="0.25">
      <c r="A1365" s="423">
        <v>1364</v>
      </c>
      <c r="B1365" s="423" t="s">
        <v>429</v>
      </c>
      <c r="C1365" s="423" t="s">
        <v>1315</v>
      </c>
      <c r="D1365" s="425" t="s">
        <v>990</v>
      </c>
      <c r="E1365" s="425" t="s">
        <v>991</v>
      </c>
      <c r="F1365" s="425" t="s">
        <v>992</v>
      </c>
      <c r="G1365" s="425" t="s">
        <v>1054</v>
      </c>
      <c r="H1365" s="426" t="s">
        <v>699</v>
      </c>
      <c r="I1365" s="425" t="s">
        <v>1055</v>
      </c>
      <c r="J1365" s="425" t="s">
        <v>697</v>
      </c>
      <c r="K1365" s="425" t="s">
        <v>995</v>
      </c>
      <c r="L1365" s="425" t="s">
        <v>996</v>
      </c>
      <c r="M1365" s="425" t="s">
        <v>997</v>
      </c>
      <c r="N1365" s="425" t="s">
        <v>558</v>
      </c>
      <c r="O1365" s="425" t="s">
        <v>998</v>
      </c>
      <c r="P1365" s="425" t="s">
        <v>999</v>
      </c>
      <c r="Q1365" s="425" t="s">
        <v>1000</v>
      </c>
      <c r="R1365" s="425" t="s">
        <v>1001</v>
      </c>
      <c r="S1365" s="425" t="s">
        <v>1002</v>
      </c>
      <c r="T1365" s="423" t="s">
        <v>1097</v>
      </c>
      <c r="V1365" s="423">
        <v>5</v>
      </c>
      <c r="W1365" s="423">
        <v>0.05</v>
      </c>
      <c r="X1365" s="423" t="s">
        <v>1041</v>
      </c>
      <c r="Y1365" s="423" t="s">
        <v>1041</v>
      </c>
      <c r="Z1365" s="423" t="s">
        <v>1041</v>
      </c>
      <c r="AD1365" s="423">
        <f>IF(ISNUMBER(MATCH(B1365,'FICHA SOLIC'!$AB$26:$AB$376,0)),1,0)</f>
        <v>1</v>
      </c>
      <c r="AE1365" s="423" t="str">
        <f t="shared" si="21"/>
        <v>RecoletaZ-R1</v>
      </c>
    </row>
    <row r="1366" spans="1:31" x14ac:dyDescent="0.25">
      <c r="A1366" s="423">
        <v>1365</v>
      </c>
      <c r="B1366" s="423" t="s">
        <v>429</v>
      </c>
      <c r="C1366" s="423" t="s">
        <v>1316</v>
      </c>
      <c r="D1366" s="425" t="s">
        <v>990</v>
      </c>
      <c r="E1366" s="425" t="s">
        <v>991</v>
      </c>
      <c r="F1366" s="425" t="s">
        <v>992</v>
      </c>
      <c r="G1366" s="425" t="s">
        <v>1054</v>
      </c>
      <c r="H1366" s="426" t="s">
        <v>699</v>
      </c>
      <c r="I1366" s="425" t="s">
        <v>1055</v>
      </c>
      <c r="J1366" s="425" t="s">
        <v>697</v>
      </c>
      <c r="K1366" s="425" t="s">
        <v>995</v>
      </c>
      <c r="L1366" s="425" t="s">
        <v>996</v>
      </c>
      <c r="M1366" s="425" t="s">
        <v>997</v>
      </c>
      <c r="N1366" s="425" t="s">
        <v>558</v>
      </c>
      <c r="O1366" s="425" t="s">
        <v>998</v>
      </c>
      <c r="P1366" s="425" t="s">
        <v>999</v>
      </c>
      <c r="Q1366" s="425" t="s">
        <v>1000</v>
      </c>
      <c r="R1366" s="425" t="s">
        <v>1001</v>
      </c>
      <c r="S1366" s="425" t="s">
        <v>1002</v>
      </c>
      <c r="T1366" s="423" t="s">
        <v>1097</v>
      </c>
      <c r="V1366" s="423">
        <v>5</v>
      </c>
      <c r="W1366" s="423">
        <v>0.05</v>
      </c>
      <c r="X1366" s="423" t="s">
        <v>1041</v>
      </c>
      <c r="Y1366" s="423" t="s">
        <v>1041</v>
      </c>
      <c r="Z1366" s="423" t="s">
        <v>1041</v>
      </c>
      <c r="AD1366" s="423">
        <f>IF(ISNUMBER(MATCH(B1366,'FICHA SOLIC'!$AB$26:$AB$376,0)),1,0)</f>
        <v>1</v>
      </c>
      <c r="AE1366" s="423" t="str">
        <f t="shared" si="21"/>
        <v>RecoletaZ-R2</v>
      </c>
    </row>
    <row r="1367" spans="1:31" x14ac:dyDescent="0.25">
      <c r="A1367" s="423">
        <v>1366</v>
      </c>
      <c r="B1367" s="423" t="s">
        <v>429</v>
      </c>
      <c r="C1367" s="423" t="s">
        <v>1308</v>
      </c>
      <c r="D1367" s="425" t="s">
        <v>990</v>
      </c>
      <c r="E1367" s="425" t="s">
        <v>991</v>
      </c>
      <c r="F1367" s="425" t="s">
        <v>992</v>
      </c>
      <c r="G1367" s="425" t="s">
        <v>1054</v>
      </c>
      <c r="H1367" s="426" t="s">
        <v>699</v>
      </c>
      <c r="I1367" s="425" t="s">
        <v>1055</v>
      </c>
      <c r="J1367" s="425" t="s">
        <v>697</v>
      </c>
      <c r="K1367" s="425" t="s">
        <v>995</v>
      </c>
      <c r="L1367" s="425" t="s">
        <v>996</v>
      </c>
      <c r="M1367" s="425" t="s">
        <v>997</v>
      </c>
      <c r="N1367" s="425" t="s">
        <v>558</v>
      </c>
      <c r="O1367" s="425" t="s">
        <v>998</v>
      </c>
      <c r="P1367" s="425" t="s">
        <v>999</v>
      </c>
      <c r="Q1367" s="425" t="s">
        <v>1000</v>
      </c>
      <c r="R1367" s="425" t="s">
        <v>1001</v>
      </c>
      <c r="S1367" s="425" t="s">
        <v>1002</v>
      </c>
      <c r="T1367" s="423" t="s">
        <v>1097</v>
      </c>
      <c r="U1367" s="423" t="s">
        <v>1097</v>
      </c>
      <c r="V1367" s="423" t="s">
        <v>1097</v>
      </c>
      <c r="W1367" s="423" t="s">
        <v>1097</v>
      </c>
      <c r="X1367" s="423" t="s">
        <v>1097</v>
      </c>
      <c r="Y1367" s="423" t="s">
        <v>1097</v>
      </c>
      <c r="Z1367" s="423" t="s">
        <v>1097</v>
      </c>
      <c r="AD1367" s="423">
        <f>IF(ISNUMBER(MATCH(B1367,'FICHA SOLIC'!$AB$26:$AB$376,0)),1,0)</f>
        <v>1</v>
      </c>
      <c r="AE1367" s="423" t="str">
        <f t="shared" si="21"/>
        <v>RecoletaZ-S1</v>
      </c>
    </row>
    <row r="1368" spans="1:31" x14ac:dyDescent="0.25">
      <c r="A1368" s="423">
        <v>1367</v>
      </c>
      <c r="B1368" s="423" t="s">
        <v>429</v>
      </c>
      <c r="C1368" s="423" t="s">
        <v>1309</v>
      </c>
      <c r="D1368" s="425" t="s">
        <v>990</v>
      </c>
      <c r="E1368" s="425" t="s">
        <v>991</v>
      </c>
      <c r="F1368" s="425" t="s">
        <v>992</v>
      </c>
      <c r="G1368" s="425" t="s">
        <v>1054</v>
      </c>
      <c r="H1368" s="426" t="s">
        <v>699</v>
      </c>
      <c r="I1368" s="425" t="s">
        <v>1055</v>
      </c>
      <c r="J1368" s="425" t="s">
        <v>697</v>
      </c>
      <c r="K1368" s="425" t="s">
        <v>995</v>
      </c>
      <c r="L1368" s="425" t="s">
        <v>996</v>
      </c>
      <c r="M1368" s="425" t="s">
        <v>997</v>
      </c>
      <c r="N1368" s="425" t="s">
        <v>558</v>
      </c>
      <c r="O1368" s="425" t="s">
        <v>998</v>
      </c>
      <c r="P1368" s="425" t="s">
        <v>999</v>
      </c>
      <c r="Q1368" s="425" t="s">
        <v>1000</v>
      </c>
      <c r="R1368" s="425" t="s">
        <v>1001</v>
      </c>
      <c r="S1368" s="425" t="s">
        <v>1002</v>
      </c>
      <c r="T1368" s="423">
        <v>2000</v>
      </c>
      <c r="U1368" s="423">
        <v>20</v>
      </c>
      <c r="V1368" s="423">
        <v>40</v>
      </c>
      <c r="W1368" s="423">
        <v>1.6</v>
      </c>
      <c r="X1368" s="423">
        <v>20</v>
      </c>
      <c r="Z1368" s="423" t="s">
        <v>1058</v>
      </c>
      <c r="AD1368" s="423">
        <f>IF(ISNUMBER(MATCH(B1368,'FICHA SOLIC'!$AB$26:$AB$376,0)),1,0)</f>
        <v>1</v>
      </c>
      <c r="AE1368" s="423" t="str">
        <f t="shared" si="21"/>
        <v>RecoletaZ-S2</v>
      </c>
    </row>
    <row r="1369" spans="1:31" x14ac:dyDescent="0.25">
      <c r="A1369" s="423">
        <v>1368</v>
      </c>
      <c r="B1369" s="423" t="s">
        <v>429</v>
      </c>
      <c r="C1369" s="423" t="s">
        <v>1310</v>
      </c>
      <c r="D1369" s="425" t="s">
        <v>990</v>
      </c>
      <c r="E1369" s="425" t="s">
        <v>991</v>
      </c>
      <c r="F1369" s="425" t="s">
        <v>992</v>
      </c>
      <c r="G1369" s="425" t="s">
        <v>1054</v>
      </c>
      <c r="H1369" s="426" t="s">
        <v>699</v>
      </c>
      <c r="I1369" s="425" t="s">
        <v>1055</v>
      </c>
      <c r="J1369" s="425" t="s">
        <v>697</v>
      </c>
      <c r="K1369" s="425" t="s">
        <v>995</v>
      </c>
      <c r="L1369" s="425" t="s">
        <v>996</v>
      </c>
      <c r="M1369" s="425" t="s">
        <v>997</v>
      </c>
      <c r="N1369" s="425" t="s">
        <v>558</v>
      </c>
      <c r="O1369" s="425" t="s">
        <v>998</v>
      </c>
      <c r="P1369" s="425" t="s">
        <v>999</v>
      </c>
      <c r="Q1369" s="425" t="s">
        <v>1000</v>
      </c>
      <c r="R1369" s="425" t="s">
        <v>1001</v>
      </c>
      <c r="S1369" s="425" t="s">
        <v>1002</v>
      </c>
      <c r="T1369" s="423" t="s">
        <v>1631</v>
      </c>
      <c r="U1369" s="423" t="s">
        <v>1631</v>
      </c>
      <c r="V1369" s="423" t="s">
        <v>1631</v>
      </c>
      <c r="W1369" s="423" t="s">
        <v>1631</v>
      </c>
      <c r="X1369" s="423" t="s">
        <v>1631</v>
      </c>
      <c r="Y1369" s="423" t="s">
        <v>1631</v>
      </c>
      <c r="Z1369" s="423" t="s">
        <v>1631</v>
      </c>
      <c r="AD1369" s="423">
        <f>IF(ISNUMBER(MATCH(B1369,'FICHA SOLIC'!$AB$26:$AB$376,0)),1,0)</f>
        <v>1</v>
      </c>
      <c r="AE1369" s="423" t="str">
        <f t="shared" si="21"/>
        <v>RecoletaZ-S3</v>
      </c>
    </row>
    <row r="1370" spans="1:31" x14ac:dyDescent="0.25">
      <c r="A1370" s="423">
        <v>1369</v>
      </c>
      <c r="B1370" s="423" t="s">
        <v>429</v>
      </c>
      <c r="C1370" s="423" t="s">
        <v>1311</v>
      </c>
      <c r="D1370" s="425" t="s">
        <v>990</v>
      </c>
      <c r="E1370" s="425" t="s">
        <v>991</v>
      </c>
      <c r="F1370" s="425" t="s">
        <v>992</v>
      </c>
      <c r="G1370" s="425" t="s">
        <v>1054</v>
      </c>
      <c r="H1370" s="426" t="s">
        <v>699</v>
      </c>
      <c r="I1370" s="425" t="s">
        <v>1055</v>
      </c>
      <c r="J1370" s="425" t="s">
        <v>697</v>
      </c>
      <c r="K1370" s="425" t="s">
        <v>995</v>
      </c>
      <c r="L1370" s="425" t="s">
        <v>996</v>
      </c>
      <c r="M1370" s="425" t="s">
        <v>997</v>
      </c>
      <c r="N1370" s="425" t="s">
        <v>558</v>
      </c>
      <c r="O1370" s="425" t="s">
        <v>998</v>
      </c>
      <c r="P1370" s="425" t="s">
        <v>999</v>
      </c>
      <c r="Q1370" s="425" t="s">
        <v>1000</v>
      </c>
      <c r="R1370" s="425" t="s">
        <v>1001</v>
      </c>
      <c r="S1370" s="425" t="s">
        <v>1002</v>
      </c>
      <c r="T1370" s="423" t="s">
        <v>2330</v>
      </c>
      <c r="X1370" s="423">
        <v>17.5</v>
      </c>
      <c r="Z1370" s="423" t="s">
        <v>1096</v>
      </c>
      <c r="AD1370" s="423">
        <f>IF(ISNUMBER(MATCH(B1370,'FICHA SOLIC'!$AB$26:$AB$376,0)),1,0)</f>
        <v>1</v>
      </c>
      <c r="AE1370" s="423" t="str">
        <f t="shared" si="21"/>
        <v>RecoletaZ-S4</v>
      </c>
    </row>
    <row r="1371" spans="1:31" x14ac:dyDescent="0.25">
      <c r="A1371" s="423">
        <v>1370</v>
      </c>
      <c r="B1371" s="423" t="s">
        <v>429</v>
      </c>
      <c r="C1371" s="423" t="s">
        <v>1312</v>
      </c>
      <c r="D1371" s="425" t="s">
        <v>990</v>
      </c>
      <c r="E1371" s="425" t="s">
        <v>991</v>
      </c>
      <c r="F1371" s="425" t="s">
        <v>992</v>
      </c>
      <c r="G1371" s="425" t="s">
        <v>1054</v>
      </c>
      <c r="H1371" s="426" t="s">
        <v>699</v>
      </c>
      <c r="I1371" s="425" t="s">
        <v>1055</v>
      </c>
      <c r="J1371" s="425" t="s">
        <v>697</v>
      </c>
      <c r="K1371" s="425" t="s">
        <v>995</v>
      </c>
      <c r="L1371" s="425" t="s">
        <v>996</v>
      </c>
      <c r="M1371" s="425" t="s">
        <v>997</v>
      </c>
      <c r="N1371" s="425" t="s">
        <v>558</v>
      </c>
      <c r="O1371" s="425" t="s">
        <v>998</v>
      </c>
      <c r="P1371" s="425" t="s">
        <v>999</v>
      </c>
      <c r="Q1371" s="425" t="s">
        <v>1000</v>
      </c>
      <c r="R1371" s="425" t="s">
        <v>1001</v>
      </c>
      <c r="S1371" s="425" t="s">
        <v>1002</v>
      </c>
      <c r="T1371" s="423" t="s">
        <v>2526</v>
      </c>
      <c r="U1371" s="423" t="s">
        <v>2526</v>
      </c>
      <c r="V1371" s="423" t="s">
        <v>2526</v>
      </c>
      <c r="W1371" s="423" t="s">
        <v>2526</v>
      </c>
      <c r="X1371" s="423" t="s">
        <v>2526</v>
      </c>
      <c r="Y1371" s="423" t="s">
        <v>2526</v>
      </c>
      <c r="Z1371" s="423" t="s">
        <v>2526</v>
      </c>
      <c r="AD1371" s="423">
        <f>IF(ISNUMBER(MATCH(B1371,'FICHA SOLIC'!$AB$26:$AB$376,0)),1,0)</f>
        <v>1</v>
      </c>
      <c r="AE1371" s="423" t="str">
        <f t="shared" si="21"/>
        <v>RecoletaZ-S5</v>
      </c>
    </row>
    <row r="1372" spans="1:31" x14ac:dyDescent="0.25">
      <c r="A1372" s="423">
        <v>1371</v>
      </c>
      <c r="B1372" s="423" t="s">
        <v>429</v>
      </c>
      <c r="C1372" s="423" t="s">
        <v>1313</v>
      </c>
      <c r="D1372" s="425" t="s">
        <v>990</v>
      </c>
      <c r="E1372" s="425" t="s">
        <v>991</v>
      </c>
      <c r="F1372" s="425" t="s">
        <v>992</v>
      </c>
      <c r="G1372" s="425" t="s">
        <v>1054</v>
      </c>
      <c r="H1372" s="426" t="s">
        <v>699</v>
      </c>
      <c r="I1372" s="425" t="s">
        <v>1055</v>
      </c>
      <c r="J1372" s="425" t="s">
        <v>697</v>
      </c>
      <c r="K1372" s="425" t="s">
        <v>995</v>
      </c>
      <c r="L1372" s="425" t="s">
        <v>996</v>
      </c>
      <c r="M1372" s="425" t="s">
        <v>997</v>
      </c>
      <c r="N1372" s="425" t="s">
        <v>558</v>
      </c>
      <c r="O1372" s="425" t="s">
        <v>998</v>
      </c>
      <c r="P1372" s="425" t="s">
        <v>999</v>
      </c>
      <c r="Q1372" s="425" t="s">
        <v>1000</v>
      </c>
      <c r="R1372" s="425" t="s">
        <v>1001</v>
      </c>
      <c r="S1372" s="425" t="s">
        <v>1002</v>
      </c>
      <c r="T1372" s="423" t="s">
        <v>1097</v>
      </c>
      <c r="U1372" s="423" t="s">
        <v>1097</v>
      </c>
      <c r="V1372" s="423" t="s">
        <v>1097</v>
      </c>
      <c r="W1372" s="423">
        <v>0.3</v>
      </c>
      <c r="X1372" s="423" t="s">
        <v>1041</v>
      </c>
      <c r="Y1372" s="423" t="s">
        <v>1041</v>
      </c>
      <c r="Z1372" s="423" t="s">
        <v>1041</v>
      </c>
      <c r="AD1372" s="423">
        <f>IF(ISNUMBER(MATCH(B1372,'FICHA SOLIC'!$AB$26:$AB$376,0)),1,0)</f>
        <v>1</v>
      </c>
      <c r="AE1372" s="423" t="str">
        <f t="shared" si="21"/>
        <v>RecoletaZ-S6</v>
      </c>
    </row>
    <row r="1373" spans="1:31" x14ac:dyDescent="0.25">
      <c r="A1373" s="423">
        <v>1372</v>
      </c>
      <c r="B1373" s="423" t="s">
        <v>430</v>
      </c>
      <c r="C1373" s="423" t="s">
        <v>1492</v>
      </c>
      <c r="D1373" s="425" t="s">
        <v>990</v>
      </c>
      <c r="E1373" s="425" t="s">
        <v>991</v>
      </c>
      <c r="F1373" s="425" t="s">
        <v>992</v>
      </c>
      <c r="G1373" s="425" t="s">
        <v>1054</v>
      </c>
      <c r="H1373" s="426" t="s">
        <v>699</v>
      </c>
      <c r="I1373" s="425" t="s">
        <v>1055</v>
      </c>
      <c r="J1373" s="425" t="s">
        <v>697</v>
      </c>
      <c r="K1373" s="425" t="s">
        <v>995</v>
      </c>
      <c r="L1373" s="425" t="s">
        <v>996</v>
      </c>
      <c r="M1373" s="425" t="s">
        <v>997</v>
      </c>
      <c r="N1373" s="425" t="s">
        <v>558</v>
      </c>
      <c r="O1373" s="425" t="s">
        <v>998</v>
      </c>
      <c r="P1373" s="425" t="s">
        <v>999</v>
      </c>
      <c r="Q1373" s="425" t="s">
        <v>1000</v>
      </c>
      <c r="R1373" s="425" t="s">
        <v>1001</v>
      </c>
      <c r="S1373" s="425" t="s">
        <v>1002</v>
      </c>
      <c r="T1373" s="423">
        <v>300</v>
      </c>
      <c r="U1373" s="423">
        <v>12</v>
      </c>
      <c r="V1373" s="423">
        <v>60</v>
      </c>
      <c r="X1373" s="423" t="s">
        <v>1041</v>
      </c>
      <c r="Y1373" s="423">
        <v>3</v>
      </c>
      <c r="Z1373" s="423" t="s">
        <v>1059</v>
      </c>
      <c r="AD1373" s="423">
        <f>IF(ISNUMBER(MATCH(B1373,'FICHA SOLIC'!$AB$26:$AB$376,0)),1,0)</f>
        <v>1</v>
      </c>
      <c r="AE1373" s="423" t="str">
        <f t="shared" si="21"/>
        <v>RencaCC</v>
      </c>
    </row>
    <row r="1374" spans="1:31" x14ac:dyDescent="0.25">
      <c r="A1374" s="423">
        <v>1373</v>
      </c>
      <c r="B1374" s="423" t="s">
        <v>430</v>
      </c>
      <c r="C1374" s="423" t="s">
        <v>1183</v>
      </c>
      <c r="D1374" s="425" t="s">
        <v>990</v>
      </c>
      <c r="E1374" s="425" t="s">
        <v>991</v>
      </c>
      <c r="F1374" s="425" t="s">
        <v>992</v>
      </c>
      <c r="G1374" s="425" t="s">
        <v>1054</v>
      </c>
      <c r="H1374" s="426" t="s">
        <v>699</v>
      </c>
      <c r="I1374" s="425" t="s">
        <v>1055</v>
      </c>
      <c r="J1374" s="425" t="s">
        <v>697</v>
      </c>
      <c r="K1374" s="425" t="s">
        <v>995</v>
      </c>
      <c r="L1374" s="425" t="s">
        <v>996</v>
      </c>
      <c r="M1374" s="425" t="s">
        <v>997</v>
      </c>
      <c r="N1374" s="425" t="s">
        <v>558</v>
      </c>
      <c r="O1374" s="425" t="s">
        <v>998</v>
      </c>
      <c r="P1374" s="425" t="s">
        <v>999</v>
      </c>
      <c r="Q1374" s="425" t="s">
        <v>1000</v>
      </c>
      <c r="R1374" s="425" t="s">
        <v>1001</v>
      </c>
      <c r="S1374" s="425" t="s">
        <v>1002</v>
      </c>
      <c r="T1374" s="423">
        <v>1500</v>
      </c>
      <c r="U1374" s="423">
        <v>20</v>
      </c>
      <c r="V1374" s="423">
        <v>60</v>
      </c>
      <c r="X1374" s="423" t="s">
        <v>1041</v>
      </c>
      <c r="Y1374" s="423">
        <v>5</v>
      </c>
      <c r="Z1374" s="423" t="s">
        <v>1058</v>
      </c>
      <c r="AD1374" s="423">
        <f>IF(ISNUMBER(MATCH(B1374,'FICHA SOLIC'!$AB$26:$AB$376,0)),1,0)</f>
        <v>1</v>
      </c>
      <c r="AE1374" s="423" t="str">
        <f t="shared" si="21"/>
        <v>RencaI</v>
      </c>
    </row>
    <row r="1375" spans="1:31" x14ac:dyDescent="0.25">
      <c r="A1375" s="423">
        <v>1374</v>
      </c>
      <c r="B1375" s="423" t="s">
        <v>430</v>
      </c>
      <c r="C1375" s="423" t="s">
        <v>1164</v>
      </c>
      <c r="D1375" s="425" t="s">
        <v>990</v>
      </c>
      <c r="E1375" s="425" t="s">
        <v>991</v>
      </c>
      <c r="F1375" s="425" t="s">
        <v>992</v>
      </c>
      <c r="G1375" s="425" t="s">
        <v>1054</v>
      </c>
      <c r="H1375" s="426" t="s">
        <v>699</v>
      </c>
      <c r="I1375" s="425" t="s">
        <v>1055</v>
      </c>
      <c r="J1375" s="425" t="s">
        <v>697</v>
      </c>
      <c r="K1375" s="425" t="s">
        <v>995</v>
      </c>
      <c r="L1375" s="425" t="s">
        <v>996</v>
      </c>
      <c r="M1375" s="425" t="s">
        <v>997</v>
      </c>
      <c r="N1375" s="425" t="s">
        <v>558</v>
      </c>
      <c r="O1375" s="425" t="s">
        <v>998</v>
      </c>
      <c r="P1375" s="425" t="s">
        <v>999</v>
      </c>
      <c r="Q1375" s="425" t="s">
        <v>1000</v>
      </c>
      <c r="R1375" s="425" t="s">
        <v>1001</v>
      </c>
      <c r="S1375" s="425" t="s">
        <v>1002</v>
      </c>
      <c r="T1375" s="423" t="s">
        <v>1041</v>
      </c>
      <c r="U1375" s="423" t="s">
        <v>1041</v>
      </c>
      <c r="V1375" s="423" t="s">
        <v>1041</v>
      </c>
      <c r="W1375" s="423" t="s">
        <v>1041</v>
      </c>
      <c r="X1375" s="423" t="s">
        <v>1041</v>
      </c>
      <c r="Y1375" s="423" t="s">
        <v>1041</v>
      </c>
      <c r="Z1375" s="423" t="s">
        <v>1041</v>
      </c>
      <c r="AD1375" s="423">
        <f>IF(ISNUMBER(MATCH(B1375,'FICHA SOLIC'!$AB$26:$AB$376,0)),1,0)</f>
        <v>1</v>
      </c>
      <c r="AE1375" s="423" t="str">
        <f t="shared" si="21"/>
        <v>RencaPI</v>
      </c>
    </row>
    <row r="1376" spans="1:31" x14ac:dyDescent="0.25">
      <c r="A1376" s="423">
        <v>1375</v>
      </c>
      <c r="B1376" s="423" t="s">
        <v>430</v>
      </c>
      <c r="C1376" s="423" t="s">
        <v>1490</v>
      </c>
      <c r="D1376" s="425" t="s">
        <v>990</v>
      </c>
      <c r="E1376" s="425" t="s">
        <v>991</v>
      </c>
      <c r="F1376" s="425" t="s">
        <v>992</v>
      </c>
      <c r="G1376" s="425" t="s">
        <v>1054</v>
      </c>
      <c r="H1376" s="426" t="s">
        <v>699</v>
      </c>
      <c r="I1376" s="425" t="s">
        <v>1055</v>
      </c>
      <c r="J1376" s="425" t="s">
        <v>697</v>
      </c>
      <c r="K1376" s="425" t="s">
        <v>995</v>
      </c>
      <c r="L1376" s="425" t="s">
        <v>996</v>
      </c>
      <c r="M1376" s="425" t="s">
        <v>997</v>
      </c>
      <c r="N1376" s="425" t="s">
        <v>558</v>
      </c>
      <c r="O1376" s="425" t="s">
        <v>998</v>
      </c>
      <c r="P1376" s="425" t="s">
        <v>999</v>
      </c>
      <c r="Q1376" s="425" t="s">
        <v>1000</v>
      </c>
      <c r="R1376" s="425" t="s">
        <v>1001</v>
      </c>
      <c r="S1376" s="425" t="s">
        <v>1002</v>
      </c>
      <c r="T1376" s="423">
        <v>160</v>
      </c>
      <c r="U1376" s="423">
        <v>8</v>
      </c>
      <c r="V1376" s="423">
        <v>60</v>
      </c>
      <c r="X1376" s="423">
        <v>14</v>
      </c>
      <c r="Y1376" s="423">
        <v>3</v>
      </c>
      <c r="Z1376" s="423" t="s">
        <v>1059</v>
      </c>
      <c r="AD1376" s="423">
        <f>IF(ISNUMBER(MATCH(B1376,'FICHA SOLIC'!$AB$26:$AB$376,0)),1,0)</f>
        <v>1</v>
      </c>
      <c r="AE1376" s="423" t="str">
        <f t="shared" si="21"/>
        <v>RencaRM</v>
      </c>
    </row>
    <row r="1377" spans="1:31" x14ac:dyDescent="0.25">
      <c r="A1377" s="423">
        <v>1376</v>
      </c>
      <c r="B1377" s="423" t="s">
        <v>430</v>
      </c>
      <c r="C1377" s="423" t="s">
        <v>1491</v>
      </c>
      <c r="D1377" s="425" t="s">
        <v>990</v>
      </c>
      <c r="E1377" s="425" t="s">
        <v>991</v>
      </c>
      <c r="F1377" s="425" t="s">
        <v>992</v>
      </c>
      <c r="G1377" s="425" t="s">
        <v>1054</v>
      </c>
      <c r="H1377" s="426" t="s">
        <v>699</v>
      </c>
      <c r="I1377" s="425" t="s">
        <v>1055</v>
      </c>
      <c r="J1377" s="425" t="s">
        <v>697</v>
      </c>
      <c r="K1377" s="425" t="s">
        <v>995</v>
      </c>
      <c r="L1377" s="425" t="s">
        <v>996</v>
      </c>
      <c r="M1377" s="425" t="s">
        <v>997</v>
      </c>
      <c r="N1377" s="425" t="s">
        <v>558</v>
      </c>
      <c r="O1377" s="425" t="s">
        <v>998</v>
      </c>
      <c r="P1377" s="425" t="s">
        <v>999</v>
      </c>
      <c r="Q1377" s="425" t="s">
        <v>1000</v>
      </c>
      <c r="R1377" s="425" t="s">
        <v>1001</v>
      </c>
      <c r="S1377" s="425" t="s">
        <v>1002</v>
      </c>
      <c r="T1377" s="423">
        <v>300</v>
      </c>
      <c r="U1377" s="423">
        <v>12</v>
      </c>
      <c r="V1377" s="423">
        <v>40</v>
      </c>
      <c r="X1377" s="423">
        <v>14</v>
      </c>
      <c r="Y1377" s="423">
        <v>3</v>
      </c>
      <c r="Z1377" s="423" t="s">
        <v>1059</v>
      </c>
      <c r="AD1377" s="423">
        <f>IF(ISNUMBER(MATCH(B1377,'FICHA SOLIC'!$AB$26:$AB$376,0)),1,0)</f>
        <v>1</v>
      </c>
      <c r="AE1377" s="423" t="str">
        <f t="shared" si="21"/>
        <v>RencaSM</v>
      </c>
    </row>
    <row r="1378" spans="1:31" x14ac:dyDescent="0.25">
      <c r="A1378" s="423">
        <v>1377</v>
      </c>
      <c r="B1378" s="423" t="s">
        <v>441</v>
      </c>
      <c r="C1378" s="423" t="s">
        <v>1341</v>
      </c>
      <c r="D1378" s="425" t="s">
        <v>990</v>
      </c>
      <c r="E1378" s="425" t="s">
        <v>991</v>
      </c>
      <c r="F1378" s="425" t="s">
        <v>992</v>
      </c>
      <c r="G1378" s="425" t="s">
        <v>1054</v>
      </c>
      <c r="H1378" s="426" t="s">
        <v>699</v>
      </c>
      <c r="I1378" s="425" t="s">
        <v>1055</v>
      </c>
      <c r="J1378" s="425" t="s">
        <v>697</v>
      </c>
      <c r="K1378" s="425" t="s">
        <v>995</v>
      </c>
      <c r="L1378" s="425" t="s">
        <v>996</v>
      </c>
      <c r="M1378" s="425" t="s">
        <v>997</v>
      </c>
      <c r="N1378" s="425" t="s">
        <v>558</v>
      </c>
      <c r="O1378" s="425" t="s">
        <v>998</v>
      </c>
      <c r="P1378" s="425" t="s">
        <v>999</v>
      </c>
      <c r="Q1378" s="425" t="s">
        <v>1000</v>
      </c>
      <c r="R1378" s="425" t="s">
        <v>1001</v>
      </c>
      <c r="S1378" s="425" t="s">
        <v>1002</v>
      </c>
      <c r="T1378" s="423" t="s">
        <v>1041</v>
      </c>
      <c r="U1378" s="423" t="s">
        <v>1041</v>
      </c>
      <c r="V1378" s="423" t="s">
        <v>1041</v>
      </c>
      <c r="W1378" s="423" t="s">
        <v>1041</v>
      </c>
      <c r="X1378" s="423" t="s">
        <v>1041</v>
      </c>
      <c r="Y1378" s="423" t="s">
        <v>1041</v>
      </c>
      <c r="Z1378" s="423" t="s">
        <v>1041</v>
      </c>
      <c r="AD1378" s="423">
        <f>IF(ISNUMBER(MATCH(B1378,'FICHA SOLIC'!$AB$26:$AB$376,0)),1,0)</f>
        <v>1</v>
      </c>
      <c r="AE1378" s="423" t="str">
        <f t="shared" si="21"/>
        <v>San BernardoZE1</v>
      </c>
    </row>
    <row r="1379" spans="1:31" x14ac:dyDescent="0.25">
      <c r="A1379" s="423">
        <v>1378</v>
      </c>
      <c r="B1379" s="423" t="s">
        <v>441</v>
      </c>
      <c r="C1379" s="423" t="s">
        <v>1342</v>
      </c>
      <c r="D1379" s="425" t="s">
        <v>990</v>
      </c>
      <c r="E1379" s="425" t="s">
        <v>991</v>
      </c>
      <c r="F1379" s="425" t="s">
        <v>992</v>
      </c>
      <c r="G1379" s="425" t="s">
        <v>1054</v>
      </c>
      <c r="H1379" s="426" t="s">
        <v>699</v>
      </c>
      <c r="I1379" s="425" t="s">
        <v>1055</v>
      </c>
      <c r="J1379" s="425" t="s">
        <v>697</v>
      </c>
      <c r="K1379" s="425" t="s">
        <v>995</v>
      </c>
      <c r="L1379" s="425" t="s">
        <v>996</v>
      </c>
      <c r="M1379" s="425" t="s">
        <v>997</v>
      </c>
      <c r="N1379" s="425" t="s">
        <v>558</v>
      </c>
      <c r="O1379" s="425" t="s">
        <v>998</v>
      </c>
      <c r="P1379" s="425" t="s">
        <v>999</v>
      </c>
      <c r="Q1379" s="425" t="s">
        <v>1000</v>
      </c>
      <c r="R1379" s="425" t="s">
        <v>1001</v>
      </c>
      <c r="S1379" s="425" t="s">
        <v>1002</v>
      </c>
      <c r="T1379" s="423" t="s">
        <v>1041</v>
      </c>
      <c r="U1379" s="423" t="s">
        <v>1041</v>
      </c>
      <c r="V1379" s="423" t="s">
        <v>1041</v>
      </c>
      <c r="W1379" s="423" t="s">
        <v>1041</v>
      </c>
      <c r="X1379" s="423" t="s">
        <v>1041</v>
      </c>
      <c r="Y1379" s="423" t="s">
        <v>1041</v>
      </c>
      <c r="Z1379" s="423" t="s">
        <v>1041</v>
      </c>
      <c r="AD1379" s="423">
        <f>IF(ISNUMBER(MATCH(B1379,'FICHA SOLIC'!$AB$26:$AB$376,0)),1,0)</f>
        <v>1</v>
      </c>
      <c r="AE1379" s="423" t="str">
        <f t="shared" si="21"/>
        <v>San BernardoZE2</v>
      </c>
    </row>
    <row r="1380" spans="1:31" x14ac:dyDescent="0.25">
      <c r="A1380" s="423">
        <v>1379</v>
      </c>
      <c r="B1380" s="423" t="s">
        <v>441</v>
      </c>
      <c r="C1380" s="423" t="s">
        <v>1343</v>
      </c>
      <c r="D1380" s="425" t="s">
        <v>990</v>
      </c>
      <c r="E1380" s="425" t="s">
        <v>991</v>
      </c>
      <c r="F1380" s="425" t="s">
        <v>992</v>
      </c>
      <c r="G1380" s="425" t="s">
        <v>1054</v>
      </c>
      <c r="H1380" s="426" t="s">
        <v>699</v>
      </c>
      <c r="I1380" s="425" t="s">
        <v>1055</v>
      </c>
      <c r="J1380" s="425" t="s">
        <v>697</v>
      </c>
      <c r="K1380" s="425" t="s">
        <v>995</v>
      </c>
      <c r="L1380" s="425" t="s">
        <v>996</v>
      </c>
      <c r="M1380" s="425" t="s">
        <v>997</v>
      </c>
      <c r="N1380" s="425" t="s">
        <v>558</v>
      </c>
      <c r="O1380" s="425" t="s">
        <v>998</v>
      </c>
      <c r="P1380" s="425" t="s">
        <v>999</v>
      </c>
      <c r="Q1380" s="425" t="s">
        <v>1000</v>
      </c>
      <c r="R1380" s="425" t="s">
        <v>1001</v>
      </c>
      <c r="S1380" s="425" t="s">
        <v>1002</v>
      </c>
      <c r="T1380" s="423" t="s">
        <v>1041</v>
      </c>
      <c r="U1380" s="423" t="s">
        <v>1041</v>
      </c>
      <c r="V1380" s="423" t="s">
        <v>1041</v>
      </c>
      <c r="W1380" s="423" t="s">
        <v>1041</v>
      </c>
      <c r="X1380" s="423" t="s">
        <v>1041</v>
      </c>
      <c r="Y1380" s="423" t="s">
        <v>1041</v>
      </c>
      <c r="Z1380" s="423" t="s">
        <v>1041</v>
      </c>
      <c r="AD1380" s="423">
        <f>IF(ISNUMBER(MATCH(B1380,'FICHA SOLIC'!$AB$26:$AB$376,0)),1,0)</f>
        <v>1</v>
      </c>
      <c r="AE1380" s="423" t="str">
        <f t="shared" si="21"/>
        <v>San BernardoZE3</v>
      </c>
    </row>
    <row r="1381" spans="1:31" x14ac:dyDescent="0.25">
      <c r="A1381" s="423">
        <v>1380</v>
      </c>
      <c r="B1381" s="423" t="s">
        <v>441</v>
      </c>
      <c r="C1381" s="423" t="s">
        <v>1344</v>
      </c>
      <c r="D1381" s="425" t="s">
        <v>990</v>
      </c>
      <c r="E1381" s="425" t="s">
        <v>991</v>
      </c>
      <c r="F1381" s="425" t="s">
        <v>992</v>
      </c>
      <c r="G1381" s="425" t="s">
        <v>1054</v>
      </c>
      <c r="H1381" s="426" t="s">
        <v>699</v>
      </c>
      <c r="I1381" s="425" t="s">
        <v>1055</v>
      </c>
      <c r="J1381" s="425" t="s">
        <v>697</v>
      </c>
      <c r="K1381" s="425" t="s">
        <v>995</v>
      </c>
      <c r="L1381" s="425" t="s">
        <v>996</v>
      </c>
      <c r="M1381" s="425" t="s">
        <v>997</v>
      </c>
      <c r="N1381" s="425" t="s">
        <v>558</v>
      </c>
      <c r="O1381" s="425" t="s">
        <v>998</v>
      </c>
      <c r="P1381" s="425" t="s">
        <v>999</v>
      </c>
      <c r="Q1381" s="425" t="s">
        <v>1000</v>
      </c>
      <c r="R1381" s="425" t="s">
        <v>1001</v>
      </c>
      <c r="S1381" s="425" t="s">
        <v>1002</v>
      </c>
      <c r="T1381" s="423" t="s">
        <v>1041</v>
      </c>
      <c r="U1381" s="423" t="s">
        <v>1041</v>
      </c>
      <c r="V1381" s="423" t="s">
        <v>1041</v>
      </c>
      <c r="W1381" s="423" t="s">
        <v>1041</v>
      </c>
      <c r="X1381" s="423" t="s">
        <v>1041</v>
      </c>
      <c r="Y1381" s="423" t="s">
        <v>1041</v>
      </c>
      <c r="Z1381" s="423" t="s">
        <v>1041</v>
      </c>
      <c r="AD1381" s="423">
        <f>IF(ISNUMBER(MATCH(B1381,'FICHA SOLIC'!$AB$26:$AB$376,0)),1,0)</f>
        <v>1</v>
      </c>
      <c r="AE1381" s="423" t="str">
        <f t="shared" si="21"/>
        <v>San BernardoZE4</v>
      </c>
    </row>
    <row r="1382" spans="1:31" x14ac:dyDescent="0.25">
      <c r="A1382" s="423">
        <v>1381</v>
      </c>
      <c r="B1382" s="423" t="s">
        <v>441</v>
      </c>
      <c r="C1382" s="423" t="s">
        <v>1345</v>
      </c>
      <c r="D1382" s="425" t="s">
        <v>990</v>
      </c>
      <c r="E1382" s="425" t="s">
        <v>991</v>
      </c>
      <c r="F1382" s="425" t="s">
        <v>992</v>
      </c>
      <c r="G1382" s="425" t="s">
        <v>1054</v>
      </c>
      <c r="H1382" s="426" t="s">
        <v>699</v>
      </c>
      <c r="I1382" s="425" t="s">
        <v>1055</v>
      </c>
      <c r="J1382" s="425" t="s">
        <v>697</v>
      </c>
      <c r="K1382" s="425" t="s">
        <v>995</v>
      </c>
      <c r="L1382" s="425" t="s">
        <v>996</v>
      </c>
      <c r="M1382" s="425" t="s">
        <v>997</v>
      </c>
      <c r="N1382" s="425" t="s">
        <v>558</v>
      </c>
      <c r="O1382" s="425" t="s">
        <v>998</v>
      </c>
      <c r="P1382" s="425" t="s">
        <v>999</v>
      </c>
      <c r="Q1382" s="425" t="s">
        <v>1000</v>
      </c>
      <c r="R1382" s="425" t="s">
        <v>1001</v>
      </c>
      <c r="S1382" s="425" t="s">
        <v>1002</v>
      </c>
      <c r="T1382" s="423" t="s">
        <v>1041</v>
      </c>
      <c r="U1382" s="423" t="s">
        <v>1041</v>
      </c>
      <c r="V1382" s="423" t="s">
        <v>1041</v>
      </c>
      <c r="W1382" s="423" t="s">
        <v>1041</v>
      </c>
      <c r="X1382" s="423" t="s">
        <v>1041</v>
      </c>
      <c r="Y1382" s="423" t="s">
        <v>1041</v>
      </c>
      <c r="Z1382" s="423" t="s">
        <v>1041</v>
      </c>
      <c r="AD1382" s="423">
        <f>IF(ISNUMBER(MATCH(B1382,'FICHA SOLIC'!$AB$26:$AB$376,0)),1,0)</f>
        <v>1</v>
      </c>
      <c r="AE1382" s="423" t="str">
        <f t="shared" si="21"/>
        <v>San BernardoZE5</v>
      </c>
    </row>
    <row r="1383" spans="1:31" x14ac:dyDescent="0.25">
      <c r="A1383" s="423">
        <v>1382</v>
      </c>
      <c r="B1383" s="423" t="s">
        <v>441</v>
      </c>
      <c r="C1383" s="423" t="s">
        <v>1346</v>
      </c>
      <c r="D1383" s="425" t="s">
        <v>990</v>
      </c>
      <c r="E1383" s="425" t="s">
        <v>991</v>
      </c>
      <c r="F1383" s="425" t="s">
        <v>992</v>
      </c>
      <c r="G1383" s="425" t="s">
        <v>1054</v>
      </c>
      <c r="H1383" s="426" t="s">
        <v>699</v>
      </c>
      <c r="I1383" s="425" t="s">
        <v>1055</v>
      </c>
      <c r="J1383" s="425" t="s">
        <v>697</v>
      </c>
      <c r="K1383" s="425" t="s">
        <v>995</v>
      </c>
      <c r="L1383" s="425" t="s">
        <v>996</v>
      </c>
      <c r="M1383" s="425" t="s">
        <v>997</v>
      </c>
      <c r="N1383" s="425" t="s">
        <v>558</v>
      </c>
      <c r="O1383" s="425" t="s">
        <v>998</v>
      </c>
      <c r="P1383" s="425" t="s">
        <v>999</v>
      </c>
      <c r="Q1383" s="425" t="s">
        <v>1000</v>
      </c>
      <c r="R1383" s="425" t="s">
        <v>1001</v>
      </c>
      <c r="S1383" s="425" t="s">
        <v>1002</v>
      </c>
      <c r="T1383" s="423" t="s">
        <v>1041</v>
      </c>
      <c r="U1383" s="423" t="s">
        <v>1041</v>
      </c>
      <c r="V1383" s="423" t="s">
        <v>1041</v>
      </c>
      <c r="W1383" s="423" t="s">
        <v>1041</v>
      </c>
      <c r="X1383" s="423" t="s">
        <v>1041</v>
      </c>
      <c r="Y1383" s="423" t="s">
        <v>1041</v>
      </c>
      <c r="Z1383" s="423" t="s">
        <v>1041</v>
      </c>
      <c r="AD1383" s="423">
        <f>IF(ISNUMBER(MATCH(B1383,'FICHA SOLIC'!$AB$26:$AB$376,0)),1,0)</f>
        <v>1</v>
      </c>
      <c r="AE1383" s="423" t="str">
        <f t="shared" si="21"/>
        <v>San BernardoZE6</v>
      </c>
    </row>
    <row r="1384" spans="1:31" x14ac:dyDescent="0.25">
      <c r="A1384" s="423">
        <v>1383</v>
      </c>
      <c r="B1384" s="423" t="s">
        <v>441</v>
      </c>
      <c r="C1384" s="423" t="s">
        <v>1347</v>
      </c>
      <c r="D1384" s="425" t="s">
        <v>990</v>
      </c>
      <c r="E1384" s="425" t="s">
        <v>991</v>
      </c>
      <c r="F1384" s="425" t="s">
        <v>992</v>
      </c>
      <c r="G1384" s="425" t="s">
        <v>1054</v>
      </c>
      <c r="H1384" s="426" t="s">
        <v>699</v>
      </c>
      <c r="I1384" s="425" t="s">
        <v>1055</v>
      </c>
      <c r="J1384" s="425" t="s">
        <v>697</v>
      </c>
      <c r="K1384" s="425" t="s">
        <v>995</v>
      </c>
      <c r="L1384" s="425" t="s">
        <v>996</v>
      </c>
      <c r="M1384" s="425" t="s">
        <v>997</v>
      </c>
      <c r="N1384" s="425" t="s">
        <v>558</v>
      </c>
      <c r="O1384" s="425" t="s">
        <v>998</v>
      </c>
      <c r="P1384" s="425" t="s">
        <v>999</v>
      </c>
      <c r="Q1384" s="425" t="s">
        <v>1000</v>
      </c>
      <c r="R1384" s="425" t="s">
        <v>1001</v>
      </c>
      <c r="S1384" s="425" t="s">
        <v>1002</v>
      </c>
      <c r="T1384" s="423" t="s">
        <v>1041</v>
      </c>
      <c r="U1384" s="423" t="s">
        <v>1041</v>
      </c>
      <c r="V1384" s="423" t="s">
        <v>1041</v>
      </c>
      <c r="W1384" s="423" t="s">
        <v>1041</v>
      </c>
      <c r="X1384" s="423" t="s">
        <v>1041</v>
      </c>
      <c r="Y1384" s="423" t="s">
        <v>1041</v>
      </c>
      <c r="Z1384" s="423" t="s">
        <v>1041</v>
      </c>
      <c r="AD1384" s="423">
        <f>IF(ISNUMBER(MATCH(B1384,'FICHA SOLIC'!$AB$26:$AB$376,0)),1,0)</f>
        <v>1</v>
      </c>
      <c r="AE1384" s="423" t="str">
        <f t="shared" si="21"/>
        <v>San BernardoZE7</v>
      </c>
    </row>
    <row r="1385" spans="1:31" x14ac:dyDescent="0.25">
      <c r="A1385" s="423">
        <v>1384</v>
      </c>
      <c r="B1385" s="423" t="s">
        <v>441</v>
      </c>
      <c r="C1385" s="423" t="s">
        <v>1339</v>
      </c>
      <c r="D1385" s="425" t="s">
        <v>990</v>
      </c>
      <c r="E1385" s="425" t="s">
        <v>991</v>
      </c>
      <c r="F1385" s="425" t="s">
        <v>992</v>
      </c>
      <c r="G1385" s="425" t="s">
        <v>1054</v>
      </c>
      <c r="H1385" s="426" t="s">
        <v>699</v>
      </c>
      <c r="I1385" s="425" t="s">
        <v>1055</v>
      </c>
      <c r="J1385" s="425" t="s">
        <v>697</v>
      </c>
      <c r="K1385" s="425" t="s">
        <v>995</v>
      </c>
      <c r="L1385" s="425" t="s">
        <v>996</v>
      </c>
      <c r="M1385" s="425" t="s">
        <v>997</v>
      </c>
      <c r="N1385" s="425" t="s">
        <v>558</v>
      </c>
      <c r="O1385" s="425" t="s">
        <v>998</v>
      </c>
      <c r="P1385" s="425" t="s">
        <v>999</v>
      </c>
      <c r="Q1385" s="425" t="s">
        <v>1000</v>
      </c>
      <c r="R1385" s="425" t="s">
        <v>1001</v>
      </c>
      <c r="S1385" s="425" t="s">
        <v>1002</v>
      </c>
      <c r="T1385" s="423">
        <v>1500</v>
      </c>
      <c r="V1385" s="423">
        <v>70</v>
      </c>
      <c r="W1385" s="423">
        <v>2</v>
      </c>
      <c r="X1385" s="423" t="s">
        <v>1026</v>
      </c>
      <c r="Y1385" s="423" t="s">
        <v>1041</v>
      </c>
      <c r="Z1385" s="423" t="s">
        <v>1004</v>
      </c>
      <c r="AD1385" s="423">
        <f>IF(ISNUMBER(MATCH(B1385,'FICHA SOLIC'!$AB$26:$AB$376,0)),1,0)</f>
        <v>1</v>
      </c>
      <c r="AE1385" s="423" t="str">
        <f t="shared" si="21"/>
        <v>San BernardoZI1</v>
      </c>
    </row>
    <row r="1386" spans="1:31" x14ac:dyDescent="0.25">
      <c r="A1386" s="423">
        <v>1385</v>
      </c>
      <c r="B1386" s="423" t="s">
        <v>441</v>
      </c>
      <c r="C1386" s="423" t="s">
        <v>1340</v>
      </c>
      <c r="D1386" s="425" t="s">
        <v>990</v>
      </c>
      <c r="E1386" s="425" t="s">
        <v>991</v>
      </c>
      <c r="F1386" s="425" t="s">
        <v>992</v>
      </c>
      <c r="G1386" s="425" t="s">
        <v>1054</v>
      </c>
      <c r="H1386" s="426" t="s">
        <v>699</v>
      </c>
      <c r="I1386" s="425" t="s">
        <v>1055</v>
      </c>
      <c r="J1386" s="425" t="s">
        <v>697</v>
      </c>
      <c r="K1386" s="425" t="s">
        <v>995</v>
      </c>
      <c r="L1386" s="425" t="s">
        <v>996</v>
      </c>
      <c r="M1386" s="425" t="s">
        <v>997</v>
      </c>
      <c r="N1386" s="425" t="s">
        <v>558</v>
      </c>
      <c r="O1386" s="425" t="s">
        <v>998</v>
      </c>
      <c r="P1386" s="425" t="s">
        <v>999</v>
      </c>
      <c r="Q1386" s="425" t="s">
        <v>1000</v>
      </c>
      <c r="R1386" s="425" t="s">
        <v>1001</v>
      </c>
      <c r="S1386" s="425" t="s">
        <v>1002</v>
      </c>
      <c r="T1386" s="423">
        <v>2000</v>
      </c>
      <c r="V1386" s="423">
        <v>45</v>
      </c>
      <c r="W1386" s="423">
        <v>1.2</v>
      </c>
      <c r="X1386" s="423" t="s">
        <v>1319</v>
      </c>
      <c r="Y1386" s="423" t="s">
        <v>1041</v>
      </c>
      <c r="Z1386" s="423" t="s">
        <v>1004</v>
      </c>
      <c r="AD1386" s="423">
        <f>IF(ISNUMBER(MATCH(B1386,'FICHA SOLIC'!$AB$26:$AB$376,0)),1,0)</f>
        <v>1</v>
      </c>
      <c r="AE1386" s="423" t="str">
        <f t="shared" si="21"/>
        <v>San BernardoZI2</v>
      </c>
    </row>
    <row r="1387" spans="1:31" x14ac:dyDescent="0.25">
      <c r="A1387" s="423">
        <v>1386</v>
      </c>
      <c r="B1387" s="423" t="s">
        <v>441</v>
      </c>
      <c r="C1387" s="423" t="s">
        <v>1318</v>
      </c>
      <c r="D1387" s="425" t="s">
        <v>990</v>
      </c>
      <c r="E1387" s="425" t="s">
        <v>991</v>
      </c>
      <c r="F1387" s="425" t="s">
        <v>992</v>
      </c>
      <c r="G1387" s="425" t="s">
        <v>1054</v>
      </c>
      <c r="H1387" s="426" t="s">
        <v>699</v>
      </c>
      <c r="I1387" s="425" t="s">
        <v>1055</v>
      </c>
      <c r="J1387" s="425" t="s">
        <v>697</v>
      </c>
      <c r="K1387" s="425" t="s">
        <v>995</v>
      </c>
      <c r="L1387" s="425" t="s">
        <v>996</v>
      </c>
      <c r="M1387" s="425" t="s">
        <v>997</v>
      </c>
      <c r="N1387" s="425" t="s">
        <v>558</v>
      </c>
      <c r="O1387" s="425" t="s">
        <v>998</v>
      </c>
      <c r="P1387" s="425" t="s">
        <v>999</v>
      </c>
      <c r="Q1387" s="425" t="s">
        <v>1000</v>
      </c>
      <c r="R1387" s="425" t="s">
        <v>1001</v>
      </c>
      <c r="S1387" s="425" t="s">
        <v>1002</v>
      </c>
      <c r="T1387" s="423">
        <v>600</v>
      </c>
      <c r="V1387" s="423">
        <v>80</v>
      </c>
      <c r="W1387" s="423">
        <v>5</v>
      </c>
      <c r="X1387" s="423" t="s">
        <v>1319</v>
      </c>
      <c r="Y1387" s="423" t="s">
        <v>1041</v>
      </c>
      <c r="Z1387" s="423" t="s">
        <v>1039</v>
      </c>
      <c r="AD1387" s="423">
        <f>IF(ISNUMBER(MATCH(B1387,'FICHA SOLIC'!$AB$26:$AB$376,0)),1,0)</f>
        <v>1</v>
      </c>
      <c r="AE1387" s="423" t="str">
        <f t="shared" si="21"/>
        <v>San BernardoZU1.1</v>
      </c>
    </row>
    <row r="1388" spans="1:31" x14ac:dyDescent="0.25">
      <c r="A1388" s="423">
        <v>1387</v>
      </c>
      <c r="B1388" s="423" t="s">
        <v>441</v>
      </c>
      <c r="C1388" s="423" t="s">
        <v>1320</v>
      </c>
      <c r="D1388" s="425" t="s">
        <v>990</v>
      </c>
      <c r="E1388" s="425" t="s">
        <v>991</v>
      </c>
      <c r="F1388" s="425" t="s">
        <v>992</v>
      </c>
      <c r="G1388" s="425" t="s">
        <v>1054</v>
      </c>
      <c r="H1388" s="426" t="s">
        <v>699</v>
      </c>
      <c r="I1388" s="425" t="s">
        <v>1055</v>
      </c>
      <c r="J1388" s="425" t="s">
        <v>697</v>
      </c>
      <c r="K1388" s="425" t="s">
        <v>995</v>
      </c>
      <c r="L1388" s="425" t="s">
        <v>996</v>
      </c>
      <c r="M1388" s="425" t="s">
        <v>997</v>
      </c>
      <c r="N1388" s="425" t="s">
        <v>558</v>
      </c>
      <c r="O1388" s="425" t="s">
        <v>998</v>
      </c>
      <c r="P1388" s="425" t="s">
        <v>999</v>
      </c>
      <c r="Q1388" s="425" t="s">
        <v>1000</v>
      </c>
      <c r="R1388" s="425" t="s">
        <v>1001</v>
      </c>
      <c r="S1388" s="425" t="s">
        <v>1002</v>
      </c>
      <c r="T1388" s="423">
        <v>1000</v>
      </c>
      <c r="V1388" s="423">
        <v>40</v>
      </c>
      <c r="W1388" s="423">
        <v>3</v>
      </c>
      <c r="X1388" s="423" t="s">
        <v>1319</v>
      </c>
      <c r="Y1388" s="423" t="s">
        <v>1041</v>
      </c>
      <c r="Z1388" s="423" t="s">
        <v>1004</v>
      </c>
      <c r="AD1388" s="423">
        <f>IF(ISNUMBER(MATCH(B1388,'FICHA SOLIC'!$AB$26:$AB$376,0)),1,0)</f>
        <v>1</v>
      </c>
      <c r="AE1388" s="423" t="str">
        <f t="shared" si="21"/>
        <v>San BernardoZU1.2</v>
      </c>
    </row>
    <row r="1389" spans="1:31" x14ac:dyDescent="0.25">
      <c r="A1389" s="423">
        <v>1388</v>
      </c>
      <c r="B1389" s="423" t="s">
        <v>441</v>
      </c>
      <c r="C1389" s="423" t="s">
        <v>1321</v>
      </c>
      <c r="D1389" s="425" t="s">
        <v>990</v>
      </c>
      <c r="E1389" s="425" t="s">
        <v>991</v>
      </c>
      <c r="F1389" s="425" t="s">
        <v>992</v>
      </c>
      <c r="G1389" s="425" t="s">
        <v>1054</v>
      </c>
      <c r="H1389" s="426" t="s">
        <v>699</v>
      </c>
      <c r="I1389" s="425" t="s">
        <v>1055</v>
      </c>
      <c r="J1389" s="425" t="s">
        <v>697</v>
      </c>
      <c r="K1389" s="425" t="s">
        <v>995</v>
      </c>
      <c r="L1389" s="425" t="s">
        <v>996</v>
      </c>
      <c r="M1389" s="425" t="s">
        <v>997</v>
      </c>
      <c r="N1389" s="425" t="s">
        <v>558</v>
      </c>
      <c r="O1389" s="425" t="s">
        <v>998</v>
      </c>
      <c r="P1389" s="425" t="s">
        <v>999</v>
      </c>
      <c r="Q1389" s="425" t="s">
        <v>1000</v>
      </c>
      <c r="R1389" s="425" t="s">
        <v>1001</v>
      </c>
      <c r="S1389" s="425" t="s">
        <v>1002</v>
      </c>
      <c r="T1389" s="423">
        <v>250</v>
      </c>
      <c r="V1389" s="423">
        <v>50</v>
      </c>
      <c r="W1389" s="423">
        <v>1.6</v>
      </c>
      <c r="X1389" s="423" t="s">
        <v>1319</v>
      </c>
      <c r="Y1389" s="423" t="s">
        <v>1041</v>
      </c>
      <c r="Z1389" s="423" t="s">
        <v>1057</v>
      </c>
      <c r="AD1389" s="423">
        <f>IF(ISNUMBER(MATCH(B1389,'FICHA SOLIC'!$AB$26:$AB$376,0)),1,0)</f>
        <v>1</v>
      </c>
      <c r="AE1389" s="423" t="str">
        <f t="shared" si="21"/>
        <v>San BernardoZU1.3</v>
      </c>
    </row>
    <row r="1390" spans="1:31" x14ac:dyDescent="0.25">
      <c r="A1390" s="423">
        <v>1389</v>
      </c>
      <c r="B1390" s="423" t="s">
        <v>441</v>
      </c>
      <c r="C1390" s="423" t="s">
        <v>1331</v>
      </c>
      <c r="D1390" s="425" t="s">
        <v>990</v>
      </c>
      <c r="E1390" s="425" t="s">
        <v>991</v>
      </c>
      <c r="F1390" s="425" t="s">
        <v>992</v>
      </c>
      <c r="G1390" s="425" t="s">
        <v>1054</v>
      </c>
      <c r="H1390" s="426" t="s">
        <v>699</v>
      </c>
      <c r="I1390" s="425" t="s">
        <v>1055</v>
      </c>
      <c r="J1390" s="425" t="s">
        <v>697</v>
      </c>
      <c r="K1390" s="425" t="s">
        <v>995</v>
      </c>
      <c r="L1390" s="425" t="s">
        <v>996</v>
      </c>
      <c r="M1390" s="425" t="s">
        <v>997</v>
      </c>
      <c r="N1390" s="425" t="s">
        <v>558</v>
      </c>
      <c r="O1390" s="425" t="s">
        <v>998</v>
      </c>
      <c r="P1390" s="425" t="s">
        <v>999</v>
      </c>
      <c r="Q1390" s="425" t="s">
        <v>1000</v>
      </c>
      <c r="R1390" s="425" t="s">
        <v>1001</v>
      </c>
      <c r="S1390" s="425" t="s">
        <v>1002</v>
      </c>
      <c r="T1390" s="423">
        <v>250</v>
      </c>
      <c r="V1390" s="423">
        <v>50</v>
      </c>
      <c r="W1390" s="423">
        <v>1</v>
      </c>
      <c r="X1390" s="423" t="s">
        <v>1323</v>
      </c>
      <c r="Y1390" s="423" t="s">
        <v>1041</v>
      </c>
      <c r="Z1390" s="423" t="s">
        <v>1174</v>
      </c>
      <c r="AD1390" s="423">
        <f>IF(ISNUMBER(MATCH(B1390,'FICHA SOLIC'!$AB$26:$AB$376,0)),1,0)</f>
        <v>1</v>
      </c>
      <c r="AE1390" s="423" t="str">
        <f t="shared" si="21"/>
        <v>San BernardoZU10</v>
      </c>
    </row>
    <row r="1391" spans="1:31" x14ac:dyDescent="0.25">
      <c r="A1391" s="423">
        <v>1390</v>
      </c>
      <c r="B1391" s="423" t="s">
        <v>441</v>
      </c>
      <c r="C1391" s="423" t="s">
        <v>1332</v>
      </c>
      <c r="D1391" s="425" t="s">
        <v>990</v>
      </c>
      <c r="E1391" s="425" t="s">
        <v>991</v>
      </c>
      <c r="F1391" s="425" t="s">
        <v>992</v>
      </c>
      <c r="G1391" s="425" t="s">
        <v>1054</v>
      </c>
      <c r="H1391" s="426" t="s">
        <v>699</v>
      </c>
      <c r="I1391" s="425" t="s">
        <v>1055</v>
      </c>
      <c r="J1391" s="425" t="s">
        <v>697</v>
      </c>
      <c r="K1391" s="425" t="s">
        <v>995</v>
      </c>
      <c r="L1391" s="425" t="s">
        <v>996</v>
      </c>
      <c r="M1391" s="425" t="s">
        <v>997</v>
      </c>
      <c r="N1391" s="425" t="s">
        <v>558</v>
      </c>
      <c r="O1391" s="425" t="s">
        <v>998</v>
      </c>
      <c r="P1391" s="425" t="s">
        <v>999</v>
      </c>
      <c r="Q1391" s="425" t="s">
        <v>1000</v>
      </c>
      <c r="R1391" s="425" t="s">
        <v>1001</v>
      </c>
      <c r="S1391" s="425" t="s">
        <v>1002</v>
      </c>
      <c r="T1391" s="423">
        <v>250</v>
      </c>
      <c r="V1391" s="423">
        <v>40</v>
      </c>
      <c r="W1391" s="423">
        <v>1</v>
      </c>
      <c r="X1391" s="423" t="s">
        <v>1323</v>
      </c>
      <c r="Y1391" s="423" t="s">
        <v>1041</v>
      </c>
      <c r="Z1391" s="423" t="s">
        <v>1174</v>
      </c>
      <c r="AD1391" s="423">
        <f>IF(ISNUMBER(MATCH(B1391,'FICHA SOLIC'!$AB$26:$AB$376,0)),1,0)</f>
        <v>1</v>
      </c>
      <c r="AE1391" s="423" t="str">
        <f t="shared" si="21"/>
        <v>San BernardoZU11</v>
      </c>
    </row>
    <row r="1392" spans="1:31" x14ac:dyDescent="0.25">
      <c r="A1392" s="423">
        <v>1391</v>
      </c>
      <c r="B1392" s="423" t="s">
        <v>441</v>
      </c>
      <c r="C1392" s="423" t="s">
        <v>1322</v>
      </c>
      <c r="D1392" s="425" t="s">
        <v>990</v>
      </c>
      <c r="E1392" s="425" t="s">
        <v>991</v>
      </c>
      <c r="F1392" s="425" t="s">
        <v>992</v>
      </c>
      <c r="G1392" s="425" t="s">
        <v>1054</v>
      </c>
      <c r="H1392" s="426" t="s">
        <v>699</v>
      </c>
      <c r="I1392" s="425" t="s">
        <v>1055</v>
      </c>
      <c r="J1392" s="425" t="s">
        <v>697</v>
      </c>
      <c r="K1392" s="425" t="s">
        <v>995</v>
      </c>
      <c r="L1392" s="425" t="s">
        <v>996</v>
      </c>
      <c r="M1392" s="425" t="s">
        <v>997</v>
      </c>
      <c r="N1392" s="425" t="s">
        <v>558</v>
      </c>
      <c r="O1392" s="425" t="s">
        <v>998</v>
      </c>
      <c r="P1392" s="425" t="s">
        <v>999</v>
      </c>
      <c r="Q1392" s="425" t="s">
        <v>1000</v>
      </c>
      <c r="R1392" s="425" t="s">
        <v>1001</v>
      </c>
      <c r="S1392" s="425" t="s">
        <v>1002</v>
      </c>
      <c r="T1392" s="423">
        <v>160</v>
      </c>
      <c r="V1392" s="423">
        <v>60</v>
      </c>
      <c r="W1392" s="423">
        <v>0.9</v>
      </c>
      <c r="X1392" s="423" t="s">
        <v>1323</v>
      </c>
      <c r="Y1392" s="423" t="s">
        <v>1041</v>
      </c>
      <c r="Z1392" s="423" t="s">
        <v>1174</v>
      </c>
      <c r="AD1392" s="423">
        <f>IF(ISNUMBER(MATCH(B1392,'FICHA SOLIC'!$AB$26:$AB$376,0)),1,0)</f>
        <v>1</v>
      </c>
      <c r="AE1392" s="423" t="str">
        <f t="shared" si="21"/>
        <v>San BernardoZU2</v>
      </c>
    </row>
    <row r="1393" spans="1:31" x14ac:dyDescent="0.25">
      <c r="A1393" s="423">
        <v>1392</v>
      </c>
      <c r="B1393" s="423" t="s">
        <v>441</v>
      </c>
      <c r="C1393" s="423" t="s">
        <v>1324</v>
      </c>
      <c r="D1393" s="425" t="s">
        <v>990</v>
      </c>
      <c r="E1393" s="425" t="s">
        <v>991</v>
      </c>
      <c r="F1393" s="425" t="s">
        <v>992</v>
      </c>
      <c r="G1393" s="425" t="s">
        <v>1054</v>
      </c>
      <c r="H1393" s="426" t="s">
        <v>699</v>
      </c>
      <c r="I1393" s="425" t="s">
        <v>1055</v>
      </c>
      <c r="J1393" s="425" t="s">
        <v>697</v>
      </c>
      <c r="K1393" s="425" t="s">
        <v>995</v>
      </c>
      <c r="L1393" s="425" t="s">
        <v>996</v>
      </c>
      <c r="M1393" s="425" t="s">
        <v>997</v>
      </c>
      <c r="N1393" s="425" t="s">
        <v>558</v>
      </c>
      <c r="O1393" s="425" t="s">
        <v>998</v>
      </c>
      <c r="P1393" s="425" t="s">
        <v>999</v>
      </c>
      <c r="Q1393" s="425" t="s">
        <v>1000</v>
      </c>
      <c r="R1393" s="425" t="s">
        <v>1001</v>
      </c>
      <c r="S1393" s="425" t="s">
        <v>1002</v>
      </c>
      <c r="T1393" s="423">
        <v>300</v>
      </c>
      <c r="V1393" s="423">
        <v>35</v>
      </c>
      <c r="W1393" s="423">
        <v>0.8</v>
      </c>
      <c r="X1393" s="423" t="s">
        <v>1323</v>
      </c>
      <c r="Y1393" s="423" t="s">
        <v>1041</v>
      </c>
      <c r="Z1393" s="423" t="s">
        <v>1174</v>
      </c>
      <c r="AD1393" s="423">
        <f>IF(ISNUMBER(MATCH(B1393,'FICHA SOLIC'!$AB$26:$AB$376,0)),1,0)</f>
        <v>1</v>
      </c>
      <c r="AE1393" s="423" t="str">
        <f t="shared" si="21"/>
        <v>San BernardoZU3</v>
      </c>
    </row>
    <row r="1394" spans="1:31" x14ac:dyDescent="0.25">
      <c r="A1394" s="423">
        <v>1393</v>
      </c>
      <c r="B1394" s="423" t="s">
        <v>441</v>
      </c>
      <c r="C1394" s="423" t="s">
        <v>1325</v>
      </c>
      <c r="D1394" s="425" t="s">
        <v>990</v>
      </c>
      <c r="E1394" s="425" t="s">
        <v>991</v>
      </c>
      <c r="F1394" s="425" t="s">
        <v>992</v>
      </c>
      <c r="G1394" s="425" t="s">
        <v>1054</v>
      </c>
      <c r="H1394" s="426" t="s">
        <v>699</v>
      </c>
      <c r="I1394" s="425" t="s">
        <v>1055</v>
      </c>
      <c r="J1394" s="425" t="s">
        <v>697</v>
      </c>
      <c r="K1394" s="425" t="s">
        <v>995</v>
      </c>
      <c r="L1394" s="425" t="s">
        <v>996</v>
      </c>
      <c r="M1394" s="425" t="s">
        <v>997</v>
      </c>
      <c r="N1394" s="425" t="s">
        <v>558</v>
      </c>
      <c r="O1394" s="425" t="s">
        <v>998</v>
      </c>
      <c r="P1394" s="425" t="s">
        <v>999</v>
      </c>
      <c r="Q1394" s="425" t="s">
        <v>1000</v>
      </c>
      <c r="R1394" s="425" t="s">
        <v>1001</v>
      </c>
      <c r="S1394" s="425" t="s">
        <v>1002</v>
      </c>
      <c r="T1394" s="423">
        <v>120</v>
      </c>
      <c r="V1394" s="423">
        <v>60</v>
      </c>
      <c r="W1394" s="423">
        <v>0.9</v>
      </c>
      <c r="X1394" s="423" t="s">
        <v>1323</v>
      </c>
      <c r="Y1394" s="423" t="s">
        <v>1041</v>
      </c>
      <c r="Z1394" s="423" t="s">
        <v>1174</v>
      </c>
      <c r="AD1394" s="423">
        <f>IF(ISNUMBER(MATCH(B1394,'FICHA SOLIC'!$AB$26:$AB$376,0)),1,0)</f>
        <v>1</v>
      </c>
      <c r="AE1394" s="423" t="str">
        <f t="shared" si="21"/>
        <v>San BernardoZU4</v>
      </c>
    </row>
    <row r="1395" spans="1:31" x14ac:dyDescent="0.25">
      <c r="A1395" s="423">
        <v>1394</v>
      </c>
      <c r="B1395" s="423" t="s">
        <v>441</v>
      </c>
      <c r="C1395" s="423" t="s">
        <v>1326</v>
      </c>
      <c r="D1395" s="425" t="s">
        <v>990</v>
      </c>
      <c r="E1395" s="425" t="s">
        <v>991</v>
      </c>
      <c r="F1395" s="425" t="s">
        <v>992</v>
      </c>
      <c r="G1395" s="425" t="s">
        <v>1054</v>
      </c>
      <c r="H1395" s="426" t="s">
        <v>699</v>
      </c>
      <c r="I1395" s="425" t="s">
        <v>1055</v>
      </c>
      <c r="J1395" s="425" t="s">
        <v>697</v>
      </c>
      <c r="K1395" s="425" t="s">
        <v>995</v>
      </c>
      <c r="L1395" s="425" t="s">
        <v>996</v>
      </c>
      <c r="M1395" s="425" t="s">
        <v>997</v>
      </c>
      <c r="N1395" s="425" t="s">
        <v>558</v>
      </c>
      <c r="O1395" s="425" t="s">
        <v>998</v>
      </c>
      <c r="P1395" s="425" t="s">
        <v>999</v>
      </c>
      <c r="Q1395" s="425" t="s">
        <v>1000</v>
      </c>
      <c r="R1395" s="425" t="s">
        <v>1001</v>
      </c>
      <c r="S1395" s="425" t="s">
        <v>1002</v>
      </c>
      <c r="T1395" s="423">
        <v>120</v>
      </c>
      <c r="V1395" s="423">
        <v>60</v>
      </c>
      <c r="W1395" s="423">
        <v>0.9</v>
      </c>
      <c r="X1395" s="423" t="s">
        <v>1323</v>
      </c>
      <c r="Y1395" s="423" t="s">
        <v>1041</v>
      </c>
      <c r="Z1395" s="423" t="s">
        <v>1174</v>
      </c>
      <c r="AD1395" s="423">
        <f>IF(ISNUMBER(MATCH(B1395,'FICHA SOLIC'!$AB$26:$AB$376,0)),1,0)</f>
        <v>1</v>
      </c>
      <c r="AE1395" s="423" t="str">
        <f t="shared" si="21"/>
        <v>San BernardoZU5</v>
      </c>
    </row>
    <row r="1396" spans="1:31" x14ac:dyDescent="0.25">
      <c r="A1396" s="423">
        <v>1395</v>
      </c>
      <c r="B1396" s="423" t="s">
        <v>441</v>
      </c>
      <c r="C1396" s="423" t="s">
        <v>1327</v>
      </c>
      <c r="D1396" s="425" t="s">
        <v>990</v>
      </c>
      <c r="E1396" s="425" t="s">
        <v>991</v>
      </c>
      <c r="F1396" s="425" t="s">
        <v>992</v>
      </c>
      <c r="G1396" s="425" t="s">
        <v>1054</v>
      </c>
      <c r="H1396" s="426" t="s">
        <v>699</v>
      </c>
      <c r="I1396" s="425" t="s">
        <v>1055</v>
      </c>
      <c r="J1396" s="425" t="s">
        <v>697</v>
      </c>
      <c r="K1396" s="425" t="s">
        <v>995</v>
      </c>
      <c r="L1396" s="425" t="s">
        <v>996</v>
      </c>
      <c r="M1396" s="425" t="s">
        <v>997</v>
      </c>
      <c r="N1396" s="425" t="s">
        <v>558</v>
      </c>
      <c r="O1396" s="425" t="s">
        <v>998</v>
      </c>
      <c r="P1396" s="425" t="s">
        <v>999</v>
      </c>
      <c r="Q1396" s="425" t="s">
        <v>1000</v>
      </c>
      <c r="R1396" s="425" t="s">
        <v>1001</v>
      </c>
      <c r="S1396" s="425" t="s">
        <v>1002</v>
      </c>
      <c r="T1396" s="423">
        <v>250</v>
      </c>
      <c r="V1396" s="423">
        <v>40</v>
      </c>
      <c r="W1396" s="423">
        <v>1.05</v>
      </c>
      <c r="X1396" s="423" t="s">
        <v>1172</v>
      </c>
      <c r="Y1396" s="423" t="s">
        <v>1041</v>
      </c>
      <c r="Z1396" s="423" t="s">
        <v>1174</v>
      </c>
      <c r="AD1396" s="423">
        <f>IF(ISNUMBER(MATCH(B1396,'FICHA SOLIC'!$AB$26:$AB$376,0)),1,0)</f>
        <v>1</v>
      </c>
      <c r="AE1396" s="423" t="str">
        <f t="shared" si="21"/>
        <v>San BernardoZU6</v>
      </c>
    </row>
    <row r="1397" spans="1:31" x14ac:dyDescent="0.25">
      <c r="A1397" s="423">
        <v>1396</v>
      </c>
      <c r="B1397" s="423" t="s">
        <v>441</v>
      </c>
      <c r="C1397" s="423" t="s">
        <v>1328</v>
      </c>
      <c r="D1397" s="425" t="s">
        <v>990</v>
      </c>
      <c r="E1397" s="425" t="s">
        <v>991</v>
      </c>
      <c r="F1397" s="425" t="s">
        <v>992</v>
      </c>
      <c r="G1397" s="425" t="s">
        <v>1054</v>
      </c>
      <c r="H1397" s="426" t="s">
        <v>699</v>
      </c>
      <c r="I1397" s="425" t="s">
        <v>1055</v>
      </c>
      <c r="J1397" s="425" t="s">
        <v>697</v>
      </c>
      <c r="K1397" s="425" t="s">
        <v>995</v>
      </c>
      <c r="L1397" s="425" t="s">
        <v>996</v>
      </c>
      <c r="M1397" s="425" t="s">
        <v>997</v>
      </c>
      <c r="N1397" s="425" t="s">
        <v>558</v>
      </c>
      <c r="O1397" s="425" t="s">
        <v>998</v>
      </c>
      <c r="P1397" s="425" t="s">
        <v>999</v>
      </c>
      <c r="Q1397" s="425" t="s">
        <v>1000</v>
      </c>
      <c r="R1397" s="425" t="s">
        <v>1001</v>
      </c>
      <c r="S1397" s="425" t="s">
        <v>1002</v>
      </c>
      <c r="T1397" s="423">
        <v>1200</v>
      </c>
      <c r="V1397" s="423">
        <v>40</v>
      </c>
      <c r="W1397" s="423">
        <v>2</v>
      </c>
      <c r="X1397" s="423" t="s">
        <v>1319</v>
      </c>
      <c r="Y1397" s="423" t="s">
        <v>1041</v>
      </c>
      <c r="Z1397" s="423" t="s">
        <v>1004</v>
      </c>
      <c r="AD1397" s="423">
        <f>IF(ISNUMBER(MATCH(B1397,'FICHA SOLIC'!$AB$26:$AB$376,0)),1,0)</f>
        <v>1</v>
      </c>
      <c r="AE1397" s="423" t="str">
        <f t="shared" si="21"/>
        <v>San BernardoZU7</v>
      </c>
    </row>
    <row r="1398" spans="1:31" x14ac:dyDescent="0.25">
      <c r="A1398" s="423">
        <v>1397</v>
      </c>
      <c r="B1398" s="423" t="s">
        <v>441</v>
      </c>
      <c r="C1398" s="423" t="s">
        <v>1329</v>
      </c>
      <c r="D1398" s="425" t="s">
        <v>990</v>
      </c>
      <c r="E1398" s="425" t="s">
        <v>991</v>
      </c>
      <c r="F1398" s="425" t="s">
        <v>992</v>
      </c>
      <c r="G1398" s="425" t="s">
        <v>1054</v>
      </c>
      <c r="H1398" s="426" t="s">
        <v>699</v>
      </c>
      <c r="I1398" s="425" t="s">
        <v>1055</v>
      </c>
      <c r="J1398" s="425" t="s">
        <v>697</v>
      </c>
      <c r="K1398" s="425" t="s">
        <v>995</v>
      </c>
      <c r="L1398" s="425" t="s">
        <v>996</v>
      </c>
      <c r="M1398" s="425" t="s">
        <v>997</v>
      </c>
      <c r="N1398" s="425" t="s">
        <v>558</v>
      </c>
      <c r="O1398" s="425" t="s">
        <v>998</v>
      </c>
      <c r="P1398" s="425" t="s">
        <v>999</v>
      </c>
      <c r="Q1398" s="425" t="s">
        <v>1000</v>
      </c>
      <c r="R1398" s="425" t="s">
        <v>1001</v>
      </c>
      <c r="S1398" s="425" t="s">
        <v>1002</v>
      </c>
      <c r="T1398" s="423">
        <v>250</v>
      </c>
      <c r="V1398" s="423">
        <v>40</v>
      </c>
      <c r="W1398" s="423">
        <v>1</v>
      </c>
      <c r="X1398" s="423" t="s">
        <v>1323</v>
      </c>
      <c r="Y1398" s="423" t="s">
        <v>1041</v>
      </c>
      <c r="Z1398" s="423" t="s">
        <v>1174</v>
      </c>
      <c r="AD1398" s="423">
        <f>IF(ISNUMBER(MATCH(B1398,'FICHA SOLIC'!$AB$26:$AB$376,0)),1,0)</f>
        <v>1</v>
      </c>
      <c r="AE1398" s="423" t="str">
        <f t="shared" si="21"/>
        <v>San BernardoZU8</v>
      </c>
    </row>
    <row r="1399" spans="1:31" x14ac:dyDescent="0.25">
      <c r="A1399" s="423">
        <v>1398</v>
      </c>
      <c r="B1399" s="423" t="s">
        <v>441</v>
      </c>
      <c r="C1399" s="423" t="s">
        <v>1330</v>
      </c>
      <c r="D1399" s="425" t="s">
        <v>990</v>
      </c>
      <c r="E1399" s="425" t="s">
        <v>991</v>
      </c>
      <c r="F1399" s="425" t="s">
        <v>992</v>
      </c>
      <c r="G1399" s="425" t="s">
        <v>1054</v>
      </c>
      <c r="H1399" s="426" t="s">
        <v>699</v>
      </c>
      <c r="I1399" s="425" t="s">
        <v>1055</v>
      </c>
      <c r="J1399" s="425" t="s">
        <v>697</v>
      </c>
      <c r="K1399" s="425" t="s">
        <v>995</v>
      </c>
      <c r="L1399" s="425" t="s">
        <v>996</v>
      </c>
      <c r="M1399" s="425" t="s">
        <v>997</v>
      </c>
      <c r="N1399" s="425" t="s">
        <v>558</v>
      </c>
      <c r="O1399" s="425" t="s">
        <v>998</v>
      </c>
      <c r="P1399" s="425" t="s">
        <v>999</v>
      </c>
      <c r="Q1399" s="425" t="s">
        <v>1000</v>
      </c>
      <c r="R1399" s="425" t="s">
        <v>1001</v>
      </c>
      <c r="S1399" s="425" t="s">
        <v>1002</v>
      </c>
      <c r="T1399" s="423">
        <v>1000</v>
      </c>
      <c r="V1399" s="423">
        <v>50</v>
      </c>
      <c r="W1399" s="423">
        <v>1</v>
      </c>
      <c r="X1399" s="423" t="s">
        <v>1319</v>
      </c>
      <c r="Y1399" s="423" t="s">
        <v>1041</v>
      </c>
      <c r="Z1399" s="423" t="s">
        <v>1004</v>
      </c>
      <c r="AD1399" s="423">
        <f>IF(ISNUMBER(MATCH(B1399,'FICHA SOLIC'!$AB$26:$AB$376,0)),1,0)</f>
        <v>1</v>
      </c>
      <c r="AE1399" s="423" t="str">
        <f t="shared" si="21"/>
        <v>San BernardoZU9</v>
      </c>
    </row>
    <row r="1400" spans="1:31" x14ac:dyDescent="0.25">
      <c r="A1400" s="423">
        <v>1399</v>
      </c>
      <c r="B1400" s="423" t="s">
        <v>441</v>
      </c>
      <c r="C1400" s="423" t="s">
        <v>1333</v>
      </c>
      <c r="D1400" s="425" t="s">
        <v>990</v>
      </c>
      <c r="E1400" s="425" t="s">
        <v>991</v>
      </c>
      <c r="F1400" s="425" t="s">
        <v>992</v>
      </c>
      <c r="G1400" s="425" t="s">
        <v>1054</v>
      </c>
      <c r="H1400" s="426" t="s">
        <v>699</v>
      </c>
      <c r="I1400" s="425" t="s">
        <v>1055</v>
      </c>
      <c r="J1400" s="425" t="s">
        <v>697</v>
      </c>
      <c r="K1400" s="425" t="s">
        <v>995</v>
      </c>
      <c r="L1400" s="425" t="s">
        <v>996</v>
      </c>
      <c r="M1400" s="425" t="s">
        <v>997</v>
      </c>
      <c r="N1400" s="425" t="s">
        <v>558</v>
      </c>
      <c r="O1400" s="425" t="s">
        <v>998</v>
      </c>
      <c r="P1400" s="425" t="s">
        <v>999</v>
      </c>
      <c r="Q1400" s="425" t="s">
        <v>1000</v>
      </c>
      <c r="R1400" s="425" t="s">
        <v>1001</v>
      </c>
      <c r="S1400" s="425" t="s">
        <v>1002</v>
      </c>
      <c r="T1400" s="423">
        <v>5000</v>
      </c>
      <c r="V1400" s="423">
        <v>5</v>
      </c>
      <c r="W1400" s="423">
        <v>0.12</v>
      </c>
      <c r="X1400" s="423" t="s">
        <v>1323</v>
      </c>
      <c r="Y1400" s="423" t="s">
        <v>1041</v>
      </c>
      <c r="Z1400" s="423" t="s">
        <v>1004</v>
      </c>
      <c r="AD1400" s="423">
        <f>IF(ISNUMBER(MATCH(B1400,'FICHA SOLIC'!$AB$26:$AB$376,0)),1,0)</f>
        <v>1</v>
      </c>
      <c r="AE1400" s="423" t="str">
        <f t="shared" si="21"/>
        <v>San BernardoZUE1</v>
      </c>
    </row>
    <row r="1401" spans="1:31" x14ac:dyDescent="0.25">
      <c r="A1401" s="423">
        <v>1400</v>
      </c>
      <c r="B1401" s="423" t="s">
        <v>441</v>
      </c>
      <c r="C1401" s="423" t="s">
        <v>1334</v>
      </c>
      <c r="D1401" s="425" t="s">
        <v>990</v>
      </c>
      <c r="E1401" s="425" t="s">
        <v>991</v>
      </c>
      <c r="F1401" s="425" t="s">
        <v>992</v>
      </c>
      <c r="G1401" s="425" t="s">
        <v>1054</v>
      </c>
      <c r="H1401" s="426" t="s">
        <v>699</v>
      </c>
      <c r="I1401" s="425" t="s">
        <v>1055</v>
      </c>
      <c r="J1401" s="425" t="s">
        <v>697</v>
      </c>
      <c r="K1401" s="425" t="s">
        <v>995</v>
      </c>
      <c r="L1401" s="425" t="s">
        <v>996</v>
      </c>
      <c r="M1401" s="425" t="s">
        <v>997</v>
      </c>
      <c r="N1401" s="425" t="s">
        <v>558</v>
      </c>
      <c r="O1401" s="425" t="s">
        <v>998</v>
      </c>
      <c r="P1401" s="425" t="s">
        <v>999</v>
      </c>
      <c r="Q1401" s="425" t="s">
        <v>1000</v>
      </c>
      <c r="R1401" s="425" t="s">
        <v>1001</v>
      </c>
      <c r="S1401" s="425" t="s">
        <v>1002</v>
      </c>
      <c r="T1401" s="423">
        <v>250</v>
      </c>
      <c r="V1401" s="423">
        <v>40</v>
      </c>
      <c r="W1401" s="423">
        <v>1</v>
      </c>
      <c r="X1401" s="423" t="s">
        <v>1323</v>
      </c>
      <c r="Y1401" s="423" t="s">
        <v>1041</v>
      </c>
      <c r="Z1401" s="423" t="s">
        <v>1174</v>
      </c>
      <c r="AD1401" s="423">
        <f>IF(ISNUMBER(MATCH(B1401,'FICHA SOLIC'!$AB$26:$AB$376,0)),1,0)</f>
        <v>1</v>
      </c>
      <c r="AE1401" s="423" t="str">
        <f t="shared" si="21"/>
        <v>San BernardoZUE2</v>
      </c>
    </row>
    <row r="1402" spans="1:31" x14ac:dyDescent="0.25">
      <c r="A1402" s="423">
        <v>1401</v>
      </c>
      <c r="B1402" s="423" t="s">
        <v>441</v>
      </c>
      <c r="C1402" s="423" t="s">
        <v>1335</v>
      </c>
      <c r="D1402" s="425" t="s">
        <v>990</v>
      </c>
      <c r="E1402" s="425" t="s">
        <v>991</v>
      </c>
      <c r="F1402" s="425" t="s">
        <v>992</v>
      </c>
      <c r="G1402" s="425" t="s">
        <v>1054</v>
      </c>
      <c r="H1402" s="426" t="s">
        <v>699</v>
      </c>
      <c r="I1402" s="425" t="s">
        <v>1055</v>
      </c>
      <c r="J1402" s="425" t="s">
        <v>697</v>
      </c>
      <c r="K1402" s="425" t="s">
        <v>995</v>
      </c>
      <c r="L1402" s="425" t="s">
        <v>996</v>
      </c>
      <c r="M1402" s="425" t="s">
        <v>997</v>
      </c>
      <c r="N1402" s="425" t="s">
        <v>558</v>
      </c>
      <c r="O1402" s="425" t="s">
        <v>998</v>
      </c>
      <c r="P1402" s="425" t="s">
        <v>999</v>
      </c>
      <c r="Q1402" s="425" t="s">
        <v>1000</v>
      </c>
      <c r="R1402" s="425" t="s">
        <v>1001</v>
      </c>
      <c r="S1402" s="425" t="s">
        <v>1002</v>
      </c>
      <c r="T1402" s="423">
        <v>625</v>
      </c>
      <c r="V1402" s="423">
        <v>20</v>
      </c>
      <c r="W1402" s="423">
        <v>0.4</v>
      </c>
      <c r="X1402" s="423" t="s">
        <v>1319</v>
      </c>
      <c r="Y1402" s="423" t="s">
        <v>1041</v>
      </c>
      <c r="Z1402" s="423" t="s">
        <v>1004</v>
      </c>
      <c r="AD1402" s="423">
        <f>IF(ISNUMBER(MATCH(B1402,'FICHA SOLIC'!$AB$26:$AB$376,0)),1,0)</f>
        <v>1</v>
      </c>
      <c r="AE1402" s="423" t="str">
        <f t="shared" si="21"/>
        <v>San BernardoZUE3</v>
      </c>
    </row>
    <row r="1403" spans="1:31" x14ac:dyDescent="0.25">
      <c r="A1403" s="423">
        <v>1402</v>
      </c>
      <c r="B1403" s="423" t="s">
        <v>441</v>
      </c>
      <c r="C1403" s="423" t="s">
        <v>1336</v>
      </c>
      <c r="D1403" s="425" t="s">
        <v>990</v>
      </c>
      <c r="E1403" s="425" t="s">
        <v>991</v>
      </c>
      <c r="F1403" s="425" t="s">
        <v>992</v>
      </c>
      <c r="G1403" s="425" t="s">
        <v>1054</v>
      </c>
      <c r="H1403" s="426" t="s">
        <v>699</v>
      </c>
      <c r="I1403" s="425" t="s">
        <v>1055</v>
      </c>
      <c r="J1403" s="425" t="s">
        <v>697</v>
      </c>
      <c r="K1403" s="425" t="s">
        <v>995</v>
      </c>
      <c r="L1403" s="425" t="s">
        <v>996</v>
      </c>
      <c r="M1403" s="425" t="s">
        <v>997</v>
      </c>
      <c r="N1403" s="425" t="s">
        <v>558</v>
      </c>
      <c r="O1403" s="425" t="s">
        <v>998</v>
      </c>
      <c r="P1403" s="425" t="s">
        <v>999</v>
      </c>
      <c r="Q1403" s="425" t="s">
        <v>1000</v>
      </c>
      <c r="R1403" s="425" t="s">
        <v>1001</v>
      </c>
      <c r="S1403" s="425" t="s">
        <v>1002</v>
      </c>
      <c r="T1403" s="423">
        <v>1000</v>
      </c>
      <c r="V1403" s="423">
        <v>30</v>
      </c>
      <c r="W1403" s="423">
        <v>0.5</v>
      </c>
      <c r="X1403" s="423" t="s">
        <v>1323</v>
      </c>
      <c r="Y1403" s="423" t="s">
        <v>1041</v>
      </c>
      <c r="Z1403" s="423" t="s">
        <v>1004</v>
      </c>
      <c r="AD1403" s="423">
        <f>IF(ISNUMBER(MATCH(B1403,'FICHA SOLIC'!$AB$26:$AB$376,0)),1,0)</f>
        <v>1</v>
      </c>
      <c r="AE1403" s="423" t="str">
        <f t="shared" si="21"/>
        <v>San BernardoZUE4</v>
      </c>
    </row>
    <row r="1404" spans="1:31" x14ac:dyDescent="0.25">
      <c r="A1404" s="423">
        <v>1403</v>
      </c>
      <c r="B1404" s="423" t="s">
        <v>441</v>
      </c>
      <c r="C1404" s="423" t="s">
        <v>1337</v>
      </c>
      <c r="D1404" s="425" t="s">
        <v>990</v>
      </c>
      <c r="E1404" s="425" t="s">
        <v>991</v>
      </c>
      <c r="F1404" s="425" t="s">
        <v>992</v>
      </c>
      <c r="G1404" s="425" t="s">
        <v>1054</v>
      </c>
      <c r="H1404" s="426" t="s">
        <v>699</v>
      </c>
      <c r="I1404" s="425" t="s">
        <v>1055</v>
      </c>
      <c r="J1404" s="425" t="s">
        <v>697</v>
      </c>
      <c r="K1404" s="425" t="s">
        <v>995</v>
      </c>
      <c r="L1404" s="425" t="s">
        <v>996</v>
      </c>
      <c r="M1404" s="425" t="s">
        <v>997</v>
      </c>
      <c r="N1404" s="425" t="s">
        <v>558</v>
      </c>
      <c r="O1404" s="425" t="s">
        <v>998</v>
      </c>
      <c r="P1404" s="425" t="s">
        <v>999</v>
      </c>
      <c r="Q1404" s="425" t="s">
        <v>1000</v>
      </c>
      <c r="R1404" s="425" t="s">
        <v>1001</v>
      </c>
      <c r="S1404" s="425" t="s">
        <v>1002</v>
      </c>
      <c r="T1404" s="423">
        <v>120</v>
      </c>
      <c r="V1404" s="423">
        <v>60</v>
      </c>
      <c r="W1404" s="423">
        <v>0.9</v>
      </c>
      <c r="X1404" s="423" t="s">
        <v>1323</v>
      </c>
      <c r="Y1404" s="423" t="s">
        <v>1041</v>
      </c>
      <c r="Z1404" s="423" t="s">
        <v>1174</v>
      </c>
      <c r="AD1404" s="423">
        <f>IF(ISNUMBER(MATCH(B1404,'FICHA SOLIC'!$AB$26:$AB$376,0)),1,0)</f>
        <v>1</v>
      </c>
      <c r="AE1404" s="423" t="str">
        <f t="shared" si="21"/>
        <v>San BernardoZUE5</v>
      </c>
    </row>
    <row r="1405" spans="1:31" x14ac:dyDescent="0.25">
      <c r="A1405" s="423">
        <v>1404</v>
      </c>
      <c r="B1405" s="423" t="s">
        <v>441</v>
      </c>
      <c r="C1405" s="423" t="s">
        <v>1338</v>
      </c>
      <c r="D1405" s="425" t="s">
        <v>990</v>
      </c>
      <c r="E1405" s="425" t="s">
        <v>991</v>
      </c>
      <c r="F1405" s="425" t="s">
        <v>992</v>
      </c>
      <c r="G1405" s="425" t="s">
        <v>1054</v>
      </c>
      <c r="H1405" s="426" t="s">
        <v>699</v>
      </c>
      <c r="I1405" s="425" t="s">
        <v>1055</v>
      </c>
      <c r="J1405" s="425" t="s">
        <v>697</v>
      </c>
      <c r="K1405" s="425" t="s">
        <v>995</v>
      </c>
      <c r="L1405" s="425" t="s">
        <v>996</v>
      </c>
      <c r="M1405" s="425" t="s">
        <v>997</v>
      </c>
      <c r="N1405" s="425" t="s">
        <v>558</v>
      </c>
      <c r="O1405" s="425" t="s">
        <v>998</v>
      </c>
      <c r="P1405" s="425" t="s">
        <v>999</v>
      </c>
      <c r="Q1405" s="425" t="s">
        <v>1000</v>
      </c>
      <c r="R1405" s="425" t="s">
        <v>1001</v>
      </c>
      <c r="S1405" s="425" t="s">
        <v>1002</v>
      </c>
      <c r="T1405" s="423">
        <v>2000</v>
      </c>
      <c r="V1405" s="423">
        <v>20</v>
      </c>
      <c r="W1405" s="423">
        <v>0.5</v>
      </c>
      <c r="X1405" s="423" t="s">
        <v>1323</v>
      </c>
      <c r="Y1405" s="423" t="s">
        <v>1041</v>
      </c>
      <c r="Z1405" s="423" t="s">
        <v>1004</v>
      </c>
      <c r="AD1405" s="423">
        <f>IF(ISNUMBER(MATCH(B1405,'FICHA SOLIC'!$AB$26:$AB$376,0)),1,0)</f>
        <v>1</v>
      </c>
      <c r="AE1405" s="423" t="str">
        <f t="shared" si="21"/>
        <v>San BernardoZUE6</v>
      </c>
    </row>
    <row r="1406" spans="1:31" x14ac:dyDescent="0.25">
      <c r="A1406" s="423">
        <v>1405</v>
      </c>
      <c r="B1406" s="423" t="s">
        <v>431</v>
      </c>
      <c r="C1406" s="423" t="s">
        <v>1131</v>
      </c>
      <c r="D1406" s="425" t="s">
        <v>990</v>
      </c>
      <c r="E1406" s="425" t="s">
        <v>991</v>
      </c>
      <c r="F1406" s="425" t="s">
        <v>992</v>
      </c>
      <c r="G1406" s="425" t="s">
        <v>1054</v>
      </c>
      <c r="H1406" s="426" t="s">
        <v>699</v>
      </c>
      <c r="I1406" s="425" t="s">
        <v>1055</v>
      </c>
      <c r="J1406" s="425" t="s">
        <v>697</v>
      </c>
      <c r="K1406" s="425" t="s">
        <v>995</v>
      </c>
      <c r="L1406" s="425" t="s">
        <v>996</v>
      </c>
      <c r="M1406" s="425" t="s">
        <v>997</v>
      </c>
      <c r="N1406" s="425" t="s">
        <v>558</v>
      </c>
      <c r="O1406" s="425" t="s">
        <v>998</v>
      </c>
      <c r="P1406" s="425" t="s">
        <v>999</v>
      </c>
      <c r="Q1406" s="425" t="s">
        <v>1000</v>
      </c>
      <c r="R1406" s="425" t="s">
        <v>1001</v>
      </c>
      <c r="S1406" s="425" t="s">
        <v>1002</v>
      </c>
      <c r="T1406" s="423">
        <v>200</v>
      </c>
      <c r="U1406" s="423" t="s">
        <v>1041</v>
      </c>
      <c r="V1406" s="423">
        <v>60</v>
      </c>
      <c r="W1406" s="423">
        <v>1.2</v>
      </c>
      <c r="X1406" s="423" t="s">
        <v>1041</v>
      </c>
      <c r="Y1406" s="423" t="s">
        <v>1041</v>
      </c>
      <c r="Z1406" s="423" t="s">
        <v>1174</v>
      </c>
      <c r="AD1406" s="423">
        <f>IF(ISNUMBER(MATCH(B1406,'FICHA SOLIC'!$AB$26:$AB$376,0)),1,0)</f>
        <v>1</v>
      </c>
      <c r="AE1406" s="423" t="str">
        <f t="shared" si="21"/>
        <v>San JoaquínZ-1</v>
      </c>
    </row>
    <row r="1407" spans="1:31" x14ac:dyDescent="0.25">
      <c r="A1407" s="423">
        <v>1406</v>
      </c>
      <c r="B1407" s="423" t="s">
        <v>431</v>
      </c>
      <c r="C1407" s="423" t="s">
        <v>1351</v>
      </c>
      <c r="D1407" s="425" t="s">
        <v>990</v>
      </c>
      <c r="E1407" s="425" t="s">
        <v>991</v>
      </c>
      <c r="F1407" s="425" t="s">
        <v>992</v>
      </c>
      <c r="G1407" s="425" t="s">
        <v>1054</v>
      </c>
      <c r="H1407" s="426" t="s">
        <v>699</v>
      </c>
      <c r="I1407" s="425" t="s">
        <v>1055</v>
      </c>
      <c r="J1407" s="425" t="s">
        <v>697</v>
      </c>
      <c r="K1407" s="425" t="s">
        <v>995</v>
      </c>
      <c r="L1407" s="425" t="s">
        <v>996</v>
      </c>
      <c r="M1407" s="425" t="s">
        <v>997</v>
      </c>
      <c r="N1407" s="425" t="s">
        <v>558</v>
      </c>
      <c r="O1407" s="425" t="s">
        <v>998</v>
      </c>
      <c r="P1407" s="425" t="s">
        <v>999</v>
      </c>
      <c r="Q1407" s="425" t="s">
        <v>1000</v>
      </c>
      <c r="R1407" s="425" t="s">
        <v>1001</v>
      </c>
      <c r="S1407" s="425" t="s">
        <v>1002</v>
      </c>
      <c r="T1407" s="423" t="s">
        <v>1041</v>
      </c>
      <c r="U1407" s="423" t="s">
        <v>1041</v>
      </c>
      <c r="V1407" s="423" t="s">
        <v>1041</v>
      </c>
      <c r="W1407" s="423" t="s">
        <v>1041</v>
      </c>
      <c r="X1407" s="423" t="s">
        <v>1041</v>
      </c>
      <c r="Y1407" s="423" t="s">
        <v>1041</v>
      </c>
      <c r="Z1407" s="423" t="s">
        <v>1041</v>
      </c>
      <c r="AD1407" s="423">
        <f>IF(ISNUMBER(MATCH(B1407,'FICHA SOLIC'!$AB$26:$AB$376,0)),1,0)</f>
        <v>1</v>
      </c>
      <c r="AE1407" s="423" t="str">
        <f t="shared" si="21"/>
        <v>San JoaquínZ-10</v>
      </c>
    </row>
    <row r="1408" spans="1:31" x14ac:dyDescent="0.25">
      <c r="A1408" s="423">
        <v>1407</v>
      </c>
      <c r="B1408" s="423" t="s">
        <v>431</v>
      </c>
      <c r="C1408" s="423" t="s">
        <v>1352</v>
      </c>
      <c r="D1408" s="425" t="s">
        <v>990</v>
      </c>
      <c r="E1408" s="425" t="s">
        <v>991</v>
      </c>
      <c r="F1408" s="425" t="s">
        <v>992</v>
      </c>
      <c r="G1408" s="425" t="s">
        <v>1054</v>
      </c>
      <c r="H1408" s="426" t="s">
        <v>699</v>
      </c>
      <c r="I1408" s="425" t="s">
        <v>1055</v>
      </c>
      <c r="J1408" s="425" t="s">
        <v>697</v>
      </c>
      <c r="K1408" s="425" t="s">
        <v>995</v>
      </c>
      <c r="L1408" s="425" t="s">
        <v>996</v>
      </c>
      <c r="M1408" s="425" t="s">
        <v>997</v>
      </c>
      <c r="N1408" s="425" t="s">
        <v>558</v>
      </c>
      <c r="O1408" s="425" t="s">
        <v>998</v>
      </c>
      <c r="P1408" s="425" t="s">
        <v>999</v>
      </c>
      <c r="Q1408" s="425" t="s">
        <v>1000</v>
      </c>
      <c r="R1408" s="425" t="s">
        <v>1001</v>
      </c>
      <c r="S1408" s="425" t="s">
        <v>1002</v>
      </c>
      <c r="T1408" s="423">
        <v>500</v>
      </c>
      <c r="U1408" s="423" t="s">
        <v>1041</v>
      </c>
      <c r="V1408" s="423">
        <v>60</v>
      </c>
      <c r="W1408" s="423">
        <v>2</v>
      </c>
      <c r="X1408" s="423" t="s">
        <v>1041</v>
      </c>
      <c r="Y1408" s="423" t="s">
        <v>1041</v>
      </c>
      <c r="Z1408" s="423" t="s">
        <v>1171</v>
      </c>
      <c r="AD1408" s="423">
        <f>IF(ISNUMBER(MATCH(B1408,'FICHA SOLIC'!$AB$26:$AB$376,0)),1,0)</f>
        <v>1</v>
      </c>
      <c r="AE1408" s="423" t="str">
        <f t="shared" si="21"/>
        <v>San JoaquínZ-11</v>
      </c>
    </row>
    <row r="1409" spans="1:31" x14ac:dyDescent="0.25">
      <c r="A1409" s="423">
        <v>1408</v>
      </c>
      <c r="B1409" s="423" t="s">
        <v>431</v>
      </c>
      <c r="C1409" s="423" t="s">
        <v>1353</v>
      </c>
      <c r="D1409" s="425" t="s">
        <v>990</v>
      </c>
      <c r="E1409" s="425" t="s">
        <v>991</v>
      </c>
      <c r="F1409" s="425" t="s">
        <v>992</v>
      </c>
      <c r="G1409" s="425" t="s">
        <v>1054</v>
      </c>
      <c r="H1409" s="426" t="s">
        <v>699</v>
      </c>
      <c r="I1409" s="425" t="s">
        <v>1055</v>
      </c>
      <c r="J1409" s="425" t="s">
        <v>697</v>
      </c>
      <c r="K1409" s="425" t="s">
        <v>995</v>
      </c>
      <c r="L1409" s="425" t="s">
        <v>996</v>
      </c>
      <c r="M1409" s="425" t="s">
        <v>997</v>
      </c>
      <c r="N1409" s="425" t="s">
        <v>558</v>
      </c>
      <c r="O1409" s="425" t="s">
        <v>998</v>
      </c>
      <c r="P1409" s="425" t="s">
        <v>999</v>
      </c>
      <c r="Q1409" s="425" t="s">
        <v>1000</v>
      </c>
      <c r="R1409" s="425" t="s">
        <v>1001</v>
      </c>
      <c r="S1409" s="425" t="s">
        <v>1002</v>
      </c>
      <c r="T1409" s="423">
        <v>500</v>
      </c>
      <c r="U1409" s="423" t="s">
        <v>1041</v>
      </c>
      <c r="V1409" s="423">
        <v>60</v>
      </c>
      <c r="W1409" s="423">
        <v>2</v>
      </c>
      <c r="X1409" s="423" t="s">
        <v>1041</v>
      </c>
      <c r="Y1409" s="423" t="s">
        <v>1041</v>
      </c>
      <c r="Z1409" s="423" t="s">
        <v>1171</v>
      </c>
      <c r="AD1409" s="423">
        <f>IF(ISNUMBER(MATCH(B1409,'FICHA SOLIC'!$AB$26:$AB$376,0)),1,0)</f>
        <v>1</v>
      </c>
      <c r="AE1409" s="423" t="str">
        <f t="shared" si="21"/>
        <v>San JoaquínZ-11A</v>
      </c>
    </row>
    <row r="1410" spans="1:31" x14ac:dyDescent="0.25">
      <c r="A1410" s="423">
        <v>1409</v>
      </c>
      <c r="B1410" s="423" t="s">
        <v>431</v>
      </c>
      <c r="C1410" s="423" t="s">
        <v>1354</v>
      </c>
      <c r="D1410" s="425" t="s">
        <v>990</v>
      </c>
      <c r="E1410" s="425" t="s">
        <v>991</v>
      </c>
      <c r="F1410" s="425" t="s">
        <v>992</v>
      </c>
      <c r="G1410" s="425" t="s">
        <v>1054</v>
      </c>
      <c r="H1410" s="426" t="s">
        <v>699</v>
      </c>
      <c r="I1410" s="425" t="s">
        <v>1055</v>
      </c>
      <c r="J1410" s="425" t="s">
        <v>697</v>
      </c>
      <c r="K1410" s="425" t="s">
        <v>995</v>
      </c>
      <c r="L1410" s="425" t="s">
        <v>996</v>
      </c>
      <c r="M1410" s="425" t="s">
        <v>997</v>
      </c>
      <c r="N1410" s="425" t="s">
        <v>558</v>
      </c>
      <c r="O1410" s="425" t="s">
        <v>998</v>
      </c>
      <c r="P1410" s="425" t="s">
        <v>999</v>
      </c>
      <c r="Q1410" s="425" t="s">
        <v>1000</v>
      </c>
      <c r="R1410" s="425" t="s">
        <v>1001</v>
      </c>
      <c r="S1410" s="425" t="s">
        <v>1002</v>
      </c>
      <c r="T1410" s="423">
        <v>500</v>
      </c>
      <c r="U1410" s="423" t="s">
        <v>1041</v>
      </c>
      <c r="V1410" s="423">
        <v>60</v>
      </c>
      <c r="W1410" s="423">
        <v>2</v>
      </c>
      <c r="X1410" s="423" t="s">
        <v>1041</v>
      </c>
      <c r="Y1410" s="423" t="s">
        <v>1041</v>
      </c>
      <c r="Z1410" s="423" t="s">
        <v>1171</v>
      </c>
      <c r="AD1410" s="423">
        <f>IF(ISNUMBER(MATCH(B1410,'FICHA SOLIC'!$AB$26:$AB$376,0)),1,0)</f>
        <v>1</v>
      </c>
      <c r="AE1410" s="423" t="str">
        <f t="shared" si="21"/>
        <v>San JoaquínZ-11B</v>
      </c>
    </row>
    <row r="1411" spans="1:31" x14ac:dyDescent="0.25">
      <c r="A1411" s="423">
        <v>1410</v>
      </c>
      <c r="B1411" s="423" t="s">
        <v>431</v>
      </c>
      <c r="C1411" s="423" t="s">
        <v>1355</v>
      </c>
      <c r="D1411" s="425" t="s">
        <v>990</v>
      </c>
      <c r="E1411" s="425" t="s">
        <v>991</v>
      </c>
      <c r="F1411" s="425" t="s">
        <v>992</v>
      </c>
      <c r="G1411" s="425" t="s">
        <v>1054</v>
      </c>
      <c r="H1411" s="426" t="s">
        <v>699</v>
      </c>
      <c r="I1411" s="425" t="s">
        <v>1055</v>
      </c>
      <c r="J1411" s="425" t="s">
        <v>697</v>
      </c>
      <c r="K1411" s="425" t="s">
        <v>995</v>
      </c>
      <c r="L1411" s="425" t="s">
        <v>996</v>
      </c>
      <c r="M1411" s="425" t="s">
        <v>997</v>
      </c>
      <c r="N1411" s="425" t="s">
        <v>558</v>
      </c>
      <c r="O1411" s="425" t="s">
        <v>998</v>
      </c>
      <c r="P1411" s="425" t="s">
        <v>999</v>
      </c>
      <c r="Q1411" s="425" t="s">
        <v>1000</v>
      </c>
      <c r="R1411" s="425" t="s">
        <v>1001</v>
      </c>
      <c r="S1411" s="425" t="s">
        <v>1002</v>
      </c>
      <c r="T1411" s="423">
        <v>500</v>
      </c>
      <c r="U1411" s="423" t="s">
        <v>1041</v>
      </c>
      <c r="V1411" s="423">
        <v>60</v>
      </c>
      <c r="W1411" s="423">
        <v>2</v>
      </c>
      <c r="X1411" s="423" t="s">
        <v>1041</v>
      </c>
      <c r="Y1411" s="423" t="s">
        <v>1041</v>
      </c>
      <c r="Z1411" s="423" t="s">
        <v>1171</v>
      </c>
      <c r="AD1411" s="423">
        <f>IF(ISNUMBER(MATCH(B1411,'FICHA SOLIC'!$AB$26:$AB$376,0)),1,0)</f>
        <v>1</v>
      </c>
      <c r="AE1411" s="423" t="str">
        <f t="shared" ref="AE1411:AE1474" si="22">B1411&amp;C1411</f>
        <v>San JoaquínZ-12</v>
      </c>
    </row>
    <row r="1412" spans="1:31" x14ac:dyDescent="0.25">
      <c r="A1412" s="423">
        <v>1411</v>
      </c>
      <c r="B1412" s="423" t="s">
        <v>431</v>
      </c>
      <c r="C1412" s="423" t="s">
        <v>1356</v>
      </c>
      <c r="D1412" s="425" t="s">
        <v>990</v>
      </c>
      <c r="E1412" s="425" t="s">
        <v>991</v>
      </c>
      <c r="F1412" s="425" t="s">
        <v>992</v>
      </c>
      <c r="G1412" s="425" t="s">
        <v>1054</v>
      </c>
      <c r="H1412" s="426" t="s">
        <v>699</v>
      </c>
      <c r="I1412" s="425" t="s">
        <v>1055</v>
      </c>
      <c r="J1412" s="425" t="s">
        <v>697</v>
      </c>
      <c r="K1412" s="425" t="s">
        <v>995</v>
      </c>
      <c r="L1412" s="425" t="s">
        <v>996</v>
      </c>
      <c r="M1412" s="425" t="s">
        <v>997</v>
      </c>
      <c r="N1412" s="425" t="s">
        <v>558</v>
      </c>
      <c r="O1412" s="425" t="s">
        <v>998</v>
      </c>
      <c r="P1412" s="425" t="s">
        <v>999</v>
      </c>
      <c r="Q1412" s="425" t="s">
        <v>1000</v>
      </c>
      <c r="R1412" s="425" t="s">
        <v>1001</v>
      </c>
      <c r="S1412" s="425" t="s">
        <v>1002</v>
      </c>
      <c r="T1412" s="423">
        <v>400</v>
      </c>
      <c r="U1412" s="423" t="s">
        <v>1041</v>
      </c>
      <c r="V1412" s="423">
        <v>60</v>
      </c>
      <c r="W1412" s="423">
        <v>2</v>
      </c>
      <c r="X1412" s="423" t="s">
        <v>1041</v>
      </c>
      <c r="Y1412" s="423" t="s">
        <v>1041</v>
      </c>
      <c r="Z1412" s="423" t="s">
        <v>1171</v>
      </c>
      <c r="AD1412" s="423">
        <f>IF(ISNUMBER(MATCH(B1412,'FICHA SOLIC'!$AB$26:$AB$376,0)),1,0)</f>
        <v>1</v>
      </c>
      <c r="AE1412" s="423" t="str">
        <f t="shared" si="22"/>
        <v>San JoaquínZ-13</v>
      </c>
    </row>
    <row r="1413" spans="1:31" x14ac:dyDescent="0.25">
      <c r="A1413" s="423">
        <v>1412</v>
      </c>
      <c r="B1413" s="423" t="s">
        <v>431</v>
      </c>
      <c r="C1413" s="423" t="s">
        <v>1357</v>
      </c>
      <c r="D1413" s="425" t="s">
        <v>990</v>
      </c>
      <c r="E1413" s="425" t="s">
        <v>991</v>
      </c>
      <c r="F1413" s="425" t="s">
        <v>992</v>
      </c>
      <c r="G1413" s="425" t="s">
        <v>1054</v>
      </c>
      <c r="H1413" s="426" t="s">
        <v>699</v>
      </c>
      <c r="I1413" s="425" t="s">
        <v>1055</v>
      </c>
      <c r="J1413" s="425" t="s">
        <v>697</v>
      </c>
      <c r="K1413" s="425" t="s">
        <v>995</v>
      </c>
      <c r="L1413" s="425" t="s">
        <v>996</v>
      </c>
      <c r="M1413" s="425" t="s">
        <v>997</v>
      </c>
      <c r="N1413" s="425" t="s">
        <v>558</v>
      </c>
      <c r="O1413" s="425" t="s">
        <v>998</v>
      </c>
      <c r="P1413" s="425" t="s">
        <v>999</v>
      </c>
      <c r="Q1413" s="425" t="s">
        <v>1000</v>
      </c>
      <c r="R1413" s="425" t="s">
        <v>1001</v>
      </c>
      <c r="S1413" s="425" t="s">
        <v>1002</v>
      </c>
      <c r="T1413" s="423">
        <v>600</v>
      </c>
      <c r="U1413" s="423" t="s">
        <v>1041</v>
      </c>
      <c r="V1413" s="423">
        <v>60</v>
      </c>
      <c r="W1413" s="423">
        <v>2</v>
      </c>
      <c r="X1413" s="423" t="s">
        <v>1041</v>
      </c>
      <c r="Y1413" s="423" t="s">
        <v>1041</v>
      </c>
      <c r="Z1413" s="423" t="s">
        <v>1171</v>
      </c>
      <c r="AD1413" s="423">
        <f>IF(ISNUMBER(MATCH(B1413,'FICHA SOLIC'!$AB$26:$AB$376,0)),1,0)</f>
        <v>1</v>
      </c>
      <c r="AE1413" s="423" t="str">
        <f t="shared" si="22"/>
        <v>San JoaquínZ-13A</v>
      </c>
    </row>
    <row r="1414" spans="1:31" x14ac:dyDescent="0.25">
      <c r="A1414" s="423">
        <v>1413</v>
      </c>
      <c r="B1414" s="423" t="s">
        <v>431</v>
      </c>
      <c r="C1414" s="423" t="s">
        <v>1358</v>
      </c>
      <c r="D1414" s="425" t="s">
        <v>990</v>
      </c>
      <c r="E1414" s="425" t="s">
        <v>991</v>
      </c>
      <c r="F1414" s="425" t="s">
        <v>992</v>
      </c>
      <c r="G1414" s="425" t="s">
        <v>1054</v>
      </c>
      <c r="H1414" s="426" t="s">
        <v>699</v>
      </c>
      <c r="I1414" s="425" t="s">
        <v>1055</v>
      </c>
      <c r="J1414" s="425" t="s">
        <v>697</v>
      </c>
      <c r="K1414" s="425" t="s">
        <v>995</v>
      </c>
      <c r="L1414" s="425" t="s">
        <v>996</v>
      </c>
      <c r="M1414" s="425" t="s">
        <v>997</v>
      </c>
      <c r="N1414" s="425" t="s">
        <v>558</v>
      </c>
      <c r="O1414" s="425" t="s">
        <v>998</v>
      </c>
      <c r="P1414" s="425" t="s">
        <v>999</v>
      </c>
      <c r="Q1414" s="425" t="s">
        <v>1000</v>
      </c>
      <c r="R1414" s="425" t="s">
        <v>1001</v>
      </c>
      <c r="S1414" s="425" t="s">
        <v>1002</v>
      </c>
      <c r="T1414" s="423">
        <v>200</v>
      </c>
      <c r="U1414" s="423" t="s">
        <v>1041</v>
      </c>
      <c r="V1414" s="423">
        <v>60</v>
      </c>
      <c r="W1414" s="423">
        <v>2</v>
      </c>
      <c r="X1414" s="423" t="s">
        <v>1041</v>
      </c>
      <c r="Y1414" s="423" t="s">
        <v>1041</v>
      </c>
      <c r="Z1414" s="423" t="s">
        <v>1171</v>
      </c>
      <c r="AD1414" s="423">
        <f>IF(ISNUMBER(MATCH(B1414,'FICHA SOLIC'!$AB$26:$AB$376,0)),1,0)</f>
        <v>1</v>
      </c>
      <c r="AE1414" s="423" t="str">
        <f t="shared" si="22"/>
        <v>San JoaquínZ-14</v>
      </c>
    </row>
    <row r="1415" spans="1:31" x14ac:dyDescent="0.25">
      <c r="A1415" s="423">
        <v>1414</v>
      </c>
      <c r="B1415" s="423" t="s">
        <v>431</v>
      </c>
      <c r="C1415" s="423" t="s">
        <v>1359</v>
      </c>
      <c r="D1415" s="425" t="s">
        <v>990</v>
      </c>
      <c r="E1415" s="425" t="s">
        <v>991</v>
      </c>
      <c r="F1415" s="425" t="s">
        <v>992</v>
      </c>
      <c r="G1415" s="425" t="s">
        <v>1054</v>
      </c>
      <c r="H1415" s="426" t="s">
        <v>699</v>
      </c>
      <c r="I1415" s="425" t="s">
        <v>1055</v>
      </c>
      <c r="J1415" s="425" t="s">
        <v>697</v>
      </c>
      <c r="K1415" s="425" t="s">
        <v>995</v>
      </c>
      <c r="L1415" s="425" t="s">
        <v>996</v>
      </c>
      <c r="M1415" s="425" t="s">
        <v>997</v>
      </c>
      <c r="N1415" s="425" t="s">
        <v>558</v>
      </c>
      <c r="O1415" s="425" t="s">
        <v>998</v>
      </c>
      <c r="P1415" s="425" t="s">
        <v>999</v>
      </c>
      <c r="Q1415" s="425" t="s">
        <v>1000</v>
      </c>
      <c r="R1415" s="425" t="s">
        <v>1001</v>
      </c>
      <c r="S1415" s="425" t="s">
        <v>1002</v>
      </c>
      <c r="T1415" s="423">
        <v>300</v>
      </c>
      <c r="U1415" s="423" t="s">
        <v>1041</v>
      </c>
      <c r="V1415" s="423">
        <v>60</v>
      </c>
      <c r="W1415" s="423">
        <v>2</v>
      </c>
      <c r="X1415" s="423" t="s">
        <v>1041</v>
      </c>
      <c r="Y1415" s="423" t="s">
        <v>1041</v>
      </c>
      <c r="Z1415" s="423" t="s">
        <v>1171</v>
      </c>
      <c r="AD1415" s="423">
        <f>IF(ISNUMBER(MATCH(B1415,'FICHA SOLIC'!$AB$26:$AB$376,0)),1,0)</f>
        <v>1</v>
      </c>
      <c r="AE1415" s="423" t="str">
        <f t="shared" si="22"/>
        <v>San JoaquínZ-14A</v>
      </c>
    </row>
    <row r="1416" spans="1:31" x14ac:dyDescent="0.25">
      <c r="A1416" s="423">
        <v>1415</v>
      </c>
      <c r="B1416" s="423" t="s">
        <v>431</v>
      </c>
      <c r="C1416" s="423" t="s">
        <v>1360</v>
      </c>
      <c r="D1416" s="425" t="s">
        <v>990</v>
      </c>
      <c r="E1416" s="425" t="s">
        <v>991</v>
      </c>
      <c r="F1416" s="425" t="s">
        <v>992</v>
      </c>
      <c r="G1416" s="425" t="s">
        <v>1054</v>
      </c>
      <c r="H1416" s="426" t="s">
        <v>699</v>
      </c>
      <c r="I1416" s="425" t="s">
        <v>1055</v>
      </c>
      <c r="J1416" s="425" t="s">
        <v>697</v>
      </c>
      <c r="K1416" s="425" t="s">
        <v>995</v>
      </c>
      <c r="L1416" s="425" t="s">
        <v>996</v>
      </c>
      <c r="M1416" s="425" t="s">
        <v>997</v>
      </c>
      <c r="N1416" s="425" t="s">
        <v>558</v>
      </c>
      <c r="O1416" s="425" t="s">
        <v>998</v>
      </c>
      <c r="P1416" s="425" t="s">
        <v>999</v>
      </c>
      <c r="Q1416" s="425" t="s">
        <v>1000</v>
      </c>
      <c r="R1416" s="425" t="s">
        <v>1001</v>
      </c>
      <c r="S1416" s="425" t="s">
        <v>1002</v>
      </c>
      <c r="T1416" s="423">
        <v>2000</v>
      </c>
      <c r="U1416" s="423" t="s">
        <v>1041</v>
      </c>
      <c r="V1416" s="423">
        <v>30</v>
      </c>
      <c r="W1416" s="423">
        <v>2</v>
      </c>
      <c r="X1416" s="423" t="s">
        <v>1041</v>
      </c>
      <c r="Y1416" s="423">
        <v>5</v>
      </c>
      <c r="Z1416" s="423" t="s">
        <v>1004</v>
      </c>
      <c r="AD1416" s="423">
        <f>IF(ISNUMBER(MATCH(B1416,'FICHA SOLIC'!$AB$26:$AB$376,0)),1,0)</f>
        <v>1</v>
      </c>
      <c r="AE1416" s="423" t="str">
        <f t="shared" si="22"/>
        <v>San JoaquínZ-14B</v>
      </c>
    </row>
    <row r="1417" spans="1:31" x14ac:dyDescent="0.25">
      <c r="A1417" s="423">
        <v>1416</v>
      </c>
      <c r="B1417" s="423" t="s">
        <v>431</v>
      </c>
      <c r="C1417" s="423" t="s">
        <v>1361</v>
      </c>
      <c r="D1417" s="425" t="s">
        <v>990</v>
      </c>
      <c r="E1417" s="425" t="s">
        <v>991</v>
      </c>
      <c r="F1417" s="425" t="s">
        <v>992</v>
      </c>
      <c r="G1417" s="425" t="s">
        <v>1054</v>
      </c>
      <c r="H1417" s="426" t="s">
        <v>699</v>
      </c>
      <c r="I1417" s="425" t="s">
        <v>1055</v>
      </c>
      <c r="J1417" s="425" t="s">
        <v>697</v>
      </c>
      <c r="K1417" s="425" t="s">
        <v>995</v>
      </c>
      <c r="L1417" s="425" t="s">
        <v>996</v>
      </c>
      <c r="M1417" s="425" t="s">
        <v>997</v>
      </c>
      <c r="N1417" s="425" t="s">
        <v>558</v>
      </c>
      <c r="O1417" s="425" t="s">
        <v>998</v>
      </c>
      <c r="P1417" s="425" t="s">
        <v>999</v>
      </c>
      <c r="Q1417" s="425" t="s">
        <v>1000</v>
      </c>
      <c r="R1417" s="425" t="s">
        <v>1001</v>
      </c>
      <c r="S1417" s="425" t="s">
        <v>1002</v>
      </c>
      <c r="T1417" s="423">
        <v>300</v>
      </c>
      <c r="U1417" s="423" t="s">
        <v>1041</v>
      </c>
      <c r="V1417" s="423">
        <v>60</v>
      </c>
      <c r="W1417" s="423">
        <v>1.5</v>
      </c>
      <c r="X1417" s="423">
        <v>7</v>
      </c>
      <c r="Z1417" s="423" t="s">
        <v>1171</v>
      </c>
      <c r="AD1417" s="423">
        <f>IF(ISNUMBER(MATCH(B1417,'FICHA SOLIC'!$AB$26:$AB$376,0)),1,0)</f>
        <v>1</v>
      </c>
      <c r="AE1417" s="423" t="str">
        <f t="shared" si="22"/>
        <v>San JoaquínZ-15</v>
      </c>
    </row>
    <row r="1418" spans="1:31" x14ac:dyDescent="0.25">
      <c r="A1418" s="423">
        <v>1417</v>
      </c>
      <c r="B1418" s="423" t="s">
        <v>431</v>
      </c>
      <c r="C1418" s="423" t="s">
        <v>1362</v>
      </c>
      <c r="D1418" s="425" t="s">
        <v>990</v>
      </c>
      <c r="E1418" s="425" t="s">
        <v>991</v>
      </c>
      <c r="F1418" s="425" t="s">
        <v>992</v>
      </c>
      <c r="G1418" s="425" t="s">
        <v>1054</v>
      </c>
      <c r="H1418" s="426" t="s">
        <v>699</v>
      </c>
      <c r="I1418" s="425" t="s">
        <v>1055</v>
      </c>
      <c r="J1418" s="425" t="s">
        <v>697</v>
      </c>
      <c r="K1418" s="425" t="s">
        <v>995</v>
      </c>
      <c r="L1418" s="425" t="s">
        <v>996</v>
      </c>
      <c r="M1418" s="425" t="s">
        <v>997</v>
      </c>
      <c r="N1418" s="425" t="s">
        <v>558</v>
      </c>
      <c r="O1418" s="425" t="s">
        <v>998</v>
      </c>
      <c r="P1418" s="425" t="s">
        <v>999</v>
      </c>
      <c r="Q1418" s="425" t="s">
        <v>1000</v>
      </c>
      <c r="R1418" s="425" t="s">
        <v>1001</v>
      </c>
      <c r="S1418" s="425" t="s">
        <v>1002</v>
      </c>
      <c r="T1418" s="423">
        <v>600</v>
      </c>
      <c r="U1418" s="423" t="s">
        <v>1041</v>
      </c>
      <c r="V1418" s="423">
        <v>60</v>
      </c>
      <c r="W1418" s="423">
        <v>2</v>
      </c>
      <c r="X1418" s="423">
        <v>42</v>
      </c>
      <c r="Z1418" s="423" t="s">
        <v>1171</v>
      </c>
      <c r="AD1418" s="423">
        <f>IF(ISNUMBER(MATCH(B1418,'FICHA SOLIC'!$AB$26:$AB$376,0)),1,0)</f>
        <v>1</v>
      </c>
      <c r="AE1418" s="423" t="str">
        <f t="shared" si="22"/>
        <v>San JoaquínZ-16</v>
      </c>
    </row>
    <row r="1419" spans="1:31" x14ac:dyDescent="0.25">
      <c r="A1419" s="423">
        <v>1418</v>
      </c>
      <c r="B1419" s="423" t="s">
        <v>431</v>
      </c>
      <c r="C1419" s="423" t="s">
        <v>1363</v>
      </c>
      <c r="D1419" s="425" t="s">
        <v>990</v>
      </c>
      <c r="E1419" s="425" t="s">
        <v>991</v>
      </c>
      <c r="F1419" s="425" t="s">
        <v>992</v>
      </c>
      <c r="G1419" s="425" t="s">
        <v>1054</v>
      </c>
      <c r="H1419" s="426" t="s">
        <v>699</v>
      </c>
      <c r="I1419" s="425" t="s">
        <v>1055</v>
      </c>
      <c r="J1419" s="425" t="s">
        <v>697</v>
      </c>
      <c r="K1419" s="425" t="s">
        <v>995</v>
      </c>
      <c r="L1419" s="425" t="s">
        <v>996</v>
      </c>
      <c r="M1419" s="425" t="s">
        <v>997</v>
      </c>
      <c r="N1419" s="425" t="s">
        <v>558</v>
      </c>
      <c r="O1419" s="425" t="s">
        <v>998</v>
      </c>
      <c r="P1419" s="425" t="s">
        <v>999</v>
      </c>
      <c r="Q1419" s="425" t="s">
        <v>1000</v>
      </c>
      <c r="R1419" s="425" t="s">
        <v>1001</v>
      </c>
      <c r="S1419" s="425" t="s">
        <v>1002</v>
      </c>
      <c r="T1419" s="423">
        <v>600</v>
      </c>
      <c r="U1419" s="423" t="s">
        <v>1041</v>
      </c>
      <c r="V1419" s="423">
        <v>60</v>
      </c>
      <c r="W1419" s="423">
        <v>2</v>
      </c>
      <c r="X1419" s="423">
        <v>70</v>
      </c>
      <c r="Z1419" s="423" t="s">
        <v>1171</v>
      </c>
      <c r="AD1419" s="423">
        <f>IF(ISNUMBER(MATCH(B1419,'FICHA SOLIC'!$AB$26:$AB$376,0)),1,0)</f>
        <v>1</v>
      </c>
      <c r="AE1419" s="423" t="str">
        <f t="shared" si="22"/>
        <v>San JoaquínZ-16A</v>
      </c>
    </row>
    <row r="1420" spans="1:31" x14ac:dyDescent="0.25">
      <c r="A1420" s="423">
        <v>1419</v>
      </c>
      <c r="B1420" s="423" t="s">
        <v>431</v>
      </c>
      <c r="C1420" s="423" t="s">
        <v>1135</v>
      </c>
      <c r="D1420" s="425" t="s">
        <v>990</v>
      </c>
      <c r="E1420" s="425" t="s">
        <v>991</v>
      </c>
      <c r="F1420" s="425" t="s">
        <v>992</v>
      </c>
      <c r="G1420" s="425" t="s">
        <v>1054</v>
      </c>
      <c r="H1420" s="426" t="s">
        <v>699</v>
      </c>
      <c r="I1420" s="425" t="s">
        <v>1055</v>
      </c>
      <c r="J1420" s="425" t="s">
        <v>697</v>
      </c>
      <c r="K1420" s="425" t="s">
        <v>995</v>
      </c>
      <c r="L1420" s="425" t="s">
        <v>996</v>
      </c>
      <c r="M1420" s="425" t="s">
        <v>997</v>
      </c>
      <c r="N1420" s="425" t="s">
        <v>558</v>
      </c>
      <c r="O1420" s="425" t="s">
        <v>998</v>
      </c>
      <c r="P1420" s="425" t="s">
        <v>999</v>
      </c>
      <c r="Q1420" s="425" t="s">
        <v>1000</v>
      </c>
      <c r="R1420" s="425" t="s">
        <v>1001</v>
      </c>
      <c r="S1420" s="425" t="s">
        <v>1002</v>
      </c>
      <c r="T1420" s="423">
        <v>300</v>
      </c>
      <c r="U1420" s="423" t="s">
        <v>1041</v>
      </c>
      <c r="V1420" s="423">
        <v>172</v>
      </c>
      <c r="W1420" s="423">
        <v>2.4</v>
      </c>
      <c r="X1420" s="423" t="s">
        <v>1041</v>
      </c>
      <c r="Y1420" s="423" t="s">
        <v>1041</v>
      </c>
      <c r="Z1420" s="423" t="s">
        <v>1174</v>
      </c>
      <c r="AD1420" s="423">
        <f>IF(ISNUMBER(MATCH(B1420,'FICHA SOLIC'!$AB$26:$AB$376,0)),1,0)</f>
        <v>1</v>
      </c>
      <c r="AE1420" s="423" t="str">
        <f t="shared" si="22"/>
        <v>San JoaquínZ-2A</v>
      </c>
    </row>
    <row r="1421" spans="1:31" x14ac:dyDescent="0.25">
      <c r="A1421" s="423">
        <v>1420</v>
      </c>
      <c r="B1421" s="423" t="s">
        <v>431</v>
      </c>
      <c r="C1421" s="423" t="s">
        <v>1136</v>
      </c>
      <c r="D1421" s="425" t="s">
        <v>990</v>
      </c>
      <c r="E1421" s="425" t="s">
        <v>991</v>
      </c>
      <c r="F1421" s="425" t="s">
        <v>992</v>
      </c>
      <c r="G1421" s="425" t="s">
        <v>1054</v>
      </c>
      <c r="H1421" s="426" t="s">
        <v>699</v>
      </c>
      <c r="I1421" s="425" t="s">
        <v>1055</v>
      </c>
      <c r="J1421" s="425" t="s">
        <v>697</v>
      </c>
      <c r="K1421" s="425" t="s">
        <v>995</v>
      </c>
      <c r="L1421" s="425" t="s">
        <v>996</v>
      </c>
      <c r="M1421" s="425" t="s">
        <v>997</v>
      </c>
      <c r="N1421" s="425" t="s">
        <v>558</v>
      </c>
      <c r="O1421" s="425" t="s">
        <v>998</v>
      </c>
      <c r="P1421" s="425" t="s">
        <v>999</v>
      </c>
      <c r="Q1421" s="425" t="s">
        <v>1000</v>
      </c>
      <c r="R1421" s="425" t="s">
        <v>1001</v>
      </c>
      <c r="S1421" s="425" t="s">
        <v>1002</v>
      </c>
      <c r="T1421" s="423">
        <v>600</v>
      </c>
      <c r="U1421" s="423" t="s">
        <v>1041</v>
      </c>
      <c r="V1421" s="423">
        <v>60</v>
      </c>
      <c r="W1421" s="423">
        <v>2</v>
      </c>
      <c r="X1421" s="423" t="s">
        <v>1041</v>
      </c>
      <c r="Y1421" s="423" t="s">
        <v>1041</v>
      </c>
      <c r="Z1421" s="423" t="s">
        <v>1171</v>
      </c>
      <c r="AD1421" s="423">
        <f>IF(ISNUMBER(MATCH(B1421,'FICHA SOLIC'!$AB$26:$AB$376,0)),1,0)</f>
        <v>1</v>
      </c>
      <c r="AE1421" s="423" t="str">
        <f t="shared" si="22"/>
        <v>San JoaquínZ-2B</v>
      </c>
    </row>
    <row r="1422" spans="1:31" x14ac:dyDescent="0.25">
      <c r="A1422" s="423">
        <v>1421</v>
      </c>
      <c r="B1422" s="423" t="s">
        <v>431</v>
      </c>
      <c r="C1422" s="423" t="s">
        <v>1137</v>
      </c>
      <c r="D1422" s="425" t="s">
        <v>990</v>
      </c>
      <c r="E1422" s="425" t="s">
        <v>991</v>
      </c>
      <c r="F1422" s="425" t="s">
        <v>992</v>
      </c>
      <c r="G1422" s="425" t="s">
        <v>1054</v>
      </c>
      <c r="H1422" s="426" t="s">
        <v>699</v>
      </c>
      <c r="I1422" s="425" t="s">
        <v>1055</v>
      </c>
      <c r="J1422" s="425" t="s">
        <v>697</v>
      </c>
      <c r="K1422" s="425" t="s">
        <v>995</v>
      </c>
      <c r="L1422" s="425" t="s">
        <v>996</v>
      </c>
      <c r="M1422" s="425" t="s">
        <v>997</v>
      </c>
      <c r="N1422" s="425" t="s">
        <v>558</v>
      </c>
      <c r="O1422" s="425" t="s">
        <v>998</v>
      </c>
      <c r="P1422" s="425" t="s">
        <v>999</v>
      </c>
      <c r="Q1422" s="425" t="s">
        <v>1000</v>
      </c>
      <c r="R1422" s="425" t="s">
        <v>1001</v>
      </c>
      <c r="S1422" s="425" t="s">
        <v>1002</v>
      </c>
      <c r="T1422" s="423">
        <v>160</v>
      </c>
      <c r="U1422" s="423" t="s">
        <v>1041</v>
      </c>
      <c r="V1422" s="423">
        <v>70</v>
      </c>
      <c r="W1422" s="423">
        <v>2.1</v>
      </c>
      <c r="X1422" s="423" t="s">
        <v>1041</v>
      </c>
      <c r="Y1422" s="423" t="s">
        <v>1041</v>
      </c>
      <c r="Z1422" s="423" t="s">
        <v>1171</v>
      </c>
      <c r="AD1422" s="423">
        <f>IF(ISNUMBER(MATCH(B1422,'FICHA SOLIC'!$AB$26:$AB$376,0)),1,0)</f>
        <v>1</v>
      </c>
      <c r="AE1422" s="423" t="str">
        <f t="shared" si="22"/>
        <v>San JoaquínZ-3</v>
      </c>
    </row>
    <row r="1423" spans="1:31" x14ac:dyDescent="0.25">
      <c r="A1423" s="423">
        <v>1422</v>
      </c>
      <c r="B1423" s="423" t="s">
        <v>431</v>
      </c>
      <c r="C1423" s="423" t="s">
        <v>1138</v>
      </c>
      <c r="D1423" s="425" t="s">
        <v>990</v>
      </c>
      <c r="E1423" s="425" t="s">
        <v>991</v>
      </c>
      <c r="F1423" s="425" t="s">
        <v>992</v>
      </c>
      <c r="G1423" s="425" t="s">
        <v>1054</v>
      </c>
      <c r="H1423" s="426" t="s">
        <v>699</v>
      </c>
      <c r="I1423" s="425" t="s">
        <v>1055</v>
      </c>
      <c r="J1423" s="425" t="s">
        <v>697</v>
      </c>
      <c r="K1423" s="425" t="s">
        <v>995</v>
      </c>
      <c r="L1423" s="425" t="s">
        <v>996</v>
      </c>
      <c r="M1423" s="425" t="s">
        <v>997</v>
      </c>
      <c r="N1423" s="425" t="s">
        <v>558</v>
      </c>
      <c r="O1423" s="425" t="s">
        <v>998</v>
      </c>
      <c r="P1423" s="425" t="s">
        <v>999</v>
      </c>
      <c r="Q1423" s="425" t="s">
        <v>1000</v>
      </c>
      <c r="R1423" s="425" t="s">
        <v>1001</v>
      </c>
      <c r="S1423" s="425" t="s">
        <v>1002</v>
      </c>
      <c r="T1423" s="423">
        <v>128</v>
      </c>
      <c r="U1423" s="423" t="s">
        <v>1041</v>
      </c>
      <c r="V1423" s="423">
        <v>84</v>
      </c>
      <c r="W1423" s="423">
        <v>2.4</v>
      </c>
      <c r="X1423" s="423" t="s">
        <v>1041</v>
      </c>
      <c r="Y1423" s="423" t="s">
        <v>1041</v>
      </c>
      <c r="Z1423" s="423" t="s">
        <v>1171</v>
      </c>
      <c r="AD1423" s="423">
        <f>IF(ISNUMBER(MATCH(B1423,'FICHA SOLIC'!$AB$26:$AB$376,0)),1,0)</f>
        <v>1</v>
      </c>
      <c r="AE1423" s="423" t="str">
        <f t="shared" si="22"/>
        <v>San JoaquínZ-3A</v>
      </c>
    </row>
    <row r="1424" spans="1:31" x14ac:dyDescent="0.25">
      <c r="A1424" s="423">
        <v>1423</v>
      </c>
      <c r="B1424" s="423" t="s">
        <v>431</v>
      </c>
      <c r="C1424" s="423" t="s">
        <v>1140</v>
      </c>
      <c r="D1424" s="425" t="s">
        <v>990</v>
      </c>
      <c r="E1424" s="425" t="s">
        <v>991</v>
      </c>
      <c r="F1424" s="425" t="s">
        <v>992</v>
      </c>
      <c r="G1424" s="425" t="s">
        <v>1054</v>
      </c>
      <c r="H1424" s="426" t="s">
        <v>699</v>
      </c>
      <c r="I1424" s="425" t="s">
        <v>1055</v>
      </c>
      <c r="J1424" s="425" t="s">
        <v>697</v>
      </c>
      <c r="K1424" s="425" t="s">
        <v>995</v>
      </c>
      <c r="L1424" s="425" t="s">
        <v>996</v>
      </c>
      <c r="M1424" s="425" t="s">
        <v>997</v>
      </c>
      <c r="N1424" s="425" t="s">
        <v>558</v>
      </c>
      <c r="O1424" s="425" t="s">
        <v>998</v>
      </c>
      <c r="P1424" s="425" t="s">
        <v>999</v>
      </c>
      <c r="Q1424" s="425" t="s">
        <v>1000</v>
      </c>
      <c r="R1424" s="425" t="s">
        <v>1001</v>
      </c>
      <c r="S1424" s="425" t="s">
        <v>1002</v>
      </c>
      <c r="T1424" s="423">
        <v>160</v>
      </c>
      <c r="U1424" s="423" t="s">
        <v>1041</v>
      </c>
      <c r="V1424" s="423">
        <v>60</v>
      </c>
      <c r="W1424" s="423">
        <v>2.4</v>
      </c>
      <c r="X1424" s="423" t="s">
        <v>1041</v>
      </c>
      <c r="Y1424" s="423" t="s">
        <v>1041</v>
      </c>
      <c r="Z1424" s="423" t="s">
        <v>1171</v>
      </c>
      <c r="AD1424" s="423">
        <f>IF(ISNUMBER(MATCH(B1424,'FICHA SOLIC'!$AB$26:$AB$376,0)),1,0)</f>
        <v>1</v>
      </c>
      <c r="AE1424" s="423" t="str">
        <f t="shared" si="22"/>
        <v>San JoaquínZ-4</v>
      </c>
    </row>
    <row r="1425" spans="1:31" x14ac:dyDescent="0.25">
      <c r="A1425" s="423">
        <v>1424</v>
      </c>
      <c r="B1425" s="423" t="s">
        <v>431</v>
      </c>
      <c r="C1425" s="423" t="s">
        <v>1144</v>
      </c>
      <c r="D1425" s="425" t="s">
        <v>990</v>
      </c>
      <c r="E1425" s="425" t="s">
        <v>991</v>
      </c>
      <c r="F1425" s="425" t="s">
        <v>992</v>
      </c>
      <c r="G1425" s="425" t="s">
        <v>1054</v>
      </c>
      <c r="H1425" s="426" t="s">
        <v>699</v>
      </c>
      <c r="I1425" s="425" t="s">
        <v>1055</v>
      </c>
      <c r="J1425" s="425" t="s">
        <v>697</v>
      </c>
      <c r="K1425" s="425" t="s">
        <v>995</v>
      </c>
      <c r="L1425" s="425" t="s">
        <v>996</v>
      </c>
      <c r="M1425" s="425" t="s">
        <v>997</v>
      </c>
      <c r="N1425" s="425" t="s">
        <v>558</v>
      </c>
      <c r="O1425" s="425" t="s">
        <v>998</v>
      </c>
      <c r="P1425" s="425" t="s">
        <v>999</v>
      </c>
      <c r="Q1425" s="425" t="s">
        <v>1000</v>
      </c>
      <c r="R1425" s="425" t="s">
        <v>1001</v>
      </c>
      <c r="S1425" s="425" t="s">
        <v>1002</v>
      </c>
      <c r="T1425" s="423">
        <v>160</v>
      </c>
      <c r="U1425" s="423" t="s">
        <v>1041</v>
      </c>
      <c r="V1425" s="423">
        <v>60</v>
      </c>
      <c r="W1425" s="423">
        <v>1.2</v>
      </c>
      <c r="X1425" s="423" t="s">
        <v>1041</v>
      </c>
      <c r="Y1425" s="423" t="s">
        <v>1041</v>
      </c>
      <c r="Z1425" s="423" t="s">
        <v>1171</v>
      </c>
      <c r="AD1425" s="423">
        <f>IF(ISNUMBER(MATCH(B1425,'FICHA SOLIC'!$AB$26:$AB$376,0)),1,0)</f>
        <v>1</v>
      </c>
      <c r="AE1425" s="423" t="str">
        <f t="shared" si="22"/>
        <v>San JoaquínZ-5</v>
      </c>
    </row>
    <row r="1426" spans="1:31" x14ac:dyDescent="0.25">
      <c r="A1426" s="423">
        <v>1425</v>
      </c>
      <c r="B1426" s="423" t="s">
        <v>431</v>
      </c>
      <c r="C1426" s="423" t="s">
        <v>1348</v>
      </c>
      <c r="D1426" s="425" t="s">
        <v>990</v>
      </c>
      <c r="E1426" s="425" t="s">
        <v>991</v>
      </c>
      <c r="F1426" s="425" t="s">
        <v>992</v>
      </c>
      <c r="G1426" s="425" t="s">
        <v>1054</v>
      </c>
      <c r="H1426" s="426" t="s">
        <v>699</v>
      </c>
      <c r="I1426" s="425" t="s">
        <v>1055</v>
      </c>
      <c r="J1426" s="425" t="s">
        <v>697</v>
      </c>
      <c r="K1426" s="425" t="s">
        <v>995</v>
      </c>
      <c r="L1426" s="425" t="s">
        <v>996</v>
      </c>
      <c r="M1426" s="425" t="s">
        <v>997</v>
      </c>
      <c r="N1426" s="425" t="s">
        <v>558</v>
      </c>
      <c r="O1426" s="425" t="s">
        <v>998</v>
      </c>
      <c r="P1426" s="425" t="s">
        <v>999</v>
      </c>
      <c r="Q1426" s="425" t="s">
        <v>1000</v>
      </c>
      <c r="R1426" s="425" t="s">
        <v>1001</v>
      </c>
      <c r="S1426" s="425" t="s">
        <v>1002</v>
      </c>
      <c r="T1426" s="423">
        <v>128</v>
      </c>
      <c r="U1426" s="423" t="s">
        <v>1041</v>
      </c>
      <c r="V1426" s="423">
        <v>60</v>
      </c>
      <c r="W1426" s="423">
        <v>3</v>
      </c>
      <c r="X1426" s="423" t="s">
        <v>1041</v>
      </c>
      <c r="Y1426" s="423" t="s">
        <v>1041</v>
      </c>
      <c r="Z1426" s="423" t="s">
        <v>1171</v>
      </c>
      <c r="AD1426" s="423">
        <f>IF(ISNUMBER(MATCH(B1426,'FICHA SOLIC'!$AB$26:$AB$376,0)),1,0)</f>
        <v>1</v>
      </c>
      <c r="AE1426" s="423" t="str">
        <f t="shared" si="22"/>
        <v>San JoaquínZ-5A</v>
      </c>
    </row>
    <row r="1427" spans="1:31" x14ac:dyDescent="0.25">
      <c r="A1427" s="423">
        <v>1426</v>
      </c>
      <c r="B1427" s="423" t="s">
        <v>431</v>
      </c>
      <c r="C1427" s="423" t="s">
        <v>1145</v>
      </c>
      <c r="D1427" s="425" t="s">
        <v>990</v>
      </c>
      <c r="E1427" s="425" t="s">
        <v>991</v>
      </c>
      <c r="F1427" s="425" t="s">
        <v>992</v>
      </c>
      <c r="G1427" s="425" t="s">
        <v>1054</v>
      </c>
      <c r="H1427" s="426" t="s">
        <v>699</v>
      </c>
      <c r="I1427" s="425" t="s">
        <v>1055</v>
      </c>
      <c r="J1427" s="425" t="s">
        <v>697</v>
      </c>
      <c r="K1427" s="425" t="s">
        <v>995</v>
      </c>
      <c r="L1427" s="425" t="s">
        <v>996</v>
      </c>
      <c r="M1427" s="425" t="s">
        <v>997</v>
      </c>
      <c r="N1427" s="425" t="s">
        <v>558</v>
      </c>
      <c r="O1427" s="425" t="s">
        <v>998</v>
      </c>
      <c r="P1427" s="425" t="s">
        <v>999</v>
      </c>
      <c r="Q1427" s="425" t="s">
        <v>1000</v>
      </c>
      <c r="R1427" s="425" t="s">
        <v>1001</v>
      </c>
      <c r="S1427" s="425" t="s">
        <v>1002</v>
      </c>
      <c r="T1427" s="423">
        <v>600</v>
      </c>
      <c r="U1427" s="423" t="s">
        <v>1041</v>
      </c>
      <c r="V1427" s="423">
        <v>70</v>
      </c>
      <c r="W1427" s="423">
        <v>2</v>
      </c>
      <c r="X1427" s="423" t="s">
        <v>1041</v>
      </c>
      <c r="Y1427" s="423" t="s">
        <v>1041</v>
      </c>
      <c r="Z1427" s="423" t="s">
        <v>1171</v>
      </c>
      <c r="AD1427" s="423">
        <f>IF(ISNUMBER(MATCH(B1427,'FICHA SOLIC'!$AB$26:$AB$376,0)),1,0)</f>
        <v>1</v>
      </c>
      <c r="AE1427" s="423" t="str">
        <f t="shared" si="22"/>
        <v>San JoaquínZ-6</v>
      </c>
    </row>
    <row r="1428" spans="1:31" x14ac:dyDescent="0.25">
      <c r="A1428" s="423">
        <v>1427</v>
      </c>
      <c r="B1428" s="423" t="s">
        <v>431</v>
      </c>
      <c r="C1428" s="423" t="s">
        <v>1349</v>
      </c>
      <c r="D1428" s="425" t="s">
        <v>990</v>
      </c>
      <c r="E1428" s="425" t="s">
        <v>991</v>
      </c>
      <c r="F1428" s="425" t="s">
        <v>992</v>
      </c>
      <c r="G1428" s="425" t="s">
        <v>1054</v>
      </c>
      <c r="H1428" s="426" t="s">
        <v>699</v>
      </c>
      <c r="I1428" s="425" t="s">
        <v>1055</v>
      </c>
      <c r="J1428" s="425" t="s">
        <v>697</v>
      </c>
      <c r="K1428" s="425" t="s">
        <v>995</v>
      </c>
      <c r="L1428" s="425" t="s">
        <v>996</v>
      </c>
      <c r="M1428" s="425" t="s">
        <v>997</v>
      </c>
      <c r="N1428" s="425" t="s">
        <v>558</v>
      </c>
      <c r="O1428" s="425" t="s">
        <v>998</v>
      </c>
      <c r="P1428" s="425" t="s">
        <v>999</v>
      </c>
      <c r="Q1428" s="425" t="s">
        <v>1000</v>
      </c>
      <c r="R1428" s="425" t="s">
        <v>1001</v>
      </c>
      <c r="S1428" s="425" t="s">
        <v>1002</v>
      </c>
      <c r="T1428" s="423">
        <v>300</v>
      </c>
      <c r="U1428" s="423" t="s">
        <v>1041</v>
      </c>
      <c r="V1428" s="423">
        <v>50</v>
      </c>
      <c r="W1428" s="423">
        <v>2</v>
      </c>
      <c r="X1428" s="423" t="s">
        <v>1041</v>
      </c>
      <c r="Y1428" s="423" t="s">
        <v>1041</v>
      </c>
      <c r="Z1428" s="423" t="s">
        <v>1171</v>
      </c>
      <c r="AD1428" s="423">
        <f>IF(ISNUMBER(MATCH(B1428,'FICHA SOLIC'!$AB$26:$AB$376,0)),1,0)</f>
        <v>1</v>
      </c>
      <c r="AE1428" s="423" t="str">
        <f t="shared" si="22"/>
        <v>San JoaquínZ-7</v>
      </c>
    </row>
    <row r="1429" spans="1:31" x14ac:dyDescent="0.25">
      <c r="A1429" s="423">
        <v>1428</v>
      </c>
      <c r="B1429" s="423" t="s">
        <v>431</v>
      </c>
      <c r="C1429" s="423" t="s">
        <v>1146</v>
      </c>
      <c r="D1429" s="425" t="s">
        <v>990</v>
      </c>
      <c r="E1429" s="425" t="s">
        <v>991</v>
      </c>
      <c r="F1429" s="425" t="s">
        <v>992</v>
      </c>
      <c r="G1429" s="425" t="s">
        <v>1054</v>
      </c>
      <c r="H1429" s="426" t="s">
        <v>699</v>
      </c>
      <c r="I1429" s="425" t="s">
        <v>1055</v>
      </c>
      <c r="J1429" s="425" t="s">
        <v>697</v>
      </c>
      <c r="K1429" s="425" t="s">
        <v>995</v>
      </c>
      <c r="L1429" s="425" t="s">
        <v>996</v>
      </c>
      <c r="M1429" s="425" t="s">
        <v>997</v>
      </c>
      <c r="N1429" s="425" t="s">
        <v>558</v>
      </c>
      <c r="O1429" s="425" t="s">
        <v>998</v>
      </c>
      <c r="P1429" s="425" t="s">
        <v>999</v>
      </c>
      <c r="Q1429" s="425" t="s">
        <v>1000</v>
      </c>
      <c r="R1429" s="425" t="s">
        <v>1001</v>
      </c>
      <c r="S1429" s="425" t="s">
        <v>1002</v>
      </c>
      <c r="T1429" s="423">
        <v>350</v>
      </c>
      <c r="U1429" s="423" t="s">
        <v>1041</v>
      </c>
      <c r="V1429" s="423">
        <v>40</v>
      </c>
      <c r="W1429" s="423">
        <v>1.2</v>
      </c>
      <c r="X1429" s="423" t="s">
        <v>1041</v>
      </c>
      <c r="Y1429" s="423" t="s">
        <v>1041</v>
      </c>
      <c r="Z1429" s="423" t="s">
        <v>1171</v>
      </c>
      <c r="AD1429" s="423">
        <f>IF(ISNUMBER(MATCH(B1429,'FICHA SOLIC'!$AB$26:$AB$376,0)),1,0)</f>
        <v>1</v>
      </c>
      <c r="AE1429" s="423" t="str">
        <f t="shared" si="22"/>
        <v>San JoaquínZ-8</v>
      </c>
    </row>
    <row r="1430" spans="1:31" x14ac:dyDescent="0.25">
      <c r="A1430" s="423">
        <v>1429</v>
      </c>
      <c r="B1430" s="423" t="s">
        <v>431</v>
      </c>
      <c r="C1430" s="423" t="s">
        <v>1147</v>
      </c>
      <c r="D1430" s="425" t="s">
        <v>990</v>
      </c>
      <c r="E1430" s="425" t="s">
        <v>991</v>
      </c>
      <c r="F1430" s="425" t="s">
        <v>992</v>
      </c>
      <c r="G1430" s="425" t="s">
        <v>1054</v>
      </c>
      <c r="H1430" s="426" t="s">
        <v>699</v>
      </c>
      <c r="I1430" s="425" t="s">
        <v>1055</v>
      </c>
      <c r="J1430" s="425" t="s">
        <v>697</v>
      </c>
      <c r="K1430" s="425" t="s">
        <v>995</v>
      </c>
      <c r="L1430" s="425" t="s">
        <v>996</v>
      </c>
      <c r="M1430" s="425" t="s">
        <v>997</v>
      </c>
      <c r="N1430" s="425" t="s">
        <v>558</v>
      </c>
      <c r="O1430" s="425" t="s">
        <v>998</v>
      </c>
      <c r="P1430" s="425" t="s">
        <v>999</v>
      </c>
      <c r="Q1430" s="425" t="s">
        <v>1000</v>
      </c>
      <c r="R1430" s="425" t="s">
        <v>1001</v>
      </c>
      <c r="S1430" s="425" t="s">
        <v>1002</v>
      </c>
      <c r="T1430" s="423">
        <v>500</v>
      </c>
      <c r="U1430" s="423" t="s">
        <v>1041</v>
      </c>
      <c r="V1430" s="423">
        <v>60</v>
      </c>
      <c r="W1430" s="423">
        <v>2</v>
      </c>
      <c r="X1430" s="423" t="s">
        <v>1041</v>
      </c>
      <c r="Y1430" s="423" t="s">
        <v>1041</v>
      </c>
      <c r="Z1430" s="423" t="s">
        <v>1171</v>
      </c>
      <c r="AD1430" s="423">
        <f>IF(ISNUMBER(MATCH(B1430,'FICHA SOLIC'!$AB$26:$AB$376,0)),1,0)</f>
        <v>1</v>
      </c>
      <c r="AE1430" s="423" t="str">
        <f t="shared" si="22"/>
        <v>San JoaquínZ-8A</v>
      </c>
    </row>
    <row r="1431" spans="1:31" x14ac:dyDescent="0.25">
      <c r="A1431" s="423">
        <v>1430</v>
      </c>
      <c r="B1431" s="423" t="s">
        <v>431</v>
      </c>
      <c r="C1431" s="423" t="s">
        <v>1350</v>
      </c>
      <c r="D1431" s="425" t="s">
        <v>990</v>
      </c>
      <c r="E1431" s="425" t="s">
        <v>991</v>
      </c>
      <c r="F1431" s="425" t="s">
        <v>992</v>
      </c>
      <c r="G1431" s="425" t="s">
        <v>1054</v>
      </c>
      <c r="H1431" s="426" t="s">
        <v>699</v>
      </c>
      <c r="I1431" s="425" t="s">
        <v>1055</v>
      </c>
      <c r="J1431" s="425" t="s">
        <v>697</v>
      </c>
      <c r="K1431" s="425" t="s">
        <v>995</v>
      </c>
      <c r="L1431" s="425" t="s">
        <v>996</v>
      </c>
      <c r="M1431" s="425" t="s">
        <v>997</v>
      </c>
      <c r="N1431" s="425" t="s">
        <v>558</v>
      </c>
      <c r="O1431" s="425" t="s">
        <v>998</v>
      </c>
      <c r="P1431" s="425" t="s">
        <v>999</v>
      </c>
      <c r="Q1431" s="425" t="s">
        <v>1000</v>
      </c>
      <c r="R1431" s="425" t="s">
        <v>1001</v>
      </c>
      <c r="S1431" s="425" t="s">
        <v>1002</v>
      </c>
      <c r="T1431" s="423">
        <v>200</v>
      </c>
      <c r="U1431" s="423" t="s">
        <v>1041</v>
      </c>
      <c r="V1431" s="423">
        <v>70</v>
      </c>
      <c r="W1431" s="423">
        <v>2.1</v>
      </c>
      <c r="X1431" s="423" t="s">
        <v>1041</v>
      </c>
      <c r="Y1431" s="423" t="s">
        <v>1041</v>
      </c>
      <c r="Z1431" s="423" t="s">
        <v>1174</v>
      </c>
      <c r="AD1431" s="423">
        <f>IF(ISNUMBER(MATCH(B1431,'FICHA SOLIC'!$AB$26:$AB$376,0)),1,0)</f>
        <v>1</v>
      </c>
      <c r="AE1431" s="423" t="str">
        <f t="shared" si="22"/>
        <v>San JoaquínZ-9</v>
      </c>
    </row>
    <row r="1432" spans="1:31" x14ac:dyDescent="0.25">
      <c r="A1432" s="423">
        <v>1431</v>
      </c>
      <c r="B1432" s="423" t="s">
        <v>437</v>
      </c>
      <c r="C1432" s="423" t="s">
        <v>1690</v>
      </c>
      <c r="D1432" s="425" t="s">
        <v>990</v>
      </c>
      <c r="E1432" s="425" t="s">
        <v>991</v>
      </c>
      <c r="F1432" s="425" t="s">
        <v>992</v>
      </c>
      <c r="G1432" s="425" t="s">
        <v>1054</v>
      </c>
      <c r="H1432" s="426" t="s">
        <v>699</v>
      </c>
      <c r="I1432" s="425" t="s">
        <v>1055</v>
      </c>
      <c r="J1432" s="425" t="s">
        <v>697</v>
      </c>
      <c r="K1432" s="425" t="s">
        <v>995</v>
      </c>
      <c r="L1432" s="425" t="s">
        <v>996</v>
      </c>
      <c r="M1432" s="425" t="s">
        <v>997</v>
      </c>
      <c r="N1432" s="425" t="s">
        <v>558</v>
      </c>
      <c r="O1432" s="425" t="s">
        <v>998</v>
      </c>
      <c r="P1432" s="425" t="s">
        <v>999</v>
      </c>
      <c r="Q1432" s="425" t="s">
        <v>1000</v>
      </c>
      <c r="R1432" s="425" t="s">
        <v>1001</v>
      </c>
      <c r="S1432" s="425" t="s">
        <v>1002</v>
      </c>
      <c r="T1432" s="423" t="s">
        <v>1612</v>
      </c>
      <c r="U1432" s="423" t="s">
        <v>1041</v>
      </c>
      <c r="V1432" s="423" t="s">
        <v>1041</v>
      </c>
      <c r="W1432" s="423" t="s">
        <v>1041</v>
      </c>
      <c r="X1432" s="423" t="s">
        <v>1041</v>
      </c>
      <c r="Y1432" s="423" t="s">
        <v>1041</v>
      </c>
      <c r="Z1432" s="423" t="s">
        <v>1041</v>
      </c>
      <c r="AD1432" s="423">
        <f>IF(ISNUMBER(MATCH(B1432,'FICHA SOLIC'!$AB$26:$AB$376,0)),1,0)</f>
        <v>1</v>
      </c>
      <c r="AE1432" s="423" t="str">
        <f t="shared" si="22"/>
        <v>San José de MaipoAR1</v>
      </c>
    </row>
    <row r="1433" spans="1:31" x14ac:dyDescent="0.25">
      <c r="A1433" s="423">
        <v>1432</v>
      </c>
      <c r="B1433" s="423" t="s">
        <v>437</v>
      </c>
      <c r="C1433" s="423" t="s">
        <v>1691</v>
      </c>
      <c r="D1433" s="425" t="s">
        <v>990</v>
      </c>
      <c r="E1433" s="425" t="s">
        <v>991</v>
      </c>
      <c r="F1433" s="425" t="s">
        <v>992</v>
      </c>
      <c r="G1433" s="425" t="s">
        <v>1054</v>
      </c>
      <c r="H1433" s="426" t="s">
        <v>699</v>
      </c>
      <c r="I1433" s="425" t="s">
        <v>1055</v>
      </c>
      <c r="J1433" s="425" t="s">
        <v>697</v>
      </c>
      <c r="K1433" s="425" t="s">
        <v>995</v>
      </c>
      <c r="L1433" s="425" t="s">
        <v>996</v>
      </c>
      <c r="M1433" s="425" t="s">
        <v>997</v>
      </c>
      <c r="N1433" s="425" t="s">
        <v>558</v>
      </c>
      <c r="O1433" s="425" t="s">
        <v>998</v>
      </c>
      <c r="P1433" s="425" t="s">
        <v>999</v>
      </c>
      <c r="Q1433" s="425" t="s">
        <v>1000</v>
      </c>
      <c r="R1433" s="425" t="s">
        <v>1001</v>
      </c>
      <c r="S1433" s="425" t="s">
        <v>1002</v>
      </c>
      <c r="T1433" s="423" t="s">
        <v>1739</v>
      </c>
      <c r="U1433" s="423" t="s">
        <v>1041</v>
      </c>
      <c r="V1433" s="423" t="s">
        <v>1041</v>
      </c>
      <c r="W1433" s="423" t="s">
        <v>1041</v>
      </c>
      <c r="X1433" s="423" t="s">
        <v>1041</v>
      </c>
      <c r="Y1433" s="423" t="s">
        <v>1041</v>
      </c>
      <c r="Z1433" s="423" t="s">
        <v>1041</v>
      </c>
      <c r="AD1433" s="423">
        <f>IF(ISNUMBER(MATCH(B1433,'FICHA SOLIC'!$AB$26:$AB$376,0)),1,0)</f>
        <v>1</v>
      </c>
      <c r="AE1433" s="423" t="str">
        <f t="shared" si="22"/>
        <v>San José de MaipoAR2</v>
      </c>
    </row>
    <row r="1434" spans="1:31" x14ac:dyDescent="0.25">
      <c r="A1434" s="423">
        <v>1433</v>
      </c>
      <c r="B1434" s="423" t="s">
        <v>437</v>
      </c>
      <c r="C1434" s="423" t="s">
        <v>1692</v>
      </c>
      <c r="D1434" s="425" t="s">
        <v>990</v>
      </c>
      <c r="E1434" s="425" t="s">
        <v>991</v>
      </c>
      <c r="F1434" s="425" t="s">
        <v>992</v>
      </c>
      <c r="G1434" s="425" t="s">
        <v>1054</v>
      </c>
      <c r="H1434" s="426" t="s">
        <v>699</v>
      </c>
      <c r="I1434" s="425" t="s">
        <v>1055</v>
      </c>
      <c r="J1434" s="425" t="s">
        <v>697</v>
      </c>
      <c r="K1434" s="425" t="s">
        <v>995</v>
      </c>
      <c r="L1434" s="425" t="s">
        <v>996</v>
      </c>
      <c r="M1434" s="425" t="s">
        <v>997</v>
      </c>
      <c r="N1434" s="425" t="s">
        <v>558</v>
      </c>
      <c r="O1434" s="425" t="s">
        <v>998</v>
      </c>
      <c r="P1434" s="425" t="s">
        <v>999</v>
      </c>
      <c r="Q1434" s="425" t="s">
        <v>1000</v>
      </c>
      <c r="R1434" s="425" t="s">
        <v>1001</v>
      </c>
      <c r="S1434" s="425" t="s">
        <v>1002</v>
      </c>
      <c r="T1434" s="423" t="s">
        <v>1740</v>
      </c>
      <c r="U1434" s="423" t="s">
        <v>1041</v>
      </c>
      <c r="V1434" s="423" t="s">
        <v>1041</v>
      </c>
      <c r="W1434" s="423" t="s">
        <v>1041</v>
      </c>
      <c r="X1434" s="423" t="s">
        <v>1041</v>
      </c>
      <c r="Y1434" s="423" t="s">
        <v>1041</v>
      </c>
      <c r="Z1434" s="423" t="s">
        <v>1041</v>
      </c>
      <c r="AD1434" s="423">
        <f>IF(ISNUMBER(MATCH(B1434,'FICHA SOLIC'!$AB$26:$AB$376,0)),1,0)</f>
        <v>1</v>
      </c>
      <c r="AE1434" s="423" t="str">
        <f t="shared" si="22"/>
        <v>San José de MaipoAR3</v>
      </c>
    </row>
    <row r="1435" spans="1:31" x14ac:dyDescent="0.25">
      <c r="A1435" s="423">
        <v>1434</v>
      </c>
      <c r="B1435" s="423" t="s">
        <v>437</v>
      </c>
      <c r="C1435" s="423" t="s">
        <v>1693</v>
      </c>
      <c r="D1435" s="425" t="s">
        <v>990</v>
      </c>
      <c r="E1435" s="425" t="s">
        <v>991</v>
      </c>
      <c r="F1435" s="425" t="s">
        <v>992</v>
      </c>
      <c r="G1435" s="425" t="s">
        <v>1054</v>
      </c>
      <c r="H1435" s="426" t="s">
        <v>699</v>
      </c>
      <c r="I1435" s="425" t="s">
        <v>1055</v>
      </c>
      <c r="J1435" s="425" t="s">
        <v>697</v>
      </c>
      <c r="K1435" s="425" t="s">
        <v>995</v>
      </c>
      <c r="L1435" s="425" t="s">
        <v>996</v>
      </c>
      <c r="M1435" s="425" t="s">
        <v>997</v>
      </c>
      <c r="N1435" s="425" t="s">
        <v>558</v>
      </c>
      <c r="O1435" s="425" t="s">
        <v>998</v>
      </c>
      <c r="P1435" s="425" t="s">
        <v>999</v>
      </c>
      <c r="Q1435" s="425" t="s">
        <v>1000</v>
      </c>
      <c r="R1435" s="425" t="s">
        <v>1001</v>
      </c>
      <c r="S1435" s="425" t="s">
        <v>1002</v>
      </c>
      <c r="T1435" s="423" t="s">
        <v>1741</v>
      </c>
      <c r="U1435" s="423" t="s">
        <v>1041</v>
      </c>
      <c r="V1435" s="423" t="s">
        <v>1041</v>
      </c>
      <c r="W1435" s="423" t="s">
        <v>1041</v>
      </c>
      <c r="X1435" s="423" t="s">
        <v>1041</v>
      </c>
      <c r="Y1435" s="423" t="s">
        <v>1041</v>
      </c>
      <c r="Z1435" s="423" t="s">
        <v>1041</v>
      </c>
      <c r="AD1435" s="423">
        <f>IF(ISNUMBER(MATCH(B1435,'FICHA SOLIC'!$AB$26:$AB$376,0)),1,0)</f>
        <v>1</v>
      </c>
      <c r="AE1435" s="423" t="str">
        <f t="shared" si="22"/>
        <v>San José de MaipoAR4</v>
      </c>
    </row>
    <row r="1436" spans="1:31" x14ac:dyDescent="0.25">
      <c r="A1436" s="423">
        <v>1435</v>
      </c>
      <c r="B1436" s="423" t="s">
        <v>437</v>
      </c>
      <c r="C1436" s="423" t="s">
        <v>1735</v>
      </c>
      <c r="D1436" s="425" t="s">
        <v>990</v>
      </c>
      <c r="E1436" s="425" t="s">
        <v>991</v>
      </c>
      <c r="F1436" s="425" t="s">
        <v>992</v>
      </c>
      <c r="G1436" s="425" t="s">
        <v>1054</v>
      </c>
      <c r="H1436" s="426" t="s">
        <v>699</v>
      </c>
      <c r="I1436" s="425" t="s">
        <v>1055</v>
      </c>
      <c r="J1436" s="425" t="s">
        <v>697</v>
      </c>
      <c r="K1436" s="425" t="s">
        <v>995</v>
      </c>
      <c r="L1436" s="425" t="s">
        <v>996</v>
      </c>
      <c r="M1436" s="425" t="s">
        <v>997</v>
      </c>
      <c r="N1436" s="425" t="s">
        <v>558</v>
      </c>
      <c r="O1436" s="425" t="s">
        <v>998</v>
      </c>
      <c r="P1436" s="425" t="s">
        <v>999</v>
      </c>
      <c r="Q1436" s="425" t="s">
        <v>1000</v>
      </c>
      <c r="R1436" s="425" t="s">
        <v>1001</v>
      </c>
      <c r="S1436" s="425" t="s">
        <v>1002</v>
      </c>
      <c r="T1436" s="423">
        <v>2500</v>
      </c>
      <c r="U1436" s="423" t="s">
        <v>1041</v>
      </c>
      <c r="V1436" s="423">
        <v>10</v>
      </c>
      <c r="W1436" s="423">
        <v>0.1</v>
      </c>
      <c r="X1436" s="423">
        <v>7.5</v>
      </c>
      <c r="Y1436" s="423" t="s">
        <v>1041</v>
      </c>
      <c r="Z1436" s="423" t="s">
        <v>1041</v>
      </c>
      <c r="AD1436" s="423">
        <f>IF(ISNUMBER(MATCH(B1436,'FICHA SOLIC'!$AB$26:$AB$376,0)),1,0)</f>
        <v>1</v>
      </c>
      <c r="AE1436" s="423" t="str">
        <f t="shared" si="22"/>
        <v>San José de MaipoZAP (El Canelo)</v>
      </c>
    </row>
    <row r="1437" spans="1:31" x14ac:dyDescent="0.25">
      <c r="A1437" s="423">
        <v>1436</v>
      </c>
      <c r="B1437" s="423" t="s">
        <v>437</v>
      </c>
      <c r="C1437" s="423" t="s">
        <v>1736</v>
      </c>
      <c r="D1437" s="425" t="s">
        <v>990</v>
      </c>
      <c r="E1437" s="425" t="s">
        <v>991</v>
      </c>
      <c r="F1437" s="425" t="s">
        <v>992</v>
      </c>
      <c r="G1437" s="425" t="s">
        <v>1054</v>
      </c>
      <c r="H1437" s="426" t="s">
        <v>699</v>
      </c>
      <c r="I1437" s="425" t="s">
        <v>1055</v>
      </c>
      <c r="J1437" s="425" t="s">
        <v>697</v>
      </c>
      <c r="K1437" s="425" t="s">
        <v>995</v>
      </c>
      <c r="L1437" s="425" t="s">
        <v>996</v>
      </c>
      <c r="M1437" s="425" t="s">
        <v>997</v>
      </c>
      <c r="N1437" s="425" t="s">
        <v>558</v>
      </c>
      <c r="O1437" s="425" t="s">
        <v>998</v>
      </c>
      <c r="P1437" s="425" t="s">
        <v>999</v>
      </c>
      <c r="Q1437" s="425" t="s">
        <v>1000</v>
      </c>
      <c r="R1437" s="425" t="s">
        <v>1001</v>
      </c>
      <c r="S1437" s="425" t="s">
        <v>1002</v>
      </c>
      <c r="T1437" s="423">
        <v>2500</v>
      </c>
      <c r="U1437" s="423" t="s">
        <v>1041</v>
      </c>
      <c r="V1437" s="423">
        <v>10</v>
      </c>
      <c r="W1437" s="423">
        <v>0.1</v>
      </c>
      <c r="X1437" s="423">
        <v>7.5</v>
      </c>
      <c r="Y1437" s="423" t="s">
        <v>1041</v>
      </c>
      <c r="Z1437" s="423" t="s">
        <v>1041</v>
      </c>
      <c r="AD1437" s="423">
        <f>IF(ISNUMBER(MATCH(B1437,'FICHA SOLIC'!$AB$26:$AB$376,0)),1,0)</f>
        <v>1</v>
      </c>
      <c r="AE1437" s="423" t="str">
        <f t="shared" si="22"/>
        <v>San José de MaipoZAP (El Manzano)</v>
      </c>
    </row>
    <row r="1438" spans="1:31" x14ac:dyDescent="0.25">
      <c r="A1438" s="423">
        <v>1437</v>
      </c>
      <c r="B1438" s="423" t="s">
        <v>437</v>
      </c>
      <c r="C1438" s="423" t="s">
        <v>1734</v>
      </c>
      <c r="D1438" s="425" t="s">
        <v>990</v>
      </c>
      <c r="E1438" s="425" t="s">
        <v>991</v>
      </c>
      <c r="F1438" s="425" t="s">
        <v>992</v>
      </c>
      <c r="G1438" s="425" t="s">
        <v>1054</v>
      </c>
      <c r="H1438" s="426" t="s">
        <v>699</v>
      </c>
      <c r="I1438" s="425" t="s">
        <v>1055</v>
      </c>
      <c r="J1438" s="425" t="s">
        <v>697</v>
      </c>
      <c r="K1438" s="425" t="s">
        <v>995</v>
      </c>
      <c r="L1438" s="425" t="s">
        <v>996</v>
      </c>
      <c r="M1438" s="425" t="s">
        <v>997</v>
      </c>
      <c r="N1438" s="425" t="s">
        <v>558</v>
      </c>
      <c r="O1438" s="425" t="s">
        <v>998</v>
      </c>
      <c r="P1438" s="425" t="s">
        <v>999</v>
      </c>
      <c r="Q1438" s="425" t="s">
        <v>1000</v>
      </c>
      <c r="R1438" s="425" t="s">
        <v>1001</v>
      </c>
      <c r="S1438" s="425" t="s">
        <v>1002</v>
      </c>
      <c r="T1438" s="423">
        <v>500</v>
      </c>
      <c r="U1438" s="423" t="s">
        <v>1041</v>
      </c>
      <c r="V1438" s="423">
        <v>40</v>
      </c>
      <c r="W1438" s="423">
        <v>0.5</v>
      </c>
      <c r="X1438" s="423">
        <v>7.5</v>
      </c>
      <c r="Y1438" s="423" t="s">
        <v>1041</v>
      </c>
      <c r="Z1438" s="423" t="s">
        <v>1041</v>
      </c>
      <c r="AD1438" s="423">
        <f>IF(ISNUMBER(MATCH(B1438,'FICHA SOLIC'!$AB$26:$AB$376,0)),1,0)</f>
        <v>1</v>
      </c>
      <c r="AE1438" s="423" t="str">
        <f t="shared" si="22"/>
        <v>San José de MaipoZAP (La Obra)</v>
      </c>
    </row>
    <row r="1439" spans="1:31" x14ac:dyDescent="0.25">
      <c r="A1439" s="423">
        <v>1438</v>
      </c>
      <c r="B1439" s="423" t="s">
        <v>437</v>
      </c>
      <c r="C1439" s="423" t="s">
        <v>1737</v>
      </c>
      <c r="D1439" s="425" t="s">
        <v>990</v>
      </c>
      <c r="E1439" s="425" t="s">
        <v>991</v>
      </c>
      <c r="F1439" s="425" t="s">
        <v>992</v>
      </c>
      <c r="G1439" s="425" t="s">
        <v>1054</v>
      </c>
      <c r="H1439" s="426" t="s">
        <v>699</v>
      </c>
      <c r="I1439" s="425" t="s">
        <v>1055</v>
      </c>
      <c r="J1439" s="425" t="s">
        <v>697</v>
      </c>
      <c r="K1439" s="425" t="s">
        <v>995</v>
      </c>
      <c r="L1439" s="425" t="s">
        <v>996</v>
      </c>
      <c r="M1439" s="425" t="s">
        <v>997</v>
      </c>
      <c r="N1439" s="425" t="s">
        <v>558</v>
      </c>
      <c r="O1439" s="425" t="s">
        <v>998</v>
      </c>
      <c r="P1439" s="425" t="s">
        <v>999</v>
      </c>
      <c r="Q1439" s="425" t="s">
        <v>1000</v>
      </c>
      <c r="R1439" s="425" t="s">
        <v>1001</v>
      </c>
      <c r="S1439" s="425" t="s">
        <v>1002</v>
      </c>
      <c r="T1439" s="423">
        <v>500</v>
      </c>
      <c r="U1439" s="423" t="s">
        <v>1041</v>
      </c>
      <c r="V1439" s="423">
        <v>40</v>
      </c>
      <c r="W1439" s="423">
        <v>0.5</v>
      </c>
      <c r="X1439" s="423">
        <v>7.5</v>
      </c>
      <c r="Y1439" s="423" t="s">
        <v>1041</v>
      </c>
      <c r="Z1439" s="423" t="s">
        <v>1041</v>
      </c>
      <c r="AD1439" s="423">
        <f>IF(ISNUMBER(MATCH(B1439,'FICHA SOLIC'!$AB$26:$AB$376,0)),1,0)</f>
        <v>1</v>
      </c>
      <c r="AE1439" s="423" t="str">
        <f t="shared" si="22"/>
        <v>San José de MaipoZAP (San José de Maipo)</v>
      </c>
    </row>
    <row r="1440" spans="1:31" x14ac:dyDescent="0.25">
      <c r="A1440" s="423">
        <v>1439</v>
      </c>
      <c r="B1440" s="423" t="s">
        <v>437</v>
      </c>
      <c r="C1440" s="423" t="s">
        <v>1456</v>
      </c>
      <c r="D1440" s="425" t="s">
        <v>990</v>
      </c>
      <c r="E1440" s="425" t="s">
        <v>991</v>
      </c>
      <c r="F1440" s="425" t="s">
        <v>992</v>
      </c>
      <c r="G1440" s="425" t="s">
        <v>1054</v>
      </c>
      <c r="H1440" s="426" t="s">
        <v>699</v>
      </c>
      <c r="I1440" s="425" t="s">
        <v>1055</v>
      </c>
      <c r="J1440" s="425" t="s">
        <v>697</v>
      </c>
      <c r="K1440" s="425" t="s">
        <v>995</v>
      </c>
      <c r="L1440" s="425" t="s">
        <v>996</v>
      </c>
      <c r="M1440" s="425" t="s">
        <v>997</v>
      </c>
      <c r="N1440" s="425" t="s">
        <v>558</v>
      </c>
      <c r="O1440" s="425" t="s">
        <v>998</v>
      </c>
      <c r="P1440" s="425" t="s">
        <v>999</v>
      </c>
      <c r="Q1440" s="425" t="s">
        <v>1000</v>
      </c>
      <c r="R1440" s="425" t="s">
        <v>1001</v>
      </c>
      <c r="S1440" s="425" t="s">
        <v>1002</v>
      </c>
      <c r="T1440" s="423" t="s">
        <v>1041</v>
      </c>
      <c r="U1440" s="423" t="s">
        <v>1041</v>
      </c>
      <c r="V1440" s="423">
        <v>100</v>
      </c>
      <c r="W1440" s="423">
        <v>2</v>
      </c>
      <c r="X1440" s="423" t="s">
        <v>1041</v>
      </c>
      <c r="Y1440" s="423" t="s">
        <v>1738</v>
      </c>
      <c r="Z1440" s="423" t="s">
        <v>1150</v>
      </c>
      <c r="AD1440" s="423">
        <f>IF(ISNUMBER(MATCH(B1440,'FICHA SOLIC'!$AB$26:$AB$376,0)),1,0)</f>
        <v>1</v>
      </c>
      <c r="AE1440" s="423" t="str">
        <f t="shared" si="22"/>
        <v>San José de MaipoZCH</v>
      </c>
    </row>
    <row r="1441" spans="1:31" x14ac:dyDescent="0.25">
      <c r="A1441" s="423">
        <v>1440</v>
      </c>
      <c r="B1441" s="423" t="s">
        <v>437</v>
      </c>
      <c r="C1441" s="423" t="s">
        <v>1341</v>
      </c>
      <c r="D1441" s="425" t="s">
        <v>990</v>
      </c>
      <c r="E1441" s="425" t="s">
        <v>991</v>
      </c>
      <c r="F1441" s="425" t="s">
        <v>992</v>
      </c>
      <c r="G1441" s="425" t="s">
        <v>1054</v>
      </c>
      <c r="H1441" s="426" t="s">
        <v>699</v>
      </c>
      <c r="I1441" s="425" t="s">
        <v>1055</v>
      </c>
      <c r="J1441" s="425" t="s">
        <v>697</v>
      </c>
      <c r="K1441" s="425" t="s">
        <v>995</v>
      </c>
      <c r="L1441" s="425" t="s">
        <v>996</v>
      </c>
      <c r="M1441" s="425" t="s">
        <v>997</v>
      </c>
      <c r="N1441" s="425" t="s">
        <v>558</v>
      </c>
      <c r="O1441" s="425" t="s">
        <v>998</v>
      </c>
      <c r="P1441" s="425" t="s">
        <v>999</v>
      </c>
      <c r="Q1441" s="425" t="s">
        <v>1000</v>
      </c>
      <c r="R1441" s="425" t="s">
        <v>1001</v>
      </c>
      <c r="S1441" s="425" t="s">
        <v>1002</v>
      </c>
      <c r="T1441" s="423" t="s">
        <v>1612</v>
      </c>
      <c r="U1441" s="423" t="s">
        <v>1041</v>
      </c>
      <c r="V1441" s="423">
        <v>1</v>
      </c>
      <c r="W1441" s="423" t="s">
        <v>1041</v>
      </c>
      <c r="X1441" s="423">
        <v>3.5</v>
      </c>
      <c r="Y1441" s="423" t="s">
        <v>1041</v>
      </c>
      <c r="Z1441" s="423" t="s">
        <v>1041</v>
      </c>
      <c r="AD1441" s="423">
        <f>IF(ISNUMBER(MATCH(B1441,'FICHA SOLIC'!$AB$26:$AB$376,0)),1,0)</f>
        <v>1</v>
      </c>
      <c r="AE1441" s="423" t="str">
        <f t="shared" si="22"/>
        <v>San José de MaipoZE1</v>
      </c>
    </row>
    <row r="1442" spans="1:31" x14ac:dyDescent="0.25">
      <c r="A1442" s="423">
        <v>1441</v>
      </c>
      <c r="B1442" s="423" t="s">
        <v>437</v>
      </c>
      <c r="C1442" s="423" t="s">
        <v>1342</v>
      </c>
      <c r="D1442" s="425" t="s">
        <v>990</v>
      </c>
      <c r="E1442" s="425" t="s">
        <v>991</v>
      </c>
      <c r="F1442" s="425" t="s">
        <v>992</v>
      </c>
      <c r="G1442" s="425" t="s">
        <v>1054</v>
      </c>
      <c r="H1442" s="426" t="s">
        <v>699</v>
      </c>
      <c r="I1442" s="425" t="s">
        <v>1055</v>
      </c>
      <c r="J1442" s="425" t="s">
        <v>697</v>
      </c>
      <c r="K1442" s="425" t="s">
        <v>995</v>
      </c>
      <c r="L1442" s="425" t="s">
        <v>996</v>
      </c>
      <c r="M1442" s="425" t="s">
        <v>997</v>
      </c>
      <c r="N1442" s="425" t="s">
        <v>558</v>
      </c>
      <c r="O1442" s="425" t="s">
        <v>998</v>
      </c>
      <c r="P1442" s="425" t="s">
        <v>999</v>
      </c>
      <c r="Q1442" s="425" t="s">
        <v>1000</v>
      </c>
      <c r="R1442" s="425" t="s">
        <v>1001</v>
      </c>
      <c r="S1442" s="425" t="s">
        <v>1002</v>
      </c>
      <c r="T1442" s="423" t="s">
        <v>1025</v>
      </c>
      <c r="U1442" s="423" t="s">
        <v>1041</v>
      </c>
      <c r="V1442" s="423">
        <v>35</v>
      </c>
      <c r="W1442" s="423">
        <v>1.2</v>
      </c>
      <c r="X1442" s="423">
        <v>12</v>
      </c>
      <c r="Y1442" s="423">
        <v>5</v>
      </c>
      <c r="Z1442" s="423" t="s">
        <v>1058</v>
      </c>
      <c r="AD1442" s="423">
        <f>IF(ISNUMBER(MATCH(B1442,'FICHA SOLIC'!$AB$26:$AB$376,0)),1,0)</f>
        <v>1</v>
      </c>
      <c r="AE1442" s="423" t="str">
        <f t="shared" si="22"/>
        <v>San José de MaipoZE2</v>
      </c>
    </row>
    <row r="1443" spans="1:31" x14ac:dyDescent="0.25">
      <c r="A1443" s="423">
        <v>1442</v>
      </c>
      <c r="B1443" s="423" t="s">
        <v>437</v>
      </c>
      <c r="C1443" s="423" t="s">
        <v>1343</v>
      </c>
      <c r="D1443" s="425" t="s">
        <v>990</v>
      </c>
      <c r="E1443" s="425" t="s">
        <v>991</v>
      </c>
      <c r="F1443" s="425" t="s">
        <v>992</v>
      </c>
      <c r="G1443" s="425" t="s">
        <v>1054</v>
      </c>
      <c r="H1443" s="426" t="s">
        <v>699</v>
      </c>
      <c r="I1443" s="425" t="s">
        <v>1055</v>
      </c>
      <c r="J1443" s="425" t="s">
        <v>697</v>
      </c>
      <c r="K1443" s="425" t="s">
        <v>995</v>
      </c>
      <c r="L1443" s="425" t="s">
        <v>996</v>
      </c>
      <c r="M1443" s="425" t="s">
        <v>997</v>
      </c>
      <c r="N1443" s="425" t="s">
        <v>558</v>
      </c>
      <c r="O1443" s="425" t="s">
        <v>998</v>
      </c>
      <c r="P1443" s="425" t="s">
        <v>999</v>
      </c>
      <c r="Q1443" s="425" t="s">
        <v>1000</v>
      </c>
      <c r="R1443" s="425" t="s">
        <v>1001</v>
      </c>
      <c r="S1443" s="425" t="s">
        <v>1002</v>
      </c>
      <c r="T1443" s="423" t="s">
        <v>1025</v>
      </c>
      <c r="U1443" s="423" t="s">
        <v>1041</v>
      </c>
      <c r="V1443" s="423">
        <v>60</v>
      </c>
      <c r="W1443" s="423">
        <v>2.5</v>
      </c>
      <c r="X1443" s="423">
        <v>12</v>
      </c>
      <c r="Y1443" s="423">
        <v>5</v>
      </c>
      <c r="Z1443" s="423" t="s">
        <v>1058</v>
      </c>
      <c r="AD1443" s="423">
        <f>IF(ISNUMBER(MATCH(B1443,'FICHA SOLIC'!$AB$26:$AB$376,0)),1,0)</f>
        <v>1</v>
      </c>
      <c r="AE1443" s="423" t="str">
        <f t="shared" si="22"/>
        <v>San José de MaipoZE3</v>
      </c>
    </row>
    <row r="1444" spans="1:31" x14ac:dyDescent="0.25">
      <c r="A1444" s="423">
        <v>1443</v>
      </c>
      <c r="B1444" s="423" t="s">
        <v>437</v>
      </c>
      <c r="C1444" s="423" t="s">
        <v>1344</v>
      </c>
      <c r="D1444" s="425" t="s">
        <v>990</v>
      </c>
      <c r="E1444" s="425" t="s">
        <v>991</v>
      </c>
      <c r="F1444" s="425" t="s">
        <v>992</v>
      </c>
      <c r="G1444" s="425" t="s">
        <v>1054</v>
      </c>
      <c r="H1444" s="426" t="s">
        <v>699</v>
      </c>
      <c r="I1444" s="425" t="s">
        <v>1055</v>
      </c>
      <c r="J1444" s="425" t="s">
        <v>697</v>
      </c>
      <c r="K1444" s="425" t="s">
        <v>995</v>
      </c>
      <c r="L1444" s="425" t="s">
        <v>996</v>
      </c>
      <c r="M1444" s="425" t="s">
        <v>997</v>
      </c>
      <c r="N1444" s="425" t="s">
        <v>558</v>
      </c>
      <c r="O1444" s="425" t="s">
        <v>998</v>
      </c>
      <c r="P1444" s="425" t="s">
        <v>999</v>
      </c>
      <c r="Q1444" s="425" t="s">
        <v>1000</v>
      </c>
      <c r="R1444" s="425" t="s">
        <v>1001</v>
      </c>
      <c r="S1444" s="425" t="s">
        <v>1002</v>
      </c>
      <c r="T1444" s="423" t="s">
        <v>1025</v>
      </c>
      <c r="U1444" s="423" t="s">
        <v>1041</v>
      </c>
      <c r="V1444" s="423">
        <v>60</v>
      </c>
      <c r="W1444" s="423">
        <v>1.2</v>
      </c>
      <c r="X1444" s="423">
        <v>7</v>
      </c>
      <c r="Y1444" s="423">
        <v>5</v>
      </c>
      <c r="Z1444" s="423" t="s">
        <v>1058</v>
      </c>
      <c r="AD1444" s="423">
        <f>IF(ISNUMBER(MATCH(B1444,'FICHA SOLIC'!$AB$26:$AB$376,0)),1,0)</f>
        <v>1</v>
      </c>
      <c r="AE1444" s="423" t="str">
        <f t="shared" si="22"/>
        <v>San José de MaipoZE4</v>
      </c>
    </row>
    <row r="1445" spans="1:31" x14ac:dyDescent="0.25">
      <c r="A1445" s="423">
        <v>1444</v>
      </c>
      <c r="B1445" s="423" t="s">
        <v>437</v>
      </c>
      <c r="C1445" s="423" t="s">
        <v>1345</v>
      </c>
      <c r="D1445" s="425" t="s">
        <v>990</v>
      </c>
      <c r="E1445" s="425" t="s">
        <v>991</v>
      </c>
      <c r="F1445" s="425" t="s">
        <v>992</v>
      </c>
      <c r="G1445" s="425" t="s">
        <v>1054</v>
      </c>
      <c r="H1445" s="426" t="s">
        <v>699</v>
      </c>
      <c r="I1445" s="425" t="s">
        <v>1055</v>
      </c>
      <c r="J1445" s="425" t="s">
        <v>697</v>
      </c>
      <c r="K1445" s="425" t="s">
        <v>995</v>
      </c>
      <c r="L1445" s="425" t="s">
        <v>996</v>
      </c>
      <c r="M1445" s="425" t="s">
        <v>997</v>
      </c>
      <c r="N1445" s="425" t="s">
        <v>558</v>
      </c>
      <c r="O1445" s="425" t="s">
        <v>998</v>
      </c>
      <c r="P1445" s="425" t="s">
        <v>999</v>
      </c>
      <c r="Q1445" s="425" t="s">
        <v>1000</v>
      </c>
      <c r="R1445" s="425" t="s">
        <v>1001</v>
      </c>
      <c r="S1445" s="425" t="s">
        <v>1002</v>
      </c>
      <c r="T1445" s="423" t="s">
        <v>1025</v>
      </c>
      <c r="U1445" s="423" t="s">
        <v>1041</v>
      </c>
      <c r="V1445" s="423">
        <v>70</v>
      </c>
      <c r="W1445" s="434" t="s">
        <v>1176</v>
      </c>
      <c r="X1445" s="423">
        <v>7</v>
      </c>
      <c r="Y1445" s="423" t="s">
        <v>1041</v>
      </c>
      <c r="Z1445" s="423" t="s">
        <v>1058</v>
      </c>
      <c r="AD1445" s="423">
        <f>IF(ISNUMBER(MATCH(B1445,'FICHA SOLIC'!$AB$26:$AB$376,0)),1,0)</f>
        <v>1</v>
      </c>
      <c r="AE1445" s="423" t="str">
        <f t="shared" si="22"/>
        <v>San José de MaipoZE5</v>
      </c>
    </row>
    <row r="1446" spans="1:31" x14ac:dyDescent="0.25">
      <c r="A1446" s="423">
        <v>1445</v>
      </c>
      <c r="B1446" s="423" t="s">
        <v>437</v>
      </c>
      <c r="C1446" s="423" t="s">
        <v>1733</v>
      </c>
      <c r="D1446" s="425" t="s">
        <v>990</v>
      </c>
      <c r="E1446" s="425" t="s">
        <v>991</v>
      </c>
      <c r="F1446" s="425" t="s">
        <v>992</v>
      </c>
      <c r="G1446" s="425" t="s">
        <v>1054</v>
      </c>
      <c r="H1446" s="426" t="s">
        <v>699</v>
      </c>
      <c r="I1446" s="425" t="s">
        <v>1055</v>
      </c>
      <c r="J1446" s="425" t="s">
        <v>697</v>
      </c>
      <c r="K1446" s="425" t="s">
        <v>995</v>
      </c>
      <c r="L1446" s="425" t="s">
        <v>996</v>
      </c>
      <c r="M1446" s="425" t="s">
        <v>997</v>
      </c>
      <c r="N1446" s="425" t="s">
        <v>558</v>
      </c>
      <c r="O1446" s="425" t="s">
        <v>998</v>
      </c>
      <c r="P1446" s="425" t="s">
        <v>999</v>
      </c>
      <c r="Q1446" s="425" t="s">
        <v>1000</v>
      </c>
      <c r="R1446" s="425" t="s">
        <v>1001</v>
      </c>
      <c r="S1446" s="425" t="s">
        <v>1002</v>
      </c>
      <c r="T1446" s="423">
        <v>500</v>
      </c>
      <c r="U1446" s="423" t="s">
        <v>1041</v>
      </c>
      <c r="V1446" s="423">
        <v>30</v>
      </c>
      <c r="W1446" s="423">
        <v>0.3</v>
      </c>
      <c r="X1446" s="423">
        <v>6</v>
      </c>
      <c r="Y1446" s="423" t="s">
        <v>1041</v>
      </c>
      <c r="Z1446" s="423" t="s">
        <v>1041</v>
      </c>
      <c r="AD1446" s="423">
        <f>IF(ISNUMBER(MATCH(B1446,'FICHA SOLIC'!$AB$26:$AB$376,0)),1,0)</f>
        <v>1</v>
      </c>
      <c r="AE1446" s="423" t="str">
        <f t="shared" si="22"/>
        <v>San José de MaipoZET (Baños Morales)</v>
      </c>
    </row>
    <row r="1447" spans="1:31" x14ac:dyDescent="0.25">
      <c r="A1447" s="423">
        <v>1446</v>
      </c>
      <c r="B1447" s="423" t="s">
        <v>437</v>
      </c>
      <c r="C1447" s="423" t="s">
        <v>1725</v>
      </c>
      <c r="D1447" s="425" t="s">
        <v>990</v>
      </c>
      <c r="E1447" s="425" t="s">
        <v>991</v>
      </c>
      <c r="F1447" s="425" t="s">
        <v>992</v>
      </c>
      <c r="G1447" s="425" t="s">
        <v>1054</v>
      </c>
      <c r="H1447" s="426" t="s">
        <v>699</v>
      </c>
      <c r="I1447" s="425" t="s">
        <v>1055</v>
      </c>
      <c r="J1447" s="425" t="s">
        <v>697</v>
      </c>
      <c r="K1447" s="425" t="s">
        <v>995</v>
      </c>
      <c r="L1447" s="425" t="s">
        <v>996</v>
      </c>
      <c r="M1447" s="425" t="s">
        <v>997</v>
      </c>
      <c r="N1447" s="425" t="s">
        <v>558</v>
      </c>
      <c r="O1447" s="425" t="s">
        <v>998</v>
      </c>
      <c r="P1447" s="425" t="s">
        <v>999</v>
      </c>
      <c r="Q1447" s="425" t="s">
        <v>1000</v>
      </c>
      <c r="R1447" s="425" t="s">
        <v>1001</v>
      </c>
      <c r="S1447" s="425" t="s">
        <v>1002</v>
      </c>
      <c r="T1447" s="423">
        <v>1000</v>
      </c>
      <c r="U1447" s="423" t="s">
        <v>1041</v>
      </c>
      <c r="V1447" s="423">
        <v>30</v>
      </c>
      <c r="W1447" s="423">
        <v>0.3</v>
      </c>
      <c r="X1447" s="423">
        <v>6</v>
      </c>
      <c r="Y1447" s="423" t="s">
        <v>1041</v>
      </c>
      <c r="Z1447" s="423" t="s">
        <v>1041</v>
      </c>
      <c r="AD1447" s="423">
        <f>IF(ISNUMBER(MATCH(B1447,'FICHA SOLIC'!$AB$26:$AB$376,0)),1,0)</f>
        <v>1</v>
      </c>
      <c r="AE1447" s="423" t="str">
        <f t="shared" si="22"/>
        <v>San José de MaipoZET (El Canelo)</v>
      </c>
    </row>
    <row r="1448" spans="1:31" x14ac:dyDescent="0.25">
      <c r="A1448" s="423">
        <v>1447</v>
      </c>
      <c r="B1448" s="423" t="s">
        <v>437</v>
      </c>
      <c r="C1448" s="423" t="s">
        <v>1726</v>
      </c>
      <c r="D1448" s="425" t="s">
        <v>990</v>
      </c>
      <c r="E1448" s="425" t="s">
        <v>991</v>
      </c>
      <c r="F1448" s="425" t="s">
        <v>992</v>
      </c>
      <c r="G1448" s="425" t="s">
        <v>1054</v>
      </c>
      <c r="H1448" s="426" t="s">
        <v>699</v>
      </c>
      <c r="I1448" s="425" t="s">
        <v>1055</v>
      </c>
      <c r="J1448" s="425" t="s">
        <v>697</v>
      </c>
      <c r="K1448" s="425" t="s">
        <v>995</v>
      </c>
      <c r="L1448" s="425" t="s">
        <v>996</v>
      </c>
      <c r="M1448" s="425" t="s">
        <v>997</v>
      </c>
      <c r="N1448" s="425" t="s">
        <v>558</v>
      </c>
      <c r="O1448" s="425" t="s">
        <v>998</v>
      </c>
      <c r="P1448" s="425" t="s">
        <v>999</v>
      </c>
      <c r="Q1448" s="425" t="s">
        <v>1000</v>
      </c>
      <c r="R1448" s="425" t="s">
        <v>1001</v>
      </c>
      <c r="S1448" s="425" t="s">
        <v>1002</v>
      </c>
      <c r="T1448" s="423">
        <v>1000</v>
      </c>
      <c r="U1448" s="423" t="s">
        <v>1041</v>
      </c>
      <c r="V1448" s="423">
        <v>30</v>
      </c>
      <c r="W1448" s="423">
        <v>0.3</v>
      </c>
      <c r="X1448" s="423">
        <v>6</v>
      </c>
      <c r="Y1448" s="423" t="s">
        <v>1041</v>
      </c>
      <c r="Z1448" s="423" t="s">
        <v>1041</v>
      </c>
      <c r="AD1448" s="423">
        <f>IF(ISNUMBER(MATCH(B1448,'FICHA SOLIC'!$AB$26:$AB$376,0)),1,0)</f>
        <v>1</v>
      </c>
      <c r="AE1448" s="423" t="str">
        <f t="shared" si="22"/>
        <v>San José de MaipoZET (El Manzano)</v>
      </c>
    </row>
    <row r="1449" spans="1:31" x14ac:dyDescent="0.25">
      <c r="A1449" s="423">
        <v>1448</v>
      </c>
      <c r="B1449" s="423" t="s">
        <v>437</v>
      </c>
      <c r="C1449" s="423" t="s">
        <v>1730</v>
      </c>
      <c r="D1449" s="425" t="s">
        <v>990</v>
      </c>
      <c r="E1449" s="425" t="s">
        <v>991</v>
      </c>
      <c r="F1449" s="425" t="s">
        <v>992</v>
      </c>
      <c r="G1449" s="425" t="s">
        <v>1054</v>
      </c>
      <c r="H1449" s="426" t="s">
        <v>699</v>
      </c>
      <c r="I1449" s="425" t="s">
        <v>1055</v>
      </c>
      <c r="J1449" s="425" t="s">
        <v>697</v>
      </c>
      <c r="K1449" s="425" t="s">
        <v>995</v>
      </c>
      <c r="L1449" s="425" t="s">
        <v>996</v>
      </c>
      <c r="M1449" s="425" t="s">
        <v>997</v>
      </c>
      <c r="N1449" s="425" t="s">
        <v>558</v>
      </c>
      <c r="O1449" s="425" t="s">
        <v>998</v>
      </c>
      <c r="P1449" s="425" t="s">
        <v>999</v>
      </c>
      <c r="Q1449" s="425" t="s">
        <v>1000</v>
      </c>
      <c r="R1449" s="425" t="s">
        <v>1001</v>
      </c>
      <c r="S1449" s="425" t="s">
        <v>1002</v>
      </c>
      <c r="T1449" s="423">
        <v>1000</v>
      </c>
      <c r="U1449" s="423" t="s">
        <v>1041</v>
      </c>
      <c r="V1449" s="423">
        <v>30</v>
      </c>
      <c r="W1449" s="423">
        <v>0.3</v>
      </c>
      <c r="X1449" s="423">
        <v>6</v>
      </c>
      <c r="Y1449" s="423" t="s">
        <v>1041</v>
      </c>
      <c r="Z1449" s="423" t="s">
        <v>1041</v>
      </c>
      <c r="AD1449" s="423">
        <f>IF(ISNUMBER(MATCH(B1449,'FICHA SOLIC'!$AB$26:$AB$376,0)),1,0)</f>
        <v>1</v>
      </c>
      <c r="AE1449" s="423" t="str">
        <f t="shared" si="22"/>
        <v>San José de MaipoZET (El Melocotón)</v>
      </c>
    </row>
    <row r="1450" spans="1:31" x14ac:dyDescent="0.25">
      <c r="A1450" s="423">
        <v>1449</v>
      </c>
      <c r="B1450" s="423" t="s">
        <v>437</v>
      </c>
      <c r="C1450" s="423" t="s">
        <v>1727</v>
      </c>
      <c r="D1450" s="425" t="s">
        <v>990</v>
      </c>
      <c r="E1450" s="425" t="s">
        <v>991</v>
      </c>
      <c r="F1450" s="425" t="s">
        <v>992</v>
      </c>
      <c r="G1450" s="425" t="s">
        <v>1054</v>
      </c>
      <c r="H1450" s="426" t="s">
        <v>699</v>
      </c>
      <c r="I1450" s="425" t="s">
        <v>1055</v>
      </c>
      <c r="J1450" s="425" t="s">
        <v>697</v>
      </c>
      <c r="K1450" s="425" t="s">
        <v>995</v>
      </c>
      <c r="L1450" s="425" t="s">
        <v>996</v>
      </c>
      <c r="M1450" s="425" t="s">
        <v>997</v>
      </c>
      <c r="N1450" s="425" t="s">
        <v>558</v>
      </c>
      <c r="O1450" s="425" t="s">
        <v>998</v>
      </c>
      <c r="P1450" s="425" t="s">
        <v>999</v>
      </c>
      <c r="Q1450" s="425" t="s">
        <v>1000</v>
      </c>
      <c r="R1450" s="425" t="s">
        <v>1001</v>
      </c>
      <c r="S1450" s="425" t="s">
        <v>1002</v>
      </c>
      <c r="T1450" s="423">
        <v>1000</v>
      </c>
      <c r="U1450" s="423" t="s">
        <v>1041</v>
      </c>
      <c r="V1450" s="423">
        <v>30</v>
      </c>
      <c r="W1450" s="423">
        <v>0.3</v>
      </c>
      <c r="X1450" s="423">
        <v>6</v>
      </c>
      <c r="Y1450" s="423" t="s">
        <v>1041</v>
      </c>
      <c r="Z1450" s="423" t="s">
        <v>1041</v>
      </c>
      <c r="AD1450" s="423">
        <f>IF(ISNUMBER(MATCH(B1450,'FICHA SOLIC'!$AB$26:$AB$376,0)),1,0)</f>
        <v>1</v>
      </c>
      <c r="AE1450" s="423" t="str">
        <f t="shared" si="22"/>
        <v>San José de MaipoZET (Guayacán)</v>
      </c>
    </row>
    <row r="1451" spans="1:31" x14ac:dyDescent="0.25">
      <c r="A1451" s="423">
        <v>1450</v>
      </c>
      <c r="B1451" s="423" t="s">
        <v>437</v>
      </c>
      <c r="C1451" s="423" t="s">
        <v>1729</v>
      </c>
      <c r="D1451" s="425" t="s">
        <v>990</v>
      </c>
      <c r="E1451" s="425" t="s">
        <v>991</v>
      </c>
      <c r="F1451" s="425" t="s">
        <v>992</v>
      </c>
      <c r="G1451" s="425" t="s">
        <v>1054</v>
      </c>
      <c r="H1451" s="426" t="s">
        <v>699</v>
      </c>
      <c r="I1451" s="425" t="s">
        <v>1055</v>
      </c>
      <c r="J1451" s="425" t="s">
        <v>697</v>
      </c>
      <c r="K1451" s="425" t="s">
        <v>995</v>
      </c>
      <c r="L1451" s="425" t="s">
        <v>996</v>
      </c>
      <c r="M1451" s="425" t="s">
        <v>997</v>
      </c>
      <c r="N1451" s="425" t="s">
        <v>558</v>
      </c>
      <c r="O1451" s="425" t="s">
        <v>998</v>
      </c>
      <c r="P1451" s="425" t="s">
        <v>999</v>
      </c>
      <c r="Q1451" s="425" t="s">
        <v>1000</v>
      </c>
      <c r="R1451" s="425" t="s">
        <v>1001</v>
      </c>
      <c r="S1451" s="425" t="s">
        <v>1002</v>
      </c>
      <c r="T1451" s="423">
        <v>750</v>
      </c>
      <c r="U1451" s="423" t="s">
        <v>1041</v>
      </c>
      <c r="V1451" s="423">
        <v>30</v>
      </c>
      <c r="W1451" s="423">
        <v>0.3</v>
      </c>
      <c r="X1451" s="423">
        <v>6</v>
      </c>
      <c r="Y1451" s="423" t="s">
        <v>1041</v>
      </c>
      <c r="Z1451" s="423" t="s">
        <v>1041</v>
      </c>
      <c r="AD1451" s="423">
        <f>IF(ISNUMBER(MATCH(B1451,'FICHA SOLIC'!$AB$26:$AB$376,0)),1,0)</f>
        <v>1</v>
      </c>
      <c r="AE1451" s="423" t="str">
        <f t="shared" si="22"/>
        <v>San José de MaipoZET (Lagunillas)</v>
      </c>
    </row>
    <row r="1452" spans="1:31" x14ac:dyDescent="0.25">
      <c r="A1452" s="423">
        <v>1451</v>
      </c>
      <c r="B1452" s="423" t="s">
        <v>437</v>
      </c>
      <c r="C1452" s="423" t="s">
        <v>1731</v>
      </c>
      <c r="D1452" s="425" t="s">
        <v>990</v>
      </c>
      <c r="E1452" s="425" t="s">
        <v>991</v>
      </c>
      <c r="F1452" s="425" t="s">
        <v>992</v>
      </c>
      <c r="G1452" s="425" t="s">
        <v>1054</v>
      </c>
      <c r="H1452" s="426" t="s">
        <v>699</v>
      </c>
      <c r="I1452" s="425" t="s">
        <v>1055</v>
      </c>
      <c r="J1452" s="425" t="s">
        <v>697</v>
      </c>
      <c r="K1452" s="425" t="s">
        <v>995</v>
      </c>
      <c r="L1452" s="425" t="s">
        <v>996</v>
      </c>
      <c r="M1452" s="425" t="s">
        <v>997</v>
      </c>
      <c r="N1452" s="425" t="s">
        <v>558</v>
      </c>
      <c r="O1452" s="425" t="s">
        <v>998</v>
      </c>
      <c r="P1452" s="425" t="s">
        <v>999</v>
      </c>
      <c r="Q1452" s="425" t="s">
        <v>1000</v>
      </c>
      <c r="R1452" s="425" t="s">
        <v>1001</v>
      </c>
      <c r="S1452" s="425" t="s">
        <v>1002</v>
      </c>
      <c r="T1452" s="423">
        <v>1000</v>
      </c>
      <c r="U1452" s="423" t="s">
        <v>1041</v>
      </c>
      <c r="V1452" s="423">
        <v>30</v>
      </c>
      <c r="W1452" s="423">
        <v>0.3</v>
      </c>
      <c r="X1452" s="423">
        <v>6</v>
      </c>
      <c r="Y1452" s="423" t="s">
        <v>1041</v>
      </c>
      <c r="Z1452" s="423" t="s">
        <v>1041</v>
      </c>
      <c r="AD1452" s="423">
        <f>IF(ISNUMBER(MATCH(B1452,'FICHA SOLIC'!$AB$26:$AB$376,0)),1,0)</f>
        <v>1</v>
      </c>
      <c r="AE1452" s="423" t="str">
        <f t="shared" si="22"/>
        <v>San José de MaipoZET (San Alfonso)</v>
      </c>
    </row>
    <row r="1453" spans="1:31" x14ac:dyDescent="0.25">
      <c r="A1453" s="423">
        <v>1452</v>
      </c>
      <c r="B1453" s="423" t="s">
        <v>437</v>
      </c>
      <c r="C1453" s="423" t="s">
        <v>1732</v>
      </c>
      <c r="D1453" s="425" t="s">
        <v>990</v>
      </c>
      <c r="E1453" s="425" t="s">
        <v>991</v>
      </c>
      <c r="F1453" s="425" t="s">
        <v>992</v>
      </c>
      <c r="G1453" s="425" t="s">
        <v>1054</v>
      </c>
      <c r="H1453" s="426" t="s">
        <v>699</v>
      </c>
      <c r="I1453" s="425" t="s">
        <v>1055</v>
      </c>
      <c r="J1453" s="425" t="s">
        <v>697</v>
      </c>
      <c r="K1453" s="425" t="s">
        <v>995</v>
      </c>
      <c r="L1453" s="425" t="s">
        <v>996</v>
      </c>
      <c r="M1453" s="425" t="s">
        <v>997</v>
      </c>
      <c r="N1453" s="425" t="s">
        <v>558</v>
      </c>
      <c r="O1453" s="425" t="s">
        <v>998</v>
      </c>
      <c r="P1453" s="425" t="s">
        <v>999</v>
      </c>
      <c r="Q1453" s="425" t="s">
        <v>1000</v>
      </c>
      <c r="R1453" s="425" t="s">
        <v>1001</v>
      </c>
      <c r="S1453" s="425" t="s">
        <v>1002</v>
      </c>
      <c r="T1453" s="423">
        <v>750</v>
      </c>
      <c r="U1453" s="423" t="s">
        <v>1041</v>
      </c>
      <c r="V1453" s="423">
        <v>30</v>
      </c>
      <c r="W1453" s="423">
        <v>0.3</v>
      </c>
      <c r="X1453" s="423">
        <v>6</v>
      </c>
      <c r="Y1453" s="423" t="s">
        <v>1041</v>
      </c>
      <c r="Z1453" s="423" t="s">
        <v>1041</v>
      </c>
      <c r="AD1453" s="423">
        <f>IF(ISNUMBER(MATCH(B1453,'FICHA SOLIC'!$AB$26:$AB$376,0)),1,0)</f>
        <v>1</v>
      </c>
      <c r="AE1453" s="423" t="str">
        <f t="shared" si="22"/>
        <v>San José de MaipoZET (San Gabriel)</v>
      </c>
    </row>
    <row r="1454" spans="1:31" x14ac:dyDescent="0.25">
      <c r="A1454" s="423">
        <v>1453</v>
      </c>
      <c r="B1454" s="423" t="s">
        <v>437</v>
      </c>
      <c r="C1454" s="423" t="s">
        <v>1728</v>
      </c>
      <c r="D1454" s="425" t="s">
        <v>990</v>
      </c>
      <c r="E1454" s="425" t="s">
        <v>991</v>
      </c>
      <c r="F1454" s="425" t="s">
        <v>992</v>
      </c>
      <c r="G1454" s="425" t="s">
        <v>1054</v>
      </c>
      <c r="H1454" s="426" t="s">
        <v>699</v>
      </c>
      <c r="I1454" s="425" t="s">
        <v>1055</v>
      </c>
      <c r="J1454" s="425" t="s">
        <v>697</v>
      </c>
      <c r="K1454" s="425" t="s">
        <v>995</v>
      </c>
      <c r="L1454" s="425" t="s">
        <v>996</v>
      </c>
      <c r="M1454" s="425" t="s">
        <v>997</v>
      </c>
      <c r="N1454" s="425" t="s">
        <v>558</v>
      </c>
      <c r="O1454" s="425" t="s">
        <v>998</v>
      </c>
      <c r="P1454" s="425" t="s">
        <v>999</v>
      </c>
      <c r="Q1454" s="425" t="s">
        <v>1000</v>
      </c>
      <c r="R1454" s="425" t="s">
        <v>1001</v>
      </c>
      <c r="S1454" s="425" t="s">
        <v>1002</v>
      </c>
      <c r="T1454" s="423">
        <v>1000</v>
      </c>
      <c r="U1454" s="423" t="s">
        <v>1041</v>
      </c>
      <c r="V1454" s="423">
        <v>30</v>
      </c>
      <c r="W1454" s="423">
        <v>0.3</v>
      </c>
      <c r="X1454" s="423">
        <v>6</v>
      </c>
      <c r="Y1454" s="423" t="s">
        <v>1041</v>
      </c>
      <c r="Z1454" s="423" t="s">
        <v>1041</v>
      </c>
      <c r="AD1454" s="423">
        <f>IF(ISNUMBER(MATCH(B1454,'FICHA SOLIC'!$AB$26:$AB$376,0)),1,0)</f>
        <v>1</v>
      </c>
      <c r="AE1454" s="423" t="str">
        <f t="shared" si="22"/>
        <v>San José de MaipoZET (San José de Maipo)</v>
      </c>
    </row>
    <row r="1455" spans="1:31" x14ac:dyDescent="0.25">
      <c r="A1455" s="423">
        <v>1454</v>
      </c>
      <c r="B1455" s="423" t="s">
        <v>437</v>
      </c>
      <c r="C1455" s="423" t="s">
        <v>1707</v>
      </c>
      <c r="D1455" s="425" t="s">
        <v>990</v>
      </c>
      <c r="E1455" s="425" t="s">
        <v>991</v>
      </c>
      <c r="F1455" s="425" t="s">
        <v>992</v>
      </c>
      <c r="G1455" s="425" t="s">
        <v>1054</v>
      </c>
      <c r="H1455" s="426" t="s">
        <v>699</v>
      </c>
      <c r="I1455" s="425" t="s">
        <v>1055</v>
      </c>
      <c r="J1455" s="425" t="s">
        <v>697</v>
      </c>
      <c r="K1455" s="425" t="s">
        <v>995</v>
      </c>
      <c r="L1455" s="425" t="s">
        <v>996</v>
      </c>
      <c r="M1455" s="425" t="s">
        <v>997</v>
      </c>
      <c r="N1455" s="425" t="s">
        <v>558</v>
      </c>
      <c r="O1455" s="425" t="s">
        <v>998</v>
      </c>
      <c r="P1455" s="425" t="s">
        <v>999</v>
      </c>
      <c r="Q1455" s="425" t="s">
        <v>1000</v>
      </c>
      <c r="R1455" s="425" t="s">
        <v>1001</v>
      </c>
      <c r="S1455" s="425" t="s">
        <v>1002</v>
      </c>
      <c r="T1455" s="423">
        <v>200</v>
      </c>
      <c r="U1455" s="423" t="s">
        <v>1041</v>
      </c>
      <c r="V1455" s="423">
        <v>80</v>
      </c>
      <c r="W1455" s="423">
        <v>1</v>
      </c>
      <c r="X1455" s="423">
        <v>6</v>
      </c>
      <c r="Y1455" s="423" t="s">
        <v>1041</v>
      </c>
      <c r="Z1455" s="423" t="s">
        <v>1041</v>
      </c>
      <c r="AD1455" s="423">
        <f>IF(ISNUMBER(MATCH(B1455,'FICHA SOLIC'!$AB$26:$AB$376,0)),1,0)</f>
        <v>1</v>
      </c>
      <c r="AE1455" s="423" t="str">
        <f t="shared" si="22"/>
        <v>San José de MaipoZH1 (El Canelo)</v>
      </c>
    </row>
    <row r="1456" spans="1:31" x14ac:dyDescent="0.25">
      <c r="A1456" s="423">
        <v>1455</v>
      </c>
      <c r="B1456" s="423" t="s">
        <v>437</v>
      </c>
      <c r="C1456" s="423" t="s">
        <v>1709</v>
      </c>
      <c r="D1456" s="425" t="s">
        <v>990</v>
      </c>
      <c r="E1456" s="425" t="s">
        <v>991</v>
      </c>
      <c r="F1456" s="425" t="s">
        <v>992</v>
      </c>
      <c r="G1456" s="425" t="s">
        <v>1054</v>
      </c>
      <c r="H1456" s="426" t="s">
        <v>699</v>
      </c>
      <c r="I1456" s="425" t="s">
        <v>1055</v>
      </c>
      <c r="J1456" s="425" t="s">
        <v>697</v>
      </c>
      <c r="K1456" s="425" t="s">
        <v>995</v>
      </c>
      <c r="L1456" s="425" t="s">
        <v>996</v>
      </c>
      <c r="M1456" s="425" t="s">
        <v>997</v>
      </c>
      <c r="N1456" s="425" t="s">
        <v>558</v>
      </c>
      <c r="O1456" s="425" t="s">
        <v>998</v>
      </c>
      <c r="P1456" s="425" t="s">
        <v>999</v>
      </c>
      <c r="Q1456" s="425" t="s">
        <v>1000</v>
      </c>
      <c r="R1456" s="425" t="s">
        <v>1001</v>
      </c>
      <c r="S1456" s="425" t="s">
        <v>1002</v>
      </c>
      <c r="T1456" s="423">
        <v>200</v>
      </c>
      <c r="U1456" s="423" t="s">
        <v>1041</v>
      </c>
      <c r="V1456" s="423">
        <v>80</v>
      </c>
      <c r="W1456" s="423">
        <v>1</v>
      </c>
      <c r="X1456" s="423">
        <v>6</v>
      </c>
      <c r="Y1456" s="423" t="s">
        <v>1041</v>
      </c>
      <c r="Z1456" s="423" t="s">
        <v>1041</v>
      </c>
      <c r="AD1456" s="423">
        <f>IF(ISNUMBER(MATCH(B1456,'FICHA SOLIC'!$AB$26:$AB$376,0)),1,0)</f>
        <v>1</v>
      </c>
      <c r="AE1456" s="423" t="str">
        <f t="shared" si="22"/>
        <v>San José de MaipoZH1 (San Alfonso)</v>
      </c>
    </row>
    <row r="1457" spans="1:31" x14ac:dyDescent="0.25">
      <c r="A1457" s="423">
        <v>1456</v>
      </c>
      <c r="B1457" s="423" t="s">
        <v>437</v>
      </c>
      <c r="C1457" s="423" t="s">
        <v>1710</v>
      </c>
      <c r="D1457" s="425" t="s">
        <v>990</v>
      </c>
      <c r="E1457" s="425" t="s">
        <v>991</v>
      </c>
      <c r="F1457" s="425" t="s">
        <v>992</v>
      </c>
      <c r="G1457" s="425" t="s">
        <v>1054</v>
      </c>
      <c r="H1457" s="426" t="s">
        <v>699</v>
      </c>
      <c r="I1457" s="425" t="s">
        <v>1055</v>
      </c>
      <c r="J1457" s="425" t="s">
        <v>697</v>
      </c>
      <c r="K1457" s="425" t="s">
        <v>995</v>
      </c>
      <c r="L1457" s="425" t="s">
        <v>996</v>
      </c>
      <c r="M1457" s="425" t="s">
        <v>997</v>
      </c>
      <c r="N1457" s="425" t="s">
        <v>558</v>
      </c>
      <c r="O1457" s="425" t="s">
        <v>998</v>
      </c>
      <c r="P1457" s="425" t="s">
        <v>999</v>
      </c>
      <c r="Q1457" s="425" t="s">
        <v>1000</v>
      </c>
      <c r="R1457" s="425" t="s">
        <v>1001</v>
      </c>
      <c r="S1457" s="425" t="s">
        <v>1002</v>
      </c>
      <c r="T1457" s="423">
        <v>150</v>
      </c>
      <c r="U1457" s="423" t="s">
        <v>1041</v>
      </c>
      <c r="V1457" s="423">
        <v>80</v>
      </c>
      <c r="W1457" s="423">
        <v>1</v>
      </c>
      <c r="X1457" s="423">
        <v>6</v>
      </c>
      <c r="Y1457" s="423" t="s">
        <v>1041</v>
      </c>
      <c r="Z1457" s="423" t="s">
        <v>1041</v>
      </c>
      <c r="AD1457" s="423">
        <f>IF(ISNUMBER(MATCH(B1457,'FICHA SOLIC'!$AB$26:$AB$376,0)),1,0)</f>
        <v>1</v>
      </c>
      <c r="AE1457" s="423" t="str">
        <f t="shared" si="22"/>
        <v>San José de MaipoZH1 (San Gabriel)</v>
      </c>
    </row>
    <row r="1458" spans="1:31" x14ac:dyDescent="0.25">
      <c r="A1458" s="423">
        <v>1457</v>
      </c>
      <c r="B1458" s="423" t="s">
        <v>437</v>
      </c>
      <c r="C1458" s="423" t="s">
        <v>1708</v>
      </c>
      <c r="D1458" s="425" t="s">
        <v>990</v>
      </c>
      <c r="E1458" s="425" t="s">
        <v>991</v>
      </c>
      <c r="F1458" s="425" t="s">
        <v>992</v>
      </c>
      <c r="G1458" s="425" t="s">
        <v>1054</v>
      </c>
      <c r="H1458" s="426" t="s">
        <v>699</v>
      </c>
      <c r="I1458" s="425" t="s">
        <v>1055</v>
      </c>
      <c r="J1458" s="425" t="s">
        <v>697</v>
      </c>
      <c r="K1458" s="425" t="s">
        <v>995</v>
      </c>
      <c r="L1458" s="425" t="s">
        <v>996</v>
      </c>
      <c r="M1458" s="425" t="s">
        <v>997</v>
      </c>
      <c r="N1458" s="425" t="s">
        <v>558</v>
      </c>
      <c r="O1458" s="425" t="s">
        <v>998</v>
      </c>
      <c r="P1458" s="425" t="s">
        <v>999</v>
      </c>
      <c r="Q1458" s="425" t="s">
        <v>1000</v>
      </c>
      <c r="R1458" s="425" t="s">
        <v>1001</v>
      </c>
      <c r="S1458" s="425" t="s">
        <v>1002</v>
      </c>
      <c r="T1458" s="423">
        <v>150</v>
      </c>
      <c r="U1458" s="423" t="s">
        <v>1041</v>
      </c>
      <c r="V1458" s="423">
        <v>80</v>
      </c>
      <c r="W1458" s="423">
        <v>1</v>
      </c>
      <c r="X1458" s="423">
        <v>6</v>
      </c>
      <c r="Y1458" s="423" t="s">
        <v>1041</v>
      </c>
      <c r="Z1458" s="423" t="s">
        <v>1041</v>
      </c>
      <c r="AD1458" s="423">
        <f>IF(ISNUMBER(MATCH(B1458,'FICHA SOLIC'!$AB$26:$AB$376,0)),1,0)</f>
        <v>1</v>
      </c>
      <c r="AE1458" s="423" t="str">
        <f t="shared" si="22"/>
        <v>San José de MaipoZH1 (San José de Maipo)</v>
      </c>
    </row>
    <row r="1459" spans="1:31" x14ac:dyDescent="0.25">
      <c r="A1459" s="423">
        <v>1458</v>
      </c>
      <c r="B1459" s="423" t="s">
        <v>437</v>
      </c>
      <c r="C1459" s="423" t="s">
        <v>1712</v>
      </c>
      <c r="D1459" s="425" t="s">
        <v>990</v>
      </c>
      <c r="E1459" s="425" t="s">
        <v>991</v>
      </c>
      <c r="F1459" s="425" t="s">
        <v>992</v>
      </c>
      <c r="G1459" s="425" t="s">
        <v>1054</v>
      </c>
      <c r="H1459" s="426" t="s">
        <v>699</v>
      </c>
      <c r="I1459" s="425" t="s">
        <v>1055</v>
      </c>
      <c r="J1459" s="425" t="s">
        <v>697</v>
      </c>
      <c r="K1459" s="425" t="s">
        <v>995</v>
      </c>
      <c r="L1459" s="425" t="s">
        <v>996</v>
      </c>
      <c r="M1459" s="425" t="s">
        <v>997</v>
      </c>
      <c r="N1459" s="425" t="s">
        <v>558</v>
      </c>
      <c r="O1459" s="425" t="s">
        <v>998</v>
      </c>
      <c r="P1459" s="425" t="s">
        <v>999</v>
      </c>
      <c r="Q1459" s="425" t="s">
        <v>1000</v>
      </c>
      <c r="R1459" s="425" t="s">
        <v>1001</v>
      </c>
      <c r="S1459" s="425" t="s">
        <v>1002</v>
      </c>
      <c r="T1459" s="423">
        <v>700</v>
      </c>
      <c r="U1459" s="423" t="s">
        <v>1041</v>
      </c>
      <c r="V1459" s="423">
        <v>40</v>
      </c>
      <c r="W1459" s="423">
        <v>0.5</v>
      </c>
      <c r="X1459" s="423">
        <v>7.5</v>
      </c>
      <c r="Y1459" s="423" t="s">
        <v>1041</v>
      </c>
      <c r="Z1459" s="423" t="s">
        <v>1041</v>
      </c>
      <c r="AD1459" s="423">
        <f>IF(ISNUMBER(MATCH(B1459,'FICHA SOLIC'!$AB$26:$AB$376,0)),1,0)</f>
        <v>1</v>
      </c>
      <c r="AE1459" s="423" t="str">
        <f t="shared" si="22"/>
        <v>San José de MaipoZH2 (El Canelo)</v>
      </c>
    </row>
    <row r="1460" spans="1:31" x14ac:dyDescent="0.25">
      <c r="A1460" s="423">
        <v>1459</v>
      </c>
      <c r="B1460" s="423" t="s">
        <v>437</v>
      </c>
      <c r="C1460" s="423" t="s">
        <v>1718</v>
      </c>
      <c r="D1460" s="425" t="s">
        <v>990</v>
      </c>
      <c r="E1460" s="425" t="s">
        <v>991</v>
      </c>
      <c r="F1460" s="425" t="s">
        <v>992</v>
      </c>
      <c r="G1460" s="425" t="s">
        <v>1054</v>
      </c>
      <c r="H1460" s="426" t="s">
        <v>699</v>
      </c>
      <c r="I1460" s="425" t="s">
        <v>1055</v>
      </c>
      <c r="J1460" s="425" t="s">
        <v>697</v>
      </c>
      <c r="K1460" s="425" t="s">
        <v>995</v>
      </c>
      <c r="L1460" s="425" t="s">
        <v>996</v>
      </c>
      <c r="M1460" s="425" t="s">
        <v>997</v>
      </c>
      <c r="N1460" s="425" t="s">
        <v>558</v>
      </c>
      <c r="O1460" s="425" t="s">
        <v>998</v>
      </c>
      <c r="P1460" s="425" t="s">
        <v>999</v>
      </c>
      <c r="Q1460" s="425" t="s">
        <v>1000</v>
      </c>
      <c r="R1460" s="425" t="s">
        <v>1001</v>
      </c>
      <c r="S1460" s="425" t="s">
        <v>1002</v>
      </c>
      <c r="T1460" s="423">
        <v>400</v>
      </c>
      <c r="U1460" s="423" t="s">
        <v>1041</v>
      </c>
      <c r="V1460" s="423">
        <v>50</v>
      </c>
      <c r="W1460" s="423">
        <v>1</v>
      </c>
      <c r="X1460" s="423">
        <v>7.5</v>
      </c>
      <c r="Y1460" s="423" t="s">
        <v>1041</v>
      </c>
      <c r="Z1460" s="423" t="s">
        <v>1041</v>
      </c>
      <c r="AD1460" s="423">
        <f>IF(ISNUMBER(MATCH(B1460,'FICHA SOLIC'!$AB$26:$AB$376,0)),1,0)</f>
        <v>1</v>
      </c>
      <c r="AE1460" s="423" t="str">
        <f t="shared" si="22"/>
        <v>San José de MaipoZH2 (El Ingenio)</v>
      </c>
    </row>
    <row r="1461" spans="1:31" x14ac:dyDescent="0.25">
      <c r="A1461" s="423">
        <v>1460</v>
      </c>
      <c r="B1461" s="423" t="s">
        <v>437</v>
      </c>
      <c r="C1461" s="423" t="s">
        <v>1713</v>
      </c>
      <c r="D1461" s="425" t="s">
        <v>990</v>
      </c>
      <c r="E1461" s="425" t="s">
        <v>991</v>
      </c>
      <c r="F1461" s="425" t="s">
        <v>992</v>
      </c>
      <c r="G1461" s="425" t="s">
        <v>1054</v>
      </c>
      <c r="H1461" s="426" t="s">
        <v>699</v>
      </c>
      <c r="I1461" s="425" t="s">
        <v>1055</v>
      </c>
      <c r="J1461" s="425" t="s">
        <v>697</v>
      </c>
      <c r="K1461" s="425" t="s">
        <v>995</v>
      </c>
      <c r="L1461" s="425" t="s">
        <v>996</v>
      </c>
      <c r="M1461" s="425" t="s">
        <v>997</v>
      </c>
      <c r="N1461" s="425" t="s">
        <v>558</v>
      </c>
      <c r="O1461" s="425" t="s">
        <v>998</v>
      </c>
      <c r="P1461" s="425" t="s">
        <v>999</v>
      </c>
      <c r="Q1461" s="425" t="s">
        <v>1000</v>
      </c>
      <c r="R1461" s="425" t="s">
        <v>1001</v>
      </c>
      <c r="S1461" s="425" t="s">
        <v>1002</v>
      </c>
      <c r="T1461" s="423">
        <v>2500</v>
      </c>
      <c r="U1461" s="423" t="s">
        <v>1041</v>
      </c>
      <c r="V1461" s="423">
        <v>40</v>
      </c>
      <c r="W1461" s="423">
        <v>0.5</v>
      </c>
      <c r="X1461" s="423">
        <v>7.5</v>
      </c>
      <c r="Y1461" s="423" t="s">
        <v>1041</v>
      </c>
      <c r="Z1461" s="423" t="s">
        <v>1041</v>
      </c>
      <c r="AD1461" s="423">
        <f>IF(ISNUMBER(MATCH(B1461,'FICHA SOLIC'!$AB$26:$AB$376,0)),1,0)</f>
        <v>1</v>
      </c>
      <c r="AE1461" s="423" t="str">
        <f t="shared" si="22"/>
        <v>San José de MaipoZH2 (El Manzano)</v>
      </c>
    </row>
    <row r="1462" spans="1:31" x14ac:dyDescent="0.25">
      <c r="A1462" s="423">
        <v>1461</v>
      </c>
      <c r="B1462" s="423" t="s">
        <v>437</v>
      </c>
      <c r="C1462" s="423" t="s">
        <v>1716</v>
      </c>
      <c r="D1462" s="425" t="s">
        <v>990</v>
      </c>
      <c r="E1462" s="425" t="s">
        <v>991</v>
      </c>
      <c r="F1462" s="425" t="s">
        <v>992</v>
      </c>
      <c r="G1462" s="425" t="s">
        <v>1054</v>
      </c>
      <c r="H1462" s="426" t="s">
        <v>699</v>
      </c>
      <c r="I1462" s="425" t="s">
        <v>1055</v>
      </c>
      <c r="J1462" s="425" t="s">
        <v>697</v>
      </c>
      <c r="K1462" s="425" t="s">
        <v>995</v>
      </c>
      <c r="L1462" s="425" t="s">
        <v>996</v>
      </c>
      <c r="M1462" s="425" t="s">
        <v>997</v>
      </c>
      <c r="N1462" s="425" t="s">
        <v>558</v>
      </c>
      <c r="O1462" s="425" t="s">
        <v>998</v>
      </c>
      <c r="P1462" s="425" t="s">
        <v>999</v>
      </c>
      <c r="Q1462" s="425" t="s">
        <v>1000</v>
      </c>
      <c r="R1462" s="425" t="s">
        <v>1001</v>
      </c>
      <c r="S1462" s="425" t="s">
        <v>1002</v>
      </c>
      <c r="T1462" s="423">
        <v>1500</v>
      </c>
      <c r="U1462" s="423" t="s">
        <v>1041</v>
      </c>
      <c r="V1462" s="423">
        <v>70</v>
      </c>
      <c r="W1462" s="423">
        <v>1</v>
      </c>
      <c r="X1462" s="423">
        <v>7.5</v>
      </c>
      <c r="Y1462" s="423" t="s">
        <v>1041</v>
      </c>
      <c r="Z1462" s="423" t="s">
        <v>1041</v>
      </c>
      <c r="AD1462" s="423">
        <f>IF(ISNUMBER(MATCH(B1462,'FICHA SOLIC'!$AB$26:$AB$376,0)),1,0)</f>
        <v>1</v>
      </c>
      <c r="AE1462" s="423" t="str">
        <f t="shared" si="22"/>
        <v>San José de MaipoZH2 (El Melocotón)</v>
      </c>
    </row>
    <row r="1463" spans="1:31" x14ac:dyDescent="0.25">
      <c r="A1463" s="423">
        <v>1462</v>
      </c>
      <c r="B1463" s="423" t="s">
        <v>437</v>
      </c>
      <c r="C1463" s="423" t="s">
        <v>1720</v>
      </c>
      <c r="D1463" s="425" t="s">
        <v>990</v>
      </c>
      <c r="E1463" s="425" t="s">
        <v>991</v>
      </c>
      <c r="F1463" s="425" t="s">
        <v>992</v>
      </c>
      <c r="G1463" s="425" t="s">
        <v>1054</v>
      </c>
      <c r="H1463" s="426" t="s">
        <v>699</v>
      </c>
      <c r="I1463" s="425" t="s">
        <v>1055</v>
      </c>
      <c r="J1463" s="425" t="s">
        <v>697</v>
      </c>
      <c r="K1463" s="425" t="s">
        <v>995</v>
      </c>
      <c r="L1463" s="425" t="s">
        <v>996</v>
      </c>
      <c r="M1463" s="425" t="s">
        <v>997</v>
      </c>
      <c r="N1463" s="425" t="s">
        <v>558</v>
      </c>
      <c r="O1463" s="425" t="s">
        <v>998</v>
      </c>
      <c r="P1463" s="425" t="s">
        <v>999</v>
      </c>
      <c r="Q1463" s="425" t="s">
        <v>1000</v>
      </c>
      <c r="R1463" s="425" t="s">
        <v>1001</v>
      </c>
      <c r="S1463" s="425" t="s">
        <v>1002</v>
      </c>
      <c r="T1463" s="423">
        <v>700</v>
      </c>
      <c r="U1463" s="423" t="s">
        <v>1041</v>
      </c>
      <c r="V1463" s="423">
        <v>60</v>
      </c>
      <c r="W1463" s="423">
        <v>0.5</v>
      </c>
      <c r="X1463" s="423">
        <v>7.5</v>
      </c>
      <c r="Y1463" s="423" t="s">
        <v>1041</v>
      </c>
      <c r="Z1463" s="423" t="s">
        <v>1041</v>
      </c>
      <c r="AD1463" s="423">
        <f>IF(ISNUMBER(MATCH(B1463,'FICHA SOLIC'!$AB$26:$AB$376,0)),1,0)</f>
        <v>1</v>
      </c>
      <c r="AE1463" s="423" t="str">
        <f t="shared" si="22"/>
        <v>San José de MaipoZH2 (El Volcán)</v>
      </c>
    </row>
    <row r="1464" spans="1:31" x14ac:dyDescent="0.25">
      <c r="A1464" s="423">
        <v>1463</v>
      </c>
      <c r="B1464" s="423" t="s">
        <v>437</v>
      </c>
      <c r="C1464" s="423" t="s">
        <v>1714</v>
      </c>
      <c r="D1464" s="425" t="s">
        <v>990</v>
      </c>
      <c r="E1464" s="425" t="s">
        <v>991</v>
      </c>
      <c r="F1464" s="425" t="s">
        <v>992</v>
      </c>
      <c r="G1464" s="425" t="s">
        <v>1054</v>
      </c>
      <c r="H1464" s="426" t="s">
        <v>699</v>
      </c>
      <c r="I1464" s="425" t="s">
        <v>1055</v>
      </c>
      <c r="J1464" s="425" t="s">
        <v>697</v>
      </c>
      <c r="K1464" s="425" t="s">
        <v>995</v>
      </c>
      <c r="L1464" s="425" t="s">
        <v>996</v>
      </c>
      <c r="M1464" s="425" t="s">
        <v>997</v>
      </c>
      <c r="N1464" s="425" t="s">
        <v>558</v>
      </c>
      <c r="O1464" s="425" t="s">
        <v>998</v>
      </c>
      <c r="P1464" s="425" t="s">
        <v>999</v>
      </c>
      <c r="Q1464" s="425" t="s">
        <v>1000</v>
      </c>
      <c r="R1464" s="425" t="s">
        <v>1001</v>
      </c>
      <c r="S1464" s="425" t="s">
        <v>1002</v>
      </c>
      <c r="T1464" s="423">
        <v>2500</v>
      </c>
      <c r="U1464" s="423" t="s">
        <v>1041</v>
      </c>
      <c r="V1464" s="423">
        <v>40</v>
      </c>
      <c r="W1464" s="423">
        <v>0.5</v>
      </c>
      <c r="X1464" s="423">
        <v>7.5</v>
      </c>
      <c r="Y1464" s="423" t="s">
        <v>1041</v>
      </c>
      <c r="Z1464" s="423" t="s">
        <v>1041</v>
      </c>
      <c r="AD1464" s="423">
        <f>IF(ISNUMBER(MATCH(B1464,'FICHA SOLIC'!$AB$26:$AB$376,0)),1,0)</f>
        <v>1</v>
      </c>
      <c r="AE1464" s="423" t="str">
        <f t="shared" si="22"/>
        <v>San José de MaipoZH2 (Guayacán)</v>
      </c>
    </row>
    <row r="1465" spans="1:31" x14ac:dyDescent="0.25">
      <c r="A1465" s="423">
        <v>1464</v>
      </c>
      <c r="B1465" s="423" t="s">
        <v>437</v>
      </c>
      <c r="C1465" s="423" t="s">
        <v>1715</v>
      </c>
      <c r="D1465" s="425" t="s">
        <v>990</v>
      </c>
      <c r="E1465" s="425" t="s">
        <v>991</v>
      </c>
      <c r="F1465" s="425" t="s">
        <v>992</v>
      </c>
      <c r="G1465" s="425" t="s">
        <v>1054</v>
      </c>
      <c r="H1465" s="426" t="s">
        <v>699</v>
      </c>
      <c r="I1465" s="425" t="s">
        <v>1055</v>
      </c>
      <c r="J1465" s="425" t="s">
        <v>697</v>
      </c>
      <c r="K1465" s="425" t="s">
        <v>995</v>
      </c>
      <c r="L1465" s="425" t="s">
        <v>996</v>
      </c>
      <c r="M1465" s="425" t="s">
        <v>997</v>
      </c>
      <c r="N1465" s="425" t="s">
        <v>558</v>
      </c>
      <c r="O1465" s="425" t="s">
        <v>998</v>
      </c>
      <c r="P1465" s="425" t="s">
        <v>999</v>
      </c>
      <c r="Q1465" s="425" t="s">
        <v>1000</v>
      </c>
      <c r="R1465" s="425" t="s">
        <v>1001</v>
      </c>
      <c r="S1465" s="425" t="s">
        <v>1002</v>
      </c>
      <c r="T1465" s="423">
        <v>700</v>
      </c>
      <c r="U1465" s="423" t="s">
        <v>1041</v>
      </c>
      <c r="V1465" s="423">
        <v>60</v>
      </c>
      <c r="W1465" s="423">
        <v>0.5</v>
      </c>
      <c r="X1465" s="423">
        <v>7.5</v>
      </c>
      <c r="Y1465" s="423" t="s">
        <v>1041</v>
      </c>
      <c r="Z1465" s="423" t="s">
        <v>1041</v>
      </c>
      <c r="AD1465" s="423">
        <f>IF(ISNUMBER(MATCH(B1465,'FICHA SOLIC'!$AB$26:$AB$376,0)),1,0)</f>
        <v>1</v>
      </c>
      <c r="AE1465" s="423" t="str">
        <f t="shared" si="22"/>
        <v>San José de MaipoZH2 (Lagunillas)</v>
      </c>
    </row>
    <row r="1466" spans="1:31" x14ac:dyDescent="0.25">
      <c r="A1466" s="423">
        <v>1465</v>
      </c>
      <c r="B1466" s="423" t="s">
        <v>437</v>
      </c>
      <c r="C1466" s="423" t="s">
        <v>1711</v>
      </c>
      <c r="D1466" s="425" t="s">
        <v>990</v>
      </c>
      <c r="E1466" s="425" t="s">
        <v>991</v>
      </c>
      <c r="F1466" s="425" t="s">
        <v>992</v>
      </c>
      <c r="G1466" s="425" t="s">
        <v>1054</v>
      </c>
      <c r="H1466" s="426" t="s">
        <v>699</v>
      </c>
      <c r="I1466" s="425" t="s">
        <v>1055</v>
      </c>
      <c r="J1466" s="425" t="s">
        <v>697</v>
      </c>
      <c r="K1466" s="425" t="s">
        <v>995</v>
      </c>
      <c r="L1466" s="425" t="s">
        <v>996</v>
      </c>
      <c r="M1466" s="425" t="s">
        <v>997</v>
      </c>
      <c r="N1466" s="425" t="s">
        <v>558</v>
      </c>
      <c r="O1466" s="425" t="s">
        <v>998</v>
      </c>
      <c r="P1466" s="425" t="s">
        <v>999</v>
      </c>
      <c r="Q1466" s="425" t="s">
        <v>1000</v>
      </c>
      <c r="R1466" s="425" t="s">
        <v>1001</v>
      </c>
      <c r="S1466" s="425" t="s">
        <v>1002</v>
      </c>
      <c r="T1466" s="423">
        <v>700</v>
      </c>
      <c r="U1466" s="423" t="s">
        <v>1041</v>
      </c>
      <c r="V1466" s="423">
        <v>40</v>
      </c>
      <c r="W1466" s="423">
        <v>0.5</v>
      </c>
      <c r="X1466" s="423">
        <v>7.5</v>
      </c>
      <c r="Y1466" s="423" t="s">
        <v>1041</v>
      </c>
      <c r="Z1466" s="423" t="s">
        <v>1041</v>
      </c>
      <c r="AD1466" s="423">
        <f>IF(ISNUMBER(MATCH(B1466,'FICHA SOLIC'!$AB$26:$AB$376,0)),1,0)</f>
        <v>1</v>
      </c>
      <c r="AE1466" s="423" t="str">
        <f t="shared" si="22"/>
        <v>San José de MaipoZH2 (Las Vertientes)</v>
      </c>
    </row>
    <row r="1467" spans="1:31" x14ac:dyDescent="0.25">
      <c r="A1467" s="423">
        <v>1466</v>
      </c>
      <c r="B1467" s="423" t="s">
        <v>437</v>
      </c>
      <c r="C1467" s="423" t="s">
        <v>1717</v>
      </c>
      <c r="D1467" s="425" t="s">
        <v>990</v>
      </c>
      <c r="E1467" s="425" t="s">
        <v>991</v>
      </c>
      <c r="F1467" s="425" t="s">
        <v>992</v>
      </c>
      <c r="G1467" s="425" t="s">
        <v>1054</v>
      </c>
      <c r="H1467" s="426" t="s">
        <v>699</v>
      </c>
      <c r="I1467" s="425" t="s">
        <v>1055</v>
      </c>
      <c r="J1467" s="425" t="s">
        <v>697</v>
      </c>
      <c r="K1467" s="425" t="s">
        <v>995</v>
      </c>
      <c r="L1467" s="425" t="s">
        <v>996</v>
      </c>
      <c r="M1467" s="425" t="s">
        <v>997</v>
      </c>
      <c r="N1467" s="425" t="s">
        <v>558</v>
      </c>
      <c r="O1467" s="425" t="s">
        <v>998</v>
      </c>
      <c r="P1467" s="425" t="s">
        <v>999</v>
      </c>
      <c r="Q1467" s="425" t="s">
        <v>1000</v>
      </c>
      <c r="R1467" s="425" t="s">
        <v>1001</v>
      </c>
      <c r="S1467" s="425" t="s">
        <v>1002</v>
      </c>
      <c r="T1467" s="423">
        <v>500</v>
      </c>
      <c r="U1467" s="423" t="s">
        <v>1041</v>
      </c>
      <c r="V1467" s="423">
        <v>70</v>
      </c>
      <c r="W1467" s="423">
        <v>1</v>
      </c>
      <c r="X1467" s="423">
        <v>7.5</v>
      </c>
      <c r="Y1467" s="423" t="s">
        <v>1041</v>
      </c>
      <c r="Z1467" s="423" t="s">
        <v>1041</v>
      </c>
      <c r="AD1467" s="423">
        <f>IF(ISNUMBER(MATCH(B1467,'FICHA SOLIC'!$AB$26:$AB$376,0)),1,0)</f>
        <v>1</v>
      </c>
      <c r="AE1467" s="423" t="str">
        <f t="shared" si="22"/>
        <v>San José de MaipoZH2 (San Alfonso)</v>
      </c>
    </row>
    <row r="1468" spans="1:31" x14ac:dyDescent="0.25">
      <c r="A1468" s="423">
        <v>1467</v>
      </c>
      <c r="B1468" s="423" t="s">
        <v>437</v>
      </c>
      <c r="C1468" s="423" t="s">
        <v>1719</v>
      </c>
      <c r="D1468" s="425" t="s">
        <v>990</v>
      </c>
      <c r="E1468" s="425" t="s">
        <v>991</v>
      </c>
      <c r="F1468" s="425" t="s">
        <v>992</v>
      </c>
      <c r="G1468" s="425" t="s">
        <v>1054</v>
      </c>
      <c r="H1468" s="426" t="s">
        <v>699</v>
      </c>
      <c r="I1468" s="425" t="s">
        <v>1055</v>
      </c>
      <c r="J1468" s="425" t="s">
        <v>697</v>
      </c>
      <c r="K1468" s="425" t="s">
        <v>995</v>
      </c>
      <c r="L1468" s="425" t="s">
        <v>996</v>
      </c>
      <c r="M1468" s="425" t="s">
        <v>997</v>
      </c>
      <c r="N1468" s="425" t="s">
        <v>558</v>
      </c>
      <c r="O1468" s="425" t="s">
        <v>998</v>
      </c>
      <c r="P1468" s="425" t="s">
        <v>999</v>
      </c>
      <c r="Q1468" s="425" t="s">
        <v>1000</v>
      </c>
      <c r="R1468" s="425" t="s">
        <v>1001</v>
      </c>
      <c r="S1468" s="425" t="s">
        <v>1002</v>
      </c>
      <c r="T1468" s="423">
        <v>300</v>
      </c>
      <c r="U1468" s="423" t="s">
        <v>1041</v>
      </c>
      <c r="V1468" s="423">
        <v>70</v>
      </c>
      <c r="W1468" s="423">
        <v>1</v>
      </c>
      <c r="X1468" s="423">
        <v>7.5</v>
      </c>
      <c r="Y1468" s="423" t="s">
        <v>1041</v>
      </c>
      <c r="Z1468" s="423" t="s">
        <v>1041</v>
      </c>
      <c r="AD1468" s="423">
        <f>IF(ISNUMBER(MATCH(B1468,'FICHA SOLIC'!$AB$26:$AB$376,0)),1,0)</f>
        <v>1</v>
      </c>
      <c r="AE1468" s="423" t="str">
        <f t="shared" si="22"/>
        <v>San José de MaipoZH2 (San Gabriel)</v>
      </c>
    </row>
    <row r="1469" spans="1:31" x14ac:dyDescent="0.25">
      <c r="A1469" s="423">
        <v>1468</v>
      </c>
      <c r="B1469" s="423" t="s">
        <v>437</v>
      </c>
      <c r="C1469" s="423" t="s">
        <v>1721</v>
      </c>
      <c r="D1469" s="425" t="s">
        <v>990</v>
      </c>
      <c r="E1469" s="425" t="s">
        <v>991</v>
      </c>
      <c r="F1469" s="425" t="s">
        <v>992</v>
      </c>
      <c r="G1469" s="425" t="s">
        <v>1054</v>
      </c>
      <c r="H1469" s="426" t="s">
        <v>699</v>
      </c>
      <c r="I1469" s="425" t="s">
        <v>1055</v>
      </c>
      <c r="J1469" s="425" t="s">
        <v>697</v>
      </c>
      <c r="K1469" s="425" t="s">
        <v>995</v>
      </c>
      <c r="L1469" s="425" t="s">
        <v>996</v>
      </c>
      <c r="M1469" s="425" t="s">
        <v>997</v>
      </c>
      <c r="N1469" s="425" t="s">
        <v>558</v>
      </c>
      <c r="O1469" s="425" t="s">
        <v>998</v>
      </c>
      <c r="P1469" s="425" t="s">
        <v>999</v>
      </c>
      <c r="Q1469" s="425" t="s">
        <v>1000</v>
      </c>
      <c r="R1469" s="425" t="s">
        <v>1001</v>
      </c>
      <c r="S1469" s="425" t="s">
        <v>1002</v>
      </c>
      <c r="T1469" s="423">
        <v>2500</v>
      </c>
      <c r="U1469" s="423" t="s">
        <v>1041</v>
      </c>
      <c r="V1469" s="423">
        <v>20</v>
      </c>
      <c r="W1469" s="423">
        <v>0.2</v>
      </c>
      <c r="X1469" s="423">
        <v>7.5</v>
      </c>
      <c r="Y1469" s="423" t="s">
        <v>1041</v>
      </c>
      <c r="Z1469" s="423" t="s">
        <v>1041</v>
      </c>
      <c r="AD1469" s="423">
        <f>IF(ISNUMBER(MATCH(B1469,'FICHA SOLIC'!$AB$26:$AB$376,0)),1,0)</f>
        <v>1</v>
      </c>
      <c r="AE1469" s="423" t="str">
        <f t="shared" si="22"/>
        <v>San José de MaipoZH3 (El Canelo)</v>
      </c>
    </row>
    <row r="1470" spans="1:31" x14ac:dyDescent="0.25">
      <c r="A1470" s="423">
        <v>1469</v>
      </c>
      <c r="B1470" s="423" t="s">
        <v>437</v>
      </c>
      <c r="C1470" s="423" t="s">
        <v>1722</v>
      </c>
      <c r="D1470" s="425" t="s">
        <v>990</v>
      </c>
      <c r="E1470" s="425" t="s">
        <v>991</v>
      </c>
      <c r="F1470" s="425" t="s">
        <v>992</v>
      </c>
      <c r="G1470" s="425" t="s">
        <v>1054</v>
      </c>
      <c r="H1470" s="426" t="s">
        <v>699</v>
      </c>
      <c r="I1470" s="425" t="s">
        <v>1055</v>
      </c>
      <c r="J1470" s="425" t="s">
        <v>697</v>
      </c>
      <c r="K1470" s="425" t="s">
        <v>995</v>
      </c>
      <c r="L1470" s="425" t="s">
        <v>996</v>
      </c>
      <c r="M1470" s="425" t="s">
        <v>997</v>
      </c>
      <c r="N1470" s="425" t="s">
        <v>558</v>
      </c>
      <c r="O1470" s="425" t="s">
        <v>998</v>
      </c>
      <c r="P1470" s="425" t="s">
        <v>999</v>
      </c>
      <c r="Q1470" s="425" t="s">
        <v>1000</v>
      </c>
      <c r="R1470" s="425" t="s">
        <v>1001</v>
      </c>
      <c r="S1470" s="425" t="s">
        <v>1002</v>
      </c>
      <c r="T1470" s="423">
        <v>2500</v>
      </c>
      <c r="U1470" s="423" t="s">
        <v>1041</v>
      </c>
      <c r="V1470" s="423">
        <v>20</v>
      </c>
      <c r="W1470" s="423">
        <v>0.2</v>
      </c>
      <c r="X1470" s="423">
        <v>7.5</v>
      </c>
      <c r="Y1470" s="423" t="s">
        <v>1041</v>
      </c>
      <c r="Z1470" s="423" t="s">
        <v>1041</v>
      </c>
      <c r="AD1470" s="423">
        <f>IF(ISNUMBER(MATCH(B1470,'FICHA SOLIC'!$AB$26:$AB$376,0)),1,0)</f>
        <v>1</v>
      </c>
      <c r="AE1470" s="423" t="str">
        <f t="shared" si="22"/>
        <v>San José de MaipoZH3 (El Manzano)</v>
      </c>
    </row>
    <row r="1471" spans="1:31" x14ac:dyDescent="0.25">
      <c r="A1471" s="423">
        <v>1470</v>
      </c>
      <c r="B1471" s="423" t="s">
        <v>437</v>
      </c>
      <c r="C1471" s="423" t="s">
        <v>1723</v>
      </c>
      <c r="D1471" s="425" t="s">
        <v>990</v>
      </c>
      <c r="E1471" s="425" t="s">
        <v>991</v>
      </c>
      <c r="F1471" s="425" t="s">
        <v>992</v>
      </c>
      <c r="G1471" s="425" t="s">
        <v>1054</v>
      </c>
      <c r="H1471" s="426" t="s">
        <v>699</v>
      </c>
      <c r="I1471" s="425" t="s">
        <v>1055</v>
      </c>
      <c r="J1471" s="425" t="s">
        <v>697</v>
      </c>
      <c r="K1471" s="425" t="s">
        <v>995</v>
      </c>
      <c r="L1471" s="425" t="s">
        <v>996</v>
      </c>
      <c r="M1471" s="425" t="s">
        <v>997</v>
      </c>
      <c r="N1471" s="425" t="s">
        <v>558</v>
      </c>
      <c r="O1471" s="425" t="s">
        <v>998</v>
      </c>
      <c r="P1471" s="425" t="s">
        <v>999</v>
      </c>
      <c r="Q1471" s="425" t="s">
        <v>1000</v>
      </c>
      <c r="R1471" s="425" t="s">
        <v>1001</v>
      </c>
      <c r="S1471" s="425" t="s">
        <v>1002</v>
      </c>
      <c r="T1471" s="423">
        <v>2500</v>
      </c>
      <c r="U1471" s="423" t="s">
        <v>1041</v>
      </c>
      <c r="V1471" s="423">
        <v>20</v>
      </c>
      <c r="W1471" s="423">
        <v>0.2</v>
      </c>
      <c r="X1471" s="423">
        <v>7.5</v>
      </c>
      <c r="Y1471" s="423" t="s">
        <v>1041</v>
      </c>
      <c r="Z1471" s="423" t="s">
        <v>1041</v>
      </c>
      <c r="AD1471" s="423">
        <f>IF(ISNUMBER(MATCH(B1471,'FICHA SOLIC'!$AB$26:$AB$376,0)),1,0)</f>
        <v>1</v>
      </c>
      <c r="AE1471" s="423" t="str">
        <f t="shared" si="22"/>
        <v>San José de MaipoZH4 (San José de Maipo)</v>
      </c>
    </row>
    <row r="1472" spans="1:31" x14ac:dyDescent="0.25">
      <c r="A1472" s="423">
        <v>1471</v>
      </c>
      <c r="B1472" s="423" t="s">
        <v>437</v>
      </c>
      <c r="C1472" s="423" t="s">
        <v>1724</v>
      </c>
      <c r="D1472" s="425" t="s">
        <v>990</v>
      </c>
      <c r="E1472" s="425" t="s">
        <v>991</v>
      </c>
      <c r="F1472" s="425" t="s">
        <v>992</v>
      </c>
      <c r="G1472" s="425" t="s">
        <v>1054</v>
      </c>
      <c r="H1472" s="426" t="s">
        <v>699</v>
      </c>
      <c r="I1472" s="425" t="s">
        <v>1055</v>
      </c>
      <c r="J1472" s="425" t="s">
        <v>697</v>
      </c>
      <c r="K1472" s="425" t="s">
        <v>995</v>
      </c>
      <c r="L1472" s="425" t="s">
        <v>996</v>
      </c>
      <c r="M1472" s="425" t="s">
        <v>997</v>
      </c>
      <c r="N1472" s="425" t="s">
        <v>558</v>
      </c>
      <c r="O1472" s="425" t="s">
        <v>998</v>
      </c>
      <c r="P1472" s="425" t="s">
        <v>999</v>
      </c>
      <c r="Q1472" s="425" t="s">
        <v>1000</v>
      </c>
      <c r="R1472" s="425" t="s">
        <v>1001</v>
      </c>
      <c r="S1472" s="425" t="s">
        <v>1002</v>
      </c>
      <c r="T1472" s="423">
        <v>300</v>
      </c>
      <c r="U1472" s="423" t="s">
        <v>1041</v>
      </c>
      <c r="V1472" s="423">
        <v>50</v>
      </c>
      <c r="W1472" s="423">
        <v>0.5</v>
      </c>
      <c r="X1472" s="423">
        <v>7.5</v>
      </c>
      <c r="Y1472" s="423" t="s">
        <v>1041</v>
      </c>
      <c r="Z1472" s="423" t="s">
        <v>1041</v>
      </c>
      <c r="AD1472" s="423">
        <f>IF(ISNUMBER(MATCH(B1472,'FICHA SOLIC'!$AB$26:$AB$376,0)),1,0)</f>
        <v>1</v>
      </c>
      <c r="AE1472" s="423" t="str">
        <f t="shared" si="22"/>
        <v>San José de MaipoZH5 (San José de Maipo)</v>
      </c>
    </row>
    <row r="1473" spans="1:31" x14ac:dyDescent="0.25">
      <c r="A1473" s="423">
        <v>1472</v>
      </c>
      <c r="B1473" s="423" t="s">
        <v>437</v>
      </c>
      <c r="C1473" s="423" t="s">
        <v>1689</v>
      </c>
      <c r="D1473" s="425" t="s">
        <v>990</v>
      </c>
      <c r="E1473" s="425" t="s">
        <v>991</v>
      </c>
      <c r="F1473" s="425" t="s">
        <v>992</v>
      </c>
      <c r="G1473" s="425" t="s">
        <v>1054</v>
      </c>
      <c r="H1473" s="426" t="s">
        <v>699</v>
      </c>
      <c r="I1473" s="425" t="s">
        <v>1055</v>
      </c>
      <c r="J1473" s="425" t="s">
        <v>697</v>
      </c>
      <c r="K1473" s="425" t="s">
        <v>995</v>
      </c>
      <c r="L1473" s="425" t="s">
        <v>996</v>
      </c>
      <c r="M1473" s="425" t="s">
        <v>997</v>
      </c>
      <c r="N1473" s="425" t="s">
        <v>558</v>
      </c>
      <c r="O1473" s="425" t="s">
        <v>998</v>
      </c>
      <c r="P1473" s="425" t="s">
        <v>999</v>
      </c>
      <c r="Q1473" s="425" t="s">
        <v>1000</v>
      </c>
      <c r="R1473" s="425" t="s">
        <v>1001</v>
      </c>
      <c r="S1473" s="425" t="s">
        <v>1002</v>
      </c>
      <c r="T1473" s="423" t="s">
        <v>1041</v>
      </c>
      <c r="U1473" s="423" t="s">
        <v>1041</v>
      </c>
      <c r="V1473" s="423" t="s">
        <v>1041</v>
      </c>
      <c r="W1473" s="423" t="s">
        <v>1041</v>
      </c>
      <c r="X1473" s="423" t="s">
        <v>1041</v>
      </c>
      <c r="Y1473" s="423" t="s">
        <v>1041</v>
      </c>
      <c r="Z1473" s="423" t="s">
        <v>1041</v>
      </c>
      <c r="AD1473" s="423">
        <f>IF(ISNUMBER(MATCH(B1473,'FICHA SOLIC'!$AB$26:$AB$376,0)),1,0)</f>
        <v>1</v>
      </c>
      <c r="AE1473" s="423" t="str">
        <f t="shared" si="22"/>
        <v>San José de MaipoZI</v>
      </c>
    </row>
    <row r="1474" spans="1:31" x14ac:dyDescent="0.25">
      <c r="A1474" s="423">
        <v>1473</v>
      </c>
      <c r="B1474" s="423" t="s">
        <v>437</v>
      </c>
      <c r="C1474" s="423" t="s">
        <v>1704</v>
      </c>
      <c r="D1474" s="425" t="s">
        <v>990</v>
      </c>
      <c r="E1474" s="425" t="s">
        <v>991</v>
      </c>
      <c r="F1474" s="425" t="s">
        <v>992</v>
      </c>
      <c r="G1474" s="425" t="s">
        <v>1054</v>
      </c>
      <c r="H1474" s="426" t="s">
        <v>699</v>
      </c>
      <c r="I1474" s="425" t="s">
        <v>1055</v>
      </c>
      <c r="J1474" s="425" t="s">
        <v>697</v>
      </c>
      <c r="K1474" s="425" t="s">
        <v>995</v>
      </c>
      <c r="L1474" s="425" t="s">
        <v>996</v>
      </c>
      <c r="M1474" s="425" t="s">
        <v>997</v>
      </c>
      <c r="N1474" s="425" t="s">
        <v>558</v>
      </c>
      <c r="O1474" s="425" t="s">
        <v>998</v>
      </c>
      <c r="P1474" s="425" t="s">
        <v>999</v>
      </c>
      <c r="Q1474" s="425" t="s">
        <v>1000</v>
      </c>
      <c r="R1474" s="425" t="s">
        <v>1001</v>
      </c>
      <c r="S1474" s="425" t="s">
        <v>1002</v>
      </c>
      <c r="T1474" s="423">
        <v>250</v>
      </c>
      <c r="U1474" s="423" t="s">
        <v>1041</v>
      </c>
      <c r="V1474" s="423">
        <v>70</v>
      </c>
      <c r="W1474" s="423">
        <v>1</v>
      </c>
      <c r="X1474" s="423">
        <v>7.5</v>
      </c>
      <c r="Y1474" s="423" t="s">
        <v>1041</v>
      </c>
      <c r="Z1474" s="423" t="s">
        <v>1041</v>
      </c>
      <c r="AD1474" s="423">
        <f>IF(ISNUMBER(MATCH(B1474,'FICHA SOLIC'!$AB$26:$AB$376,0)),1,0)</f>
        <v>1</v>
      </c>
      <c r="AE1474" s="423" t="str">
        <f t="shared" si="22"/>
        <v>San José de MaipoZM1 (Baños Morales)</v>
      </c>
    </row>
    <row r="1475" spans="1:31" x14ac:dyDescent="0.25">
      <c r="A1475" s="423">
        <v>1474</v>
      </c>
      <c r="B1475" s="423" t="s">
        <v>437</v>
      </c>
      <c r="C1475" s="423" t="s">
        <v>1696</v>
      </c>
      <c r="D1475" s="425" t="s">
        <v>990</v>
      </c>
      <c r="E1475" s="425" t="s">
        <v>991</v>
      </c>
      <c r="F1475" s="425" t="s">
        <v>992</v>
      </c>
      <c r="G1475" s="425" t="s">
        <v>1054</v>
      </c>
      <c r="H1475" s="426" t="s">
        <v>699</v>
      </c>
      <c r="I1475" s="425" t="s">
        <v>1055</v>
      </c>
      <c r="J1475" s="425" t="s">
        <v>697</v>
      </c>
      <c r="K1475" s="425" t="s">
        <v>995</v>
      </c>
      <c r="L1475" s="425" t="s">
        <v>996</v>
      </c>
      <c r="M1475" s="425" t="s">
        <v>997</v>
      </c>
      <c r="N1475" s="425" t="s">
        <v>558</v>
      </c>
      <c r="O1475" s="425" t="s">
        <v>998</v>
      </c>
      <c r="P1475" s="425" t="s">
        <v>999</v>
      </c>
      <c r="Q1475" s="425" t="s">
        <v>1000</v>
      </c>
      <c r="R1475" s="425" t="s">
        <v>1001</v>
      </c>
      <c r="S1475" s="425" t="s">
        <v>1002</v>
      </c>
      <c r="T1475" s="423">
        <v>500</v>
      </c>
      <c r="U1475" s="423" t="s">
        <v>1041</v>
      </c>
      <c r="V1475" s="423">
        <v>70</v>
      </c>
      <c r="W1475" s="423">
        <v>1</v>
      </c>
      <c r="X1475" s="423">
        <v>7.5</v>
      </c>
      <c r="Y1475" s="423" t="s">
        <v>1041</v>
      </c>
      <c r="Z1475" s="423" t="s">
        <v>1041</v>
      </c>
      <c r="AD1475" s="423">
        <f>IF(ISNUMBER(MATCH(B1475,'FICHA SOLIC'!$AB$26:$AB$376,0)),1,0)</f>
        <v>1</v>
      </c>
      <c r="AE1475" s="423" t="str">
        <f t="shared" ref="AE1475:AE1538" si="23">B1475&amp;C1475</f>
        <v>San José de MaipoZM1 (El Canelo)</v>
      </c>
    </row>
    <row r="1476" spans="1:31" x14ac:dyDescent="0.25">
      <c r="A1476" s="423">
        <v>1475</v>
      </c>
      <c r="B1476" s="423" t="s">
        <v>437</v>
      </c>
      <c r="C1476" s="423" t="s">
        <v>1701</v>
      </c>
      <c r="D1476" s="425" t="s">
        <v>990</v>
      </c>
      <c r="E1476" s="425" t="s">
        <v>991</v>
      </c>
      <c r="F1476" s="425" t="s">
        <v>992</v>
      </c>
      <c r="G1476" s="425" t="s">
        <v>1054</v>
      </c>
      <c r="H1476" s="426" t="s">
        <v>699</v>
      </c>
      <c r="I1476" s="425" t="s">
        <v>1055</v>
      </c>
      <c r="J1476" s="425" t="s">
        <v>697</v>
      </c>
      <c r="K1476" s="425" t="s">
        <v>995</v>
      </c>
      <c r="L1476" s="425" t="s">
        <v>996</v>
      </c>
      <c r="M1476" s="425" t="s">
        <v>997</v>
      </c>
      <c r="N1476" s="425" t="s">
        <v>558</v>
      </c>
      <c r="O1476" s="425" t="s">
        <v>998</v>
      </c>
      <c r="P1476" s="425" t="s">
        <v>999</v>
      </c>
      <c r="Q1476" s="425" t="s">
        <v>1000</v>
      </c>
      <c r="R1476" s="425" t="s">
        <v>1001</v>
      </c>
      <c r="S1476" s="425" t="s">
        <v>1002</v>
      </c>
      <c r="T1476" s="423">
        <v>500</v>
      </c>
      <c r="U1476" s="423" t="s">
        <v>1041</v>
      </c>
      <c r="V1476" s="423">
        <v>50</v>
      </c>
      <c r="W1476" s="423">
        <v>1</v>
      </c>
      <c r="X1476" s="423">
        <v>7.5</v>
      </c>
      <c r="Y1476" s="423" t="s">
        <v>1041</v>
      </c>
      <c r="Z1476" s="423" t="s">
        <v>1041</v>
      </c>
      <c r="AD1476" s="423">
        <f>IF(ISNUMBER(MATCH(B1476,'FICHA SOLIC'!$AB$26:$AB$376,0)),1,0)</f>
        <v>1</v>
      </c>
      <c r="AE1476" s="423" t="str">
        <f t="shared" si="23"/>
        <v>San José de MaipoZM1 (El Ingenio)</v>
      </c>
    </row>
    <row r="1477" spans="1:31" x14ac:dyDescent="0.25">
      <c r="A1477" s="423">
        <v>1476</v>
      </c>
      <c r="B1477" s="423" t="s">
        <v>437</v>
      </c>
      <c r="C1477" s="423" t="s">
        <v>1697</v>
      </c>
      <c r="D1477" s="425" t="s">
        <v>990</v>
      </c>
      <c r="E1477" s="425" t="s">
        <v>991</v>
      </c>
      <c r="F1477" s="425" t="s">
        <v>992</v>
      </c>
      <c r="G1477" s="425" t="s">
        <v>1054</v>
      </c>
      <c r="H1477" s="426" t="s">
        <v>699</v>
      </c>
      <c r="I1477" s="425" t="s">
        <v>1055</v>
      </c>
      <c r="J1477" s="425" t="s">
        <v>697</v>
      </c>
      <c r="K1477" s="425" t="s">
        <v>995</v>
      </c>
      <c r="L1477" s="425" t="s">
        <v>996</v>
      </c>
      <c r="M1477" s="425" t="s">
        <v>997</v>
      </c>
      <c r="N1477" s="425" t="s">
        <v>558</v>
      </c>
      <c r="O1477" s="425" t="s">
        <v>998</v>
      </c>
      <c r="P1477" s="425" t="s">
        <v>999</v>
      </c>
      <c r="Q1477" s="425" t="s">
        <v>1000</v>
      </c>
      <c r="R1477" s="425" t="s">
        <v>1001</v>
      </c>
      <c r="S1477" s="425" t="s">
        <v>1002</v>
      </c>
      <c r="T1477" s="423">
        <v>500</v>
      </c>
      <c r="U1477" s="423" t="s">
        <v>1041</v>
      </c>
      <c r="V1477" s="423">
        <v>70</v>
      </c>
      <c r="W1477" s="423">
        <v>1</v>
      </c>
      <c r="X1477" s="423">
        <v>7.5</v>
      </c>
      <c r="Y1477" s="423" t="s">
        <v>1041</v>
      </c>
      <c r="Z1477" s="423" t="s">
        <v>1041</v>
      </c>
      <c r="AD1477" s="423">
        <f>IF(ISNUMBER(MATCH(B1477,'FICHA SOLIC'!$AB$26:$AB$376,0)),1,0)</f>
        <v>1</v>
      </c>
      <c r="AE1477" s="423" t="str">
        <f t="shared" si="23"/>
        <v>San José de MaipoZM1 (El Manzano)</v>
      </c>
    </row>
    <row r="1478" spans="1:31" x14ac:dyDescent="0.25">
      <c r="A1478" s="423">
        <v>1477</v>
      </c>
      <c r="B1478" s="423" t="s">
        <v>437</v>
      </c>
      <c r="C1478" s="423" t="s">
        <v>1698</v>
      </c>
      <c r="D1478" s="425" t="s">
        <v>990</v>
      </c>
      <c r="E1478" s="425" t="s">
        <v>991</v>
      </c>
      <c r="F1478" s="425" t="s">
        <v>992</v>
      </c>
      <c r="G1478" s="425" t="s">
        <v>1054</v>
      </c>
      <c r="H1478" s="426" t="s">
        <v>699</v>
      </c>
      <c r="I1478" s="425" t="s">
        <v>1055</v>
      </c>
      <c r="J1478" s="425" t="s">
        <v>697</v>
      </c>
      <c r="K1478" s="425" t="s">
        <v>995</v>
      </c>
      <c r="L1478" s="425" t="s">
        <v>996</v>
      </c>
      <c r="M1478" s="425" t="s">
        <v>997</v>
      </c>
      <c r="N1478" s="425" t="s">
        <v>558</v>
      </c>
      <c r="O1478" s="425" t="s">
        <v>998</v>
      </c>
      <c r="P1478" s="425" t="s">
        <v>999</v>
      </c>
      <c r="Q1478" s="425" t="s">
        <v>1000</v>
      </c>
      <c r="R1478" s="425" t="s">
        <v>1001</v>
      </c>
      <c r="S1478" s="425" t="s">
        <v>1002</v>
      </c>
      <c r="T1478" s="423">
        <v>500</v>
      </c>
      <c r="U1478" s="423" t="s">
        <v>1041</v>
      </c>
      <c r="V1478" s="423">
        <v>70</v>
      </c>
      <c r="W1478" s="423">
        <v>1</v>
      </c>
      <c r="X1478" s="423">
        <v>7.5</v>
      </c>
      <c r="Y1478" s="423" t="s">
        <v>1041</v>
      </c>
      <c r="Z1478" s="423" t="s">
        <v>1041</v>
      </c>
      <c r="AD1478" s="423">
        <f>IF(ISNUMBER(MATCH(B1478,'FICHA SOLIC'!$AB$26:$AB$376,0)),1,0)</f>
        <v>1</v>
      </c>
      <c r="AE1478" s="423" t="str">
        <f t="shared" si="23"/>
        <v>San José de MaipoZM1 (El Melocotón)</v>
      </c>
    </row>
    <row r="1479" spans="1:31" x14ac:dyDescent="0.25">
      <c r="A1479" s="423">
        <v>1478</v>
      </c>
      <c r="B1479" s="423" t="s">
        <v>437</v>
      </c>
      <c r="C1479" s="423" t="s">
        <v>1703</v>
      </c>
      <c r="D1479" s="425" t="s">
        <v>990</v>
      </c>
      <c r="E1479" s="425" t="s">
        <v>991</v>
      </c>
      <c r="F1479" s="425" t="s">
        <v>992</v>
      </c>
      <c r="G1479" s="425" t="s">
        <v>1054</v>
      </c>
      <c r="H1479" s="426" t="s">
        <v>699</v>
      </c>
      <c r="I1479" s="425" t="s">
        <v>1055</v>
      </c>
      <c r="J1479" s="425" t="s">
        <v>697</v>
      </c>
      <c r="K1479" s="425" t="s">
        <v>995</v>
      </c>
      <c r="L1479" s="425" t="s">
        <v>996</v>
      </c>
      <c r="M1479" s="425" t="s">
        <v>997</v>
      </c>
      <c r="N1479" s="425" t="s">
        <v>558</v>
      </c>
      <c r="O1479" s="425" t="s">
        <v>998</v>
      </c>
      <c r="P1479" s="425" t="s">
        <v>999</v>
      </c>
      <c r="Q1479" s="425" t="s">
        <v>1000</v>
      </c>
      <c r="R1479" s="425" t="s">
        <v>1001</v>
      </c>
      <c r="S1479" s="425" t="s">
        <v>1002</v>
      </c>
      <c r="T1479" s="423">
        <v>300</v>
      </c>
      <c r="U1479" s="423" t="s">
        <v>1041</v>
      </c>
      <c r="V1479" s="423">
        <v>70</v>
      </c>
      <c r="W1479" s="423">
        <v>1.5</v>
      </c>
      <c r="X1479" s="423">
        <v>7.5</v>
      </c>
      <c r="Y1479" s="423" t="s">
        <v>1041</v>
      </c>
      <c r="Z1479" s="423" t="s">
        <v>1041</v>
      </c>
      <c r="AD1479" s="423">
        <f>IF(ISNUMBER(MATCH(B1479,'FICHA SOLIC'!$AB$26:$AB$376,0)),1,0)</f>
        <v>1</v>
      </c>
      <c r="AE1479" s="423" t="str">
        <f t="shared" si="23"/>
        <v>San José de MaipoZM1 (El Volcán)</v>
      </c>
    </row>
    <row r="1480" spans="1:31" x14ac:dyDescent="0.25">
      <c r="A1480" s="423">
        <v>1479</v>
      </c>
      <c r="B1480" s="423" t="s">
        <v>437</v>
      </c>
      <c r="C1480" s="423" t="s">
        <v>1694</v>
      </c>
      <c r="D1480" s="425" t="s">
        <v>990</v>
      </c>
      <c r="E1480" s="425" t="s">
        <v>991</v>
      </c>
      <c r="F1480" s="425" t="s">
        <v>992</v>
      </c>
      <c r="G1480" s="425" t="s">
        <v>1054</v>
      </c>
      <c r="H1480" s="426" t="s">
        <v>699</v>
      </c>
      <c r="I1480" s="425" t="s">
        <v>1055</v>
      </c>
      <c r="J1480" s="425" t="s">
        <v>697</v>
      </c>
      <c r="K1480" s="425" t="s">
        <v>995</v>
      </c>
      <c r="L1480" s="425" t="s">
        <v>996</v>
      </c>
      <c r="M1480" s="425" t="s">
        <v>997</v>
      </c>
      <c r="N1480" s="425" t="s">
        <v>558</v>
      </c>
      <c r="O1480" s="425" t="s">
        <v>998</v>
      </c>
      <c r="P1480" s="425" t="s">
        <v>999</v>
      </c>
      <c r="Q1480" s="425" t="s">
        <v>1000</v>
      </c>
      <c r="R1480" s="425" t="s">
        <v>1001</v>
      </c>
      <c r="S1480" s="425" t="s">
        <v>1002</v>
      </c>
      <c r="T1480" s="423">
        <v>300</v>
      </c>
      <c r="U1480" s="423" t="s">
        <v>1041</v>
      </c>
      <c r="V1480" s="423">
        <v>70</v>
      </c>
      <c r="W1480" s="423">
        <v>1.5</v>
      </c>
      <c r="X1480" s="423">
        <v>7.5</v>
      </c>
      <c r="Y1480" s="423" t="s">
        <v>1041</v>
      </c>
      <c r="Z1480" s="423" t="s">
        <v>1041</v>
      </c>
      <c r="AD1480" s="423">
        <f>IF(ISNUMBER(MATCH(B1480,'FICHA SOLIC'!$AB$26:$AB$376,0)),1,0)</f>
        <v>1</v>
      </c>
      <c r="AE1480" s="423" t="str">
        <f t="shared" si="23"/>
        <v>San José de MaipoZM1 (La Obra)</v>
      </c>
    </row>
    <row r="1481" spans="1:31" x14ac:dyDescent="0.25">
      <c r="A1481" s="423">
        <v>1480</v>
      </c>
      <c r="B1481" s="423" t="s">
        <v>437</v>
      </c>
      <c r="C1481" s="423" t="s">
        <v>1695</v>
      </c>
      <c r="D1481" s="425" t="s">
        <v>990</v>
      </c>
      <c r="E1481" s="425" t="s">
        <v>991</v>
      </c>
      <c r="F1481" s="425" t="s">
        <v>992</v>
      </c>
      <c r="G1481" s="425" t="s">
        <v>1054</v>
      </c>
      <c r="H1481" s="426" t="s">
        <v>699</v>
      </c>
      <c r="I1481" s="425" t="s">
        <v>1055</v>
      </c>
      <c r="J1481" s="425" t="s">
        <v>697</v>
      </c>
      <c r="K1481" s="425" t="s">
        <v>995</v>
      </c>
      <c r="L1481" s="425" t="s">
        <v>996</v>
      </c>
      <c r="M1481" s="425" t="s">
        <v>997</v>
      </c>
      <c r="N1481" s="425" t="s">
        <v>558</v>
      </c>
      <c r="O1481" s="425" t="s">
        <v>998</v>
      </c>
      <c r="P1481" s="425" t="s">
        <v>999</v>
      </c>
      <c r="Q1481" s="425" t="s">
        <v>1000</v>
      </c>
      <c r="R1481" s="425" t="s">
        <v>1001</v>
      </c>
      <c r="S1481" s="425" t="s">
        <v>1002</v>
      </c>
      <c r="T1481" s="423">
        <v>300</v>
      </c>
      <c r="U1481" s="423" t="s">
        <v>1041</v>
      </c>
      <c r="V1481" s="423">
        <v>70</v>
      </c>
      <c r="W1481" s="423">
        <v>1</v>
      </c>
      <c r="X1481" s="423">
        <v>7.5</v>
      </c>
      <c r="Y1481" s="423" t="s">
        <v>1041</v>
      </c>
      <c r="Z1481" s="423" t="s">
        <v>1041</v>
      </c>
      <c r="AD1481" s="423">
        <f>IF(ISNUMBER(MATCH(B1481,'FICHA SOLIC'!$AB$26:$AB$376,0)),1,0)</f>
        <v>1</v>
      </c>
      <c r="AE1481" s="423" t="str">
        <f t="shared" si="23"/>
        <v>San José de MaipoZM1 (Las Vertientes)</v>
      </c>
    </row>
    <row r="1482" spans="1:31" x14ac:dyDescent="0.25">
      <c r="A1482" s="423">
        <v>1481</v>
      </c>
      <c r="B1482" s="423" t="s">
        <v>437</v>
      </c>
      <c r="C1482" s="423" t="s">
        <v>1700</v>
      </c>
      <c r="D1482" s="425" t="s">
        <v>990</v>
      </c>
      <c r="E1482" s="425" t="s">
        <v>991</v>
      </c>
      <c r="F1482" s="425" t="s">
        <v>992</v>
      </c>
      <c r="G1482" s="425" t="s">
        <v>1054</v>
      </c>
      <c r="H1482" s="426" t="s">
        <v>699</v>
      </c>
      <c r="I1482" s="425" t="s">
        <v>1055</v>
      </c>
      <c r="J1482" s="425" t="s">
        <v>697</v>
      </c>
      <c r="K1482" s="425" t="s">
        <v>995</v>
      </c>
      <c r="L1482" s="425" t="s">
        <v>996</v>
      </c>
      <c r="M1482" s="425" t="s">
        <v>997</v>
      </c>
      <c r="N1482" s="425" t="s">
        <v>558</v>
      </c>
      <c r="O1482" s="425" t="s">
        <v>998</v>
      </c>
      <c r="P1482" s="425" t="s">
        <v>999</v>
      </c>
      <c r="Q1482" s="425" t="s">
        <v>1000</v>
      </c>
      <c r="R1482" s="425" t="s">
        <v>1001</v>
      </c>
      <c r="S1482" s="425" t="s">
        <v>1002</v>
      </c>
      <c r="T1482" s="423">
        <v>500</v>
      </c>
      <c r="U1482" s="423" t="s">
        <v>1041</v>
      </c>
      <c r="V1482" s="423">
        <v>70</v>
      </c>
      <c r="W1482" s="423">
        <v>1</v>
      </c>
      <c r="X1482" s="423">
        <v>7.5</v>
      </c>
      <c r="Y1482" s="423" t="s">
        <v>1041</v>
      </c>
      <c r="Z1482" s="423" t="s">
        <v>1041</v>
      </c>
      <c r="AD1482" s="423">
        <f>IF(ISNUMBER(MATCH(B1482,'FICHA SOLIC'!$AB$26:$AB$376,0)),1,0)</f>
        <v>1</v>
      </c>
      <c r="AE1482" s="423" t="str">
        <f t="shared" si="23"/>
        <v>San José de MaipoZM1 (San Alfonso)</v>
      </c>
    </row>
    <row r="1483" spans="1:31" x14ac:dyDescent="0.25">
      <c r="A1483" s="423">
        <v>1482</v>
      </c>
      <c r="B1483" s="423" t="s">
        <v>437</v>
      </c>
      <c r="C1483" s="423" t="s">
        <v>1702</v>
      </c>
      <c r="D1483" s="425" t="s">
        <v>990</v>
      </c>
      <c r="E1483" s="425" t="s">
        <v>991</v>
      </c>
      <c r="F1483" s="425" t="s">
        <v>992</v>
      </c>
      <c r="G1483" s="425" t="s">
        <v>1054</v>
      </c>
      <c r="H1483" s="426" t="s">
        <v>699</v>
      </c>
      <c r="I1483" s="425" t="s">
        <v>1055</v>
      </c>
      <c r="J1483" s="425" t="s">
        <v>697</v>
      </c>
      <c r="K1483" s="425" t="s">
        <v>995</v>
      </c>
      <c r="L1483" s="425" t="s">
        <v>996</v>
      </c>
      <c r="M1483" s="425" t="s">
        <v>997</v>
      </c>
      <c r="N1483" s="425" t="s">
        <v>558</v>
      </c>
      <c r="O1483" s="425" t="s">
        <v>998</v>
      </c>
      <c r="P1483" s="425" t="s">
        <v>999</v>
      </c>
      <c r="Q1483" s="425" t="s">
        <v>1000</v>
      </c>
      <c r="R1483" s="425" t="s">
        <v>1001</v>
      </c>
      <c r="S1483" s="425" t="s">
        <v>1002</v>
      </c>
      <c r="T1483" s="423">
        <v>300</v>
      </c>
      <c r="U1483" s="423" t="s">
        <v>1041</v>
      </c>
      <c r="V1483" s="423">
        <v>70</v>
      </c>
      <c r="W1483" s="423">
        <v>1</v>
      </c>
      <c r="X1483" s="423">
        <v>7.5</v>
      </c>
      <c r="Y1483" s="423" t="s">
        <v>1041</v>
      </c>
      <c r="Z1483" s="423" t="s">
        <v>1041</v>
      </c>
      <c r="AD1483" s="423">
        <f>IF(ISNUMBER(MATCH(B1483,'FICHA SOLIC'!$AB$26:$AB$376,0)),1,0)</f>
        <v>1</v>
      </c>
      <c r="AE1483" s="423" t="str">
        <f t="shared" si="23"/>
        <v>San José de MaipoZM1 (San Gabriel)</v>
      </c>
    </row>
    <row r="1484" spans="1:31" x14ac:dyDescent="0.25">
      <c r="A1484" s="423">
        <v>1483</v>
      </c>
      <c r="B1484" s="423" t="s">
        <v>437</v>
      </c>
      <c r="C1484" s="423" t="s">
        <v>1699</v>
      </c>
      <c r="D1484" s="425" t="s">
        <v>990</v>
      </c>
      <c r="E1484" s="425" t="s">
        <v>991</v>
      </c>
      <c r="F1484" s="425" t="s">
        <v>992</v>
      </c>
      <c r="G1484" s="425" t="s">
        <v>1054</v>
      </c>
      <c r="H1484" s="426" t="s">
        <v>699</v>
      </c>
      <c r="I1484" s="425" t="s">
        <v>1055</v>
      </c>
      <c r="J1484" s="425" t="s">
        <v>697</v>
      </c>
      <c r="K1484" s="425" t="s">
        <v>995</v>
      </c>
      <c r="L1484" s="425" t="s">
        <v>996</v>
      </c>
      <c r="M1484" s="425" t="s">
        <v>997</v>
      </c>
      <c r="N1484" s="425" t="s">
        <v>558</v>
      </c>
      <c r="O1484" s="425" t="s">
        <v>998</v>
      </c>
      <c r="P1484" s="425" t="s">
        <v>999</v>
      </c>
      <c r="Q1484" s="425" t="s">
        <v>1000</v>
      </c>
      <c r="R1484" s="425" t="s">
        <v>1001</v>
      </c>
      <c r="S1484" s="425" t="s">
        <v>1002</v>
      </c>
      <c r="T1484" s="423">
        <v>300</v>
      </c>
      <c r="U1484" s="423" t="s">
        <v>1041</v>
      </c>
      <c r="V1484" s="423">
        <v>80</v>
      </c>
      <c r="W1484" s="423">
        <v>2.5</v>
      </c>
      <c r="X1484" s="423">
        <v>12</v>
      </c>
      <c r="Y1484" s="423" t="s">
        <v>1041</v>
      </c>
      <c r="Z1484" s="423" t="s">
        <v>1041</v>
      </c>
      <c r="AD1484" s="423">
        <f>IF(ISNUMBER(MATCH(B1484,'FICHA SOLIC'!$AB$26:$AB$376,0)),1,0)</f>
        <v>1</v>
      </c>
      <c r="AE1484" s="423" t="str">
        <f t="shared" si="23"/>
        <v>San José de MaipoZM1 (San José de Maipo)</v>
      </c>
    </row>
    <row r="1485" spans="1:31" x14ac:dyDescent="0.25">
      <c r="A1485" s="423">
        <v>1484</v>
      </c>
      <c r="B1485" s="423" t="s">
        <v>437</v>
      </c>
      <c r="C1485" s="423" t="s">
        <v>1706</v>
      </c>
      <c r="D1485" s="425" t="s">
        <v>990</v>
      </c>
      <c r="E1485" s="425" t="s">
        <v>991</v>
      </c>
      <c r="F1485" s="425" t="s">
        <v>992</v>
      </c>
      <c r="G1485" s="425" t="s">
        <v>1054</v>
      </c>
      <c r="H1485" s="426" t="s">
        <v>699</v>
      </c>
      <c r="I1485" s="425" t="s">
        <v>1055</v>
      </c>
      <c r="J1485" s="425" t="s">
        <v>697</v>
      </c>
      <c r="K1485" s="425" t="s">
        <v>995</v>
      </c>
      <c r="L1485" s="425" t="s">
        <v>996</v>
      </c>
      <c r="M1485" s="425" t="s">
        <v>997</v>
      </c>
      <c r="N1485" s="425" t="s">
        <v>558</v>
      </c>
      <c r="O1485" s="425" t="s">
        <v>998</v>
      </c>
      <c r="P1485" s="425" t="s">
        <v>999</v>
      </c>
      <c r="Q1485" s="425" t="s">
        <v>1000</v>
      </c>
      <c r="R1485" s="425" t="s">
        <v>1001</v>
      </c>
      <c r="S1485" s="425" t="s">
        <v>1002</v>
      </c>
      <c r="T1485" s="423">
        <v>300</v>
      </c>
      <c r="U1485" s="423" t="s">
        <v>1041</v>
      </c>
      <c r="V1485" s="423">
        <v>75</v>
      </c>
      <c r="W1485" s="423">
        <v>0.75</v>
      </c>
      <c r="X1485" s="423">
        <v>7.5</v>
      </c>
      <c r="Y1485" s="423" t="s">
        <v>1041</v>
      </c>
      <c r="Z1485" s="423" t="s">
        <v>1041</v>
      </c>
      <c r="AD1485" s="423">
        <f>IF(ISNUMBER(MATCH(B1485,'FICHA SOLIC'!$AB$26:$AB$376,0)),1,0)</f>
        <v>1</v>
      </c>
      <c r="AE1485" s="423" t="str">
        <f t="shared" si="23"/>
        <v>San José de MaipoZM2 (Baños Morales)</v>
      </c>
    </row>
    <row r="1486" spans="1:31" x14ac:dyDescent="0.25">
      <c r="A1486" s="423">
        <v>1485</v>
      </c>
      <c r="B1486" s="423" t="s">
        <v>437</v>
      </c>
      <c r="C1486" s="423" t="s">
        <v>1705</v>
      </c>
      <c r="D1486" s="425" t="s">
        <v>990</v>
      </c>
      <c r="E1486" s="425" t="s">
        <v>991</v>
      </c>
      <c r="F1486" s="425" t="s">
        <v>992</v>
      </c>
      <c r="G1486" s="425" t="s">
        <v>1054</v>
      </c>
      <c r="H1486" s="426" t="s">
        <v>699</v>
      </c>
      <c r="I1486" s="425" t="s">
        <v>1055</v>
      </c>
      <c r="J1486" s="425" t="s">
        <v>697</v>
      </c>
      <c r="K1486" s="425" t="s">
        <v>995</v>
      </c>
      <c r="L1486" s="425" t="s">
        <v>996</v>
      </c>
      <c r="M1486" s="425" t="s">
        <v>997</v>
      </c>
      <c r="N1486" s="425" t="s">
        <v>558</v>
      </c>
      <c r="O1486" s="425" t="s">
        <v>998</v>
      </c>
      <c r="P1486" s="425" t="s">
        <v>999</v>
      </c>
      <c r="Q1486" s="425" t="s">
        <v>1000</v>
      </c>
      <c r="R1486" s="425" t="s">
        <v>1001</v>
      </c>
      <c r="S1486" s="425" t="s">
        <v>1002</v>
      </c>
      <c r="T1486" s="423">
        <v>500</v>
      </c>
      <c r="U1486" s="423" t="s">
        <v>1041</v>
      </c>
      <c r="V1486" s="423">
        <v>75</v>
      </c>
      <c r="W1486" s="423">
        <v>0.75</v>
      </c>
      <c r="X1486" s="423">
        <v>7.5</v>
      </c>
      <c r="Y1486" s="423" t="s">
        <v>1041</v>
      </c>
      <c r="Z1486" s="423" t="s">
        <v>1041</v>
      </c>
      <c r="AD1486" s="423">
        <f>IF(ISNUMBER(MATCH(B1486,'FICHA SOLIC'!$AB$26:$AB$376,0)),1,0)</f>
        <v>1</v>
      </c>
      <c r="AE1486" s="423" t="str">
        <f t="shared" si="23"/>
        <v>San José de MaipoZM2 (El Manzano)</v>
      </c>
    </row>
    <row r="1487" spans="1:31" x14ac:dyDescent="0.25">
      <c r="A1487" s="423">
        <v>1486</v>
      </c>
      <c r="B1487" s="423" t="s">
        <v>437</v>
      </c>
      <c r="C1487" s="423" t="s">
        <v>1688</v>
      </c>
      <c r="D1487" s="425" t="s">
        <v>990</v>
      </c>
      <c r="E1487" s="425" t="s">
        <v>991</v>
      </c>
      <c r="F1487" s="425" t="s">
        <v>992</v>
      </c>
      <c r="G1487" s="425" t="s">
        <v>1054</v>
      </c>
      <c r="H1487" s="426" t="s">
        <v>699</v>
      </c>
      <c r="I1487" s="425" t="s">
        <v>1055</v>
      </c>
      <c r="J1487" s="425" t="s">
        <v>697</v>
      </c>
      <c r="K1487" s="425" t="s">
        <v>995</v>
      </c>
      <c r="L1487" s="425" t="s">
        <v>996</v>
      </c>
      <c r="M1487" s="425" t="s">
        <v>997</v>
      </c>
      <c r="N1487" s="425" t="s">
        <v>558</v>
      </c>
      <c r="O1487" s="425" t="s">
        <v>998</v>
      </c>
      <c r="P1487" s="425" t="s">
        <v>999</v>
      </c>
      <c r="Q1487" s="425" t="s">
        <v>1000</v>
      </c>
      <c r="R1487" s="425" t="s">
        <v>1001</v>
      </c>
      <c r="S1487" s="425" t="s">
        <v>1002</v>
      </c>
      <c r="T1487" s="423">
        <v>2500</v>
      </c>
      <c r="U1487" s="423" t="s">
        <v>1041</v>
      </c>
      <c r="V1487" s="423">
        <v>2</v>
      </c>
      <c r="W1487" s="423">
        <v>0.02</v>
      </c>
      <c r="X1487" s="423">
        <v>6</v>
      </c>
      <c r="Y1487" s="423">
        <v>7</v>
      </c>
      <c r="Z1487" s="423" t="s">
        <v>1058</v>
      </c>
      <c r="AD1487" s="423">
        <f>IF(ISNUMBER(MATCH(B1487,'FICHA SOLIC'!$AB$26:$AB$376,0)),1,0)</f>
        <v>1</v>
      </c>
      <c r="AE1487" s="423" t="str">
        <f t="shared" si="23"/>
        <v>San José de MaipoZPA</v>
      </c>
    </row>
    <row r="1488" spans="1:31" x14ac:dyDescent="0.25">
      <c r="A1488" s="423">
        <v>1487</v>
      </c>
      <c r="B1488" s="423" t="s">
        <v>432</v>
      </c>
      <c r="C1488" s="423" t="s">
        <v>1368</v>
      </c>
      <c r="D1488" s="425" t="s">
        <v>990</v>
      </c>
      <c r="E1488" s="425" t="s">
        <v>991</v>
      </c>
      <c r="F1488" s="425" t="s">
        <v>992</v>
      </c>
      <c r="G1488" s="425" t="s">
        <v>1054</v>
      </c>
      <c r="H1488" s="426" t="s">
        <v>699</v>
      </c>
      <c r="I1488" s="425" t="s">
        <v>1055</v>
      </c>
      <c r="J1488" s="425" t="s">
        <v>697</v>
      </c>
      <c r="K1488" s="425" t="s">
        <v>995</v>
      </c>
      <c r="L1488" s="425" t="s">
        <v>996</v>
      </c>
      <c r="M1488" s="425" t="s">
        <v>997</v>
      </c>
      <c r="N1488" s="425" t="s">
        <v>558</v>
      </c>
      <c r="O1488" s="425" t="s">
        <v>998</v>
      </c>
      <c r="P1488" s="425" t="s">
        <v>999</v>
      </c>
      <c r="Q1488" s="425" t="s">
        <v>1000</v>
      </c>
      <c r="R1488" s="425" t="s">
        <v>1001</v>
      </c>
      <c r="S1488" s="425" t="s">
        <v>1002</v>
      </c>
      <c r="T1488" s="423" t="s">
        <v>1025</v>
      </c>
      <c r="U1488" s="423" t="s">
        <v>1041</v>
      </c>
      <c r="V1488" s="423">
        <v>10</v>
      </c>
      <c r="W1488" s="423">
        <v>0.2</v>
      </c>
      <c r="X1488" s="423" t="s">
        <v>1151</v>
      </c>
      <c r="Z1488" s="423" t="s">
        <v>1058</v>
      </c>
      <c r="AD1488" s="423">
        <f>IF(ISNUMBER(MATCH(B1488,'FICHA SOLIC'!$AB$26:$AB$376,0)),1,0)</f>
        <v>1</v>
      </c>
      <c r="AE1488" s="423" t="str">
        <f t="shared" si="23"/>
        <v>San MiguelEC-1</v>
      </c>
    </row>
    <row r="1489" spans="1:31" x14ac:dyDescent="0.25">
      <c r="A1489" s="423">
        <v>1488</v>
      </c>
      <c r="B1489" s="423" t="s">
        <v>432</v>
      </c>
      <c r="C1489" s="423" t="s">
        <v>1369</v>
      </c>
      <c r="D1489" s="425" t="s">
        <v>990</v>
      </c>
      <c r="E1489" s="425" t="s">
        <v>991</v>
      </c>
      <c r="F1489" s="425" t="s">
        <v>992</v>
      </c>
      <c r="G1489" s="425" t="s">
        <v>1054</v>
      </c>
      <c r="H1489" s="426" t="s">
        <v>699</v>
      </c>
      <c r="I1489" s="425" t="s">
        <v>1055</v>
      </c>
      <c r="J1489" s="425" t="s">
        <v>697</v>
      </c>
      <c r="K1489" s="425" t="s">
        <v>995</v>
      </c>
      <c r="L1489" s="425" t="s">
        <v>996</v>
      </c>
      <c r="M1489" s="425" t="s">
        <v>997</v>
      </c>
      <c r="N1489" s="425" t="s">
        <v>558</v>
      </c>
      <c r="O1489" s="425" t="s">
        <v>998</v>
      </c>
      <c r="P1489" s="425" t="s">
        <v>999</v>
      </c>
      <c r="Q1489" s="425" t="s">
        <v>1000</v>
      </c>
      <c r="R1489" s="425" t="s">
        <v>1001</v>
      </c>
      <c r="S1489" s="425" t="s">
        <v>1002</v>
      </c>
      <c r="T1489" s="423" t="s">
        <v>1097</v>
      </c>
      <c r="U1489" s="423" t="s">
        <v>1041</v>
      </c>
      <c r="V1489" s="423">
        <v>5</v>
      </c>
      <c r="W1489" s="423">
        <v>0.05</v>
      </c>
      <c r="X1489" s="423" t="s">
        <v>1151</v>
      </c>
      <c r="Z1489" s="423" t="s">
        <v>1058</v>
      </c>
      <c r="AD1489" s="423">
        <f>IF(ISNUMBER(MATCH(B1489,'FICHA SOLIC'!$AB$26:$AB$376,0)),1,0)</f>
        <v>1</v>
      </c>
      <c r="AE1489" s="423" t="str">
        <f t="shared" si="23"/>
        <v>San MiguelEC-2</v>
      </c>
    </row>
    <row r="1490" spans="1:31" x14ac:dyDescent="0.25">
      <c r="A1490" s="423">
        <v>1489</v>
      </c>
      <c r="B1490" s="423" t="s">
        <v>432</v>
      </c>
      <c r="C1490" s="423" t="s">
        <v>1370</v>
      </c>
      <c r="D1490" s="425" t="s">
        <v>990</v>
      </c>
      <c r="E1490" s="425" t="s">
        <v>991</v>
      </c>
      <c r="F1490" s="425" t="s">
        <v>992</v>
      </c>
      <c r="G1490" s="425" t="s">
        <v>1054</v>
      </c>
      <c r="H1490" s="426" t="s">
        <v>699</v>
      </c>
      <c r="I1490" s="425" t="s">
        <v>1055</v>
      </c>
      <c r="J1490" s="425" t="s">
        <v>697</v>
      </c>
      <c r="K1490" s="425" t="s">
        <v>995</v>
      </c>
      <c r="L1490" s="425" t="s">
        <v>996</v>
      </c>
      <c r="M1490" s="425" t="s">
        <v>997</v>
      </c>
      <c r="N1490" s="425" t="s">
        <v>558</v>
      </c>
      <c r="O1490" s="425" t="s">
        <v>998</v>
      </c>
      <c r="P1490" s="425" t="s">
        <v>999</v>
      </c>
      <c r="Q1490" s="425" t="s">
        <v>1000</v>
      </c>
      <c r="R1490" s="425" t="s">
        <v>1001</v>
      </c>
      <c r="S1490" s="425" t="s">
        <v>1002</v>
      </c>
      <c r="T1490" s="423" t="s">
        <v>1097</v>
      </c>
      <c r="U1490" s="423" t="s">
        <v>1041</v>
      </c>
      <c r="V1490" s="423">
        <v>10</v>
      </c>
      <c r="W1490" s="423">
        <v>0.1</v>
      </c>
      <c r="X1490" s="423" t="s">
        <v>1151</v>
      </c>
      <c r="Z1490" s="423" t="s">
        <v>1058</v>
      </c>
      <c r="AD1490" s="423">
        <f>IF(ISNUMBER(MATCH(B1490,'FICHA SOLIC'!$AB$26:$AB$376,0)),1,0)</f>
        <v>1</v>
      </c>
      <c r="AE1490" s="423" t="str">
        <f t="shared" si="23"/>
        <v>San MiguelEC-3</v>
      </c>
    </row>
    <row r="1491" spans="1:31" x14ac:dyDescent="0.25">
      <c r="A1491" s="423">
        <v>1490</v>
      </c>
      <c r="B1491" s="423" t="s">
        <v>432</v>
      </c>
      <c r="C1491" s="423" t="s">
        <v>1364</v>
      </c>
      <c r="D1491" s="425" t="s">
        <v>990</v>
      </c>
      <c r="E1491" s="425" t="s">
        <v>991</v>
      </c>
      <c r="F1491" s="425" t="s">
        <v>992</v>
      </c>
      <c r="G1491" s="425" t="s">
        <v>1054</v>
      </c>
      <c r="H1491" s="426" t="s">
        <v>699</v>
      </c>
      <c r="I1491" s="425" t="s">
        <v>1055</v>
      </c>
      <c r="J1491" s="425" t="s">
        <v>697</v>
      </c>
      <c r="K1491" s="425" t="s">
        <v>995</v>
      </c>
      <c r="L1491" s="425" t="s">
        <v>996</v>
      </c>
      <c r="M1491" s="425" t="s">
        <v>997</v>
      </c>
      <c r="N1491" s="425" t="s">
        <v>558</v>
      </c>
      <c r="O1491" s="425" t="s">
        <v>998</v>
      </c>
      <c r="P1491" s="425" t="s">
        <v>999</v>
      </c>
      <c r="Q1491" s="425" t="s">
        <v>1000</v>
      </c>
      <c r="R1491" s="425" t="s">
        <v>1001</v>
      </c>
      <c r="S1491" s="425" t="s">
        <v>1002</v>
      </c>
      <c r="T1491" s="423">
        <v>1000</v>
      </c>
      <c r="U1491" s="423" t="s">
        <v>1041</v>
      </c>
      <c r="V1491" s="423">
        <v>60</v>
      </c>
      <c r="W1491" s="423">
        <v>2.5</v>
      </c>
      <c r="X1491" s="423" t="s">
        <v>1151</v>
      </c>
      <c r="Z1491" s="423" t="s">
        <v>1058</v>
      </c>
      <c r="AD1491" s="423">
        <f>IF(ISNUMBER(MATCH(B1491,'FICHA SOLIC'!$AB$26:$AB$376,0)),1,0)</f>
        <v>1</v>
      </c>
      <c r="AE1491" s="423" t="str">
        <f t="shared" si="23"/>
        <v>San MiguelEM-1</v>
      </c>
    </row>
    <row r="1492" spans="1:31" x14ac:dyDescent="0.25">
      <c r="A1492" s="423">
        <v>1491</v>
      </c>
      <c r="B1492" s="423" t="s">
        <v>432</v>
      </c>
      <c r="C1492" s="423" t="s">
        <v>1365</v>
      </c>
      <c r="D1492" s="425" t="s">
        <v>990</v>
      </c>
      <c r="E1492" s="425" t="s">
        <v>991</v>
      </c>
      <c r="F1492" s="425" t="s">
        <v>992</v>
      </c>
      <c r="G1492" s="425" t="s">
        <v>1054</v>
      </c>
      <c r="H1492" s="426" t="s">
        <v>699</v>
      </c>
      <c r="I1492" s="425" t="s">
        <v>1055</v>
      </c>
      <c r="J1492" s="425" t="s">
        <v>697</v>
      </c>
      <c r="K1492" s="425" t="s">
        <v>995</v>
      </c>
      <c r="L1492" s="425" t="s">
        <v>996</v>
      </c>
      <c r="M1492" s="425" t="s">
        <v>997</v>
      </c>
      <c r="N1492" s="425" t="s">
        <v>558</v>
      </c>
      <c r="O1492" s="425" t="s">
        <v>998</v>
      </c>
      <c r="P1492" s="425" t="s">
        <v>999</v>
      </c>
      <c r="Q1492" s="425" t="s">
        <v>1000</v>
      </c>
      <c r="R1492" s="425" t="s">
        <v>1001</v>
      </c>
      <c r="S1492" s="425" t="s">
        <v>1002</v>
      </c>
      <c r="T1492" s="423">
        <v>2000</v>
      </c>
      <c r="U1492" s="423" t="s">
        <v>1041</v>
      </c>
      <c r="V1492" s="423">
        <v>10</v>
      </c>
      <c r="W1492" s="423">
        <v>0.2</v>
      </c>
      <c r="X1492" s="423" t="s">
        <v>1151</v>
      </c>
      <c r="Z1492" s="423" t="s">
        <v>1058</v>
      </c>
      <c r="AD1492" s="423">
        <f>IF(ISNUMBER(MATCH(B1492,'FICHA SOLIC'!$AB$26:$AB$376,0)),1,0)</f>
        <v>1</v>
      </c>
      <c r="AE1492" s="423" t="str">
        <f t="shared" si="23"/>
        <v>San MiguelEM-2</v>
      </c>
    </row>
    <row r="1493" spans="1:31" x14ac:dyDescent="0.25">
      <c r="A1493" s="423">
        <v>1492</v>
      </c>
      <c r="B1493" s="423" t="s">
        <v>432</v>
      </c>
      <c r="C1493" s="423" t="s">
        <v>1366</v>
      </c>
      <c r="D1493" s="425" t="s">
        <v>990</v>
      </c>
      <c r="E1493" s="425" t="s">
        <v>991</v>
      </c>
      <c r="F1493" s="425" t="s">
        <v>992</v>
      </c>
      <c r="G1493" s="425" t="s">
        <v>1054</v>
      </c>
      <c r="H1493" s="426" t="s">
        <v>699</v>
      </c>
      <c r="I1493" s="425" t="s">
        <v>1055</v>
      </c>
      <c r="J1493" s="425" t="s">
        <v>697</v>
      </c>
      <c r="K1493" s="425" t="s">
        <v>995</v>
      </c>
      <c r="L1493" s="425" t="s">
        <v>996</v>
      </c>
      <c r="M1493" s="425" t="s">
        <v>997</v>
      </c>
      <c r="N1493" s="425" t="s">
        <v>558</v>
      </c>
      <c r="O1493" s="425" t="s">
        <v>998</v>
      </c>
      <c r="P1493" s="425" t="s">
        <v>999</v>
      </c>
      <c r="Q1493" s="425" t="s">
        <v>1000</v>
      </c>
      <c r="R1493" s="425" t="s">
        <v>1001</v>
      </c>
      <c r="S1493" s="425" t="s">
        <v>1002</v>
      </c>
      <c r="T1493" s="423" t="s">
        <v>1097</v>
      </c>
      <c r="U1493" s="423" t="s">
        <v>1041</v>
      </c>
      <c r="V1493" s="423">
        <v>5</v>
      </c>
      <c r="W1493" s="423">
        <v>0.05</v>
      </c>
      <c r="X1493" s="423" t="s">
        <v>1151</v>
      </c>
      <c r="Z1493" s="423" t="s">
        <v>1058</v>
      </c>
      <c r="AD1493" s="423">
        <f>IF(ISNUMBER(MATCH(B1493,'FICHA SOLIC'!$AB$26:$AB$376,0)),1,0)</f>
        <v>1</v>
      </c>
      <c r="AE1493" s="423" t="str">
        <f t="shared" si="23"/>
        <v>San MiguelEM-3</v>
      </c>
    </row>
    <row r="1494" spans="1:31" x14ac:dyDescent="0.25">
      <c r="A1494" s="423">
        <v>1493</v>
      </c>
      <c r="B1494" s="423" t="s">
        <v>432</v>
      </c>
      <c r="C1494" s="423" t="s">
        <v>1367</v>
      </c>
      <c r="D1494" s="425" t="s">
        <v>990</v>
      </c>
      <c r="E1494" s="425" t="s">
        <v>991</v>
      </c>
      <c r="F1494" s="425" t="s">
        <v>992</v>
      </c>
      <c r="G1494" s="425" t="s">
        <v>1054</v>
      </c>
      <c r="H1494" s="426" t="s">
        <v>699</v>
      </c>
      <c r="I1494" s="425" t="s">
        <v>1055</v>
      </c>
      <c r="J1494" s="425" t="s">
        <v>697</v>
      </c>
      <c r="K1494" s="425" t="s">
        <v>995</v>
      </c>
      <c r="L1494" s="425" t="s">
        <v>996</v>
      </c>
      <c r="M1494" s="425" t="s">
        <v>997</v>
      </c>
      <c r="N1494" s="425" t="s">
        <v>558</v>
      </c>
      <c r="O1494" s="425" t="s">
        <v>998</v>
      </c>
      <c r="P1494" s="425" t="s">
        <v>999</v>
      </c>
      <c r="Q1494" s="425" t="s">
        <v>1000</v>
      </c>
      <c r="R1494" s="425" t="s">
        <v>1001</v>
      </c>
      <c r="S1494" s="425" t="s">
        <v>1002</v>
      </c>
      <c r="T1494" s="423" t="s">
        <v>1097</v>
      </c>
      <c r="U1494" s="423" t="s">
        <v>1041</v>
      </c>
      <c r="V1494" s="423">
        <v>20</v>
      </c>
      <c r="W1494" s="423">
        <v>0.2</v>
      </c>
      <c r="X1494" s="423" t="s">
        <v>1151</v>
      </c>
      <c r="Z1494" s="423" t="s">
        <v>1058</v>
      </c>
      <c r="AD1494" s="423">
        <f>IF(ISNUMBER(MATCH(B1494,'FICHA SOLIC'!$AB$26:$AB$376,0)),1,0)</f>
        <v>1</v>
      </c>
      <c r="AE1494" s="423" t="str">
        <f t="shared" si="23"/>
        <v>San MiguelEM-4</v>
      </c>
    </row>
    <row r="1495" spans="1:31" x14ac:dyDescent="0.25">
      <c r="A1495" s="423">
        <v>1494</v>
      </c>
      <c r="B1495" s="423" t="s">
        <v>432</v>
      </c>
      <c r="C1495" s="423" t="s">
        <v>1169</v>
      </c>
      <c r="D1495" s="425" t="s">
        <v>990</v>
      </c>
      <c r="E1495" s="425" t="s">
        <v>991</v>
      </c>
      <c r="F1495" s="425" t="s">
        <v>992</v>
      </c>
      <c r="G1495" s="425" t="s">
        <v>1054</v>
      </c>
      <c r="H1495" s="426" t="s">
        <v>699</v>
      </c>
      <c r="I1495" s="425" t="s">
        <v>1055</v>
      </c>
      <c r="J1495" s="425" t="s">
        <v>697</v>
      </c>
      <c r="K1495" s="425" t="s">
        <v>995</v>
      </c>
      <c r="L1495" s="425" t="s">
        <v>996</v>
      </c>
      <c r="M1495" s="425" t="s">
        <v>997</v>
      </c>
      <c r="N1495" s="425" t="s">
        <v>558</v>
      </c>
      <c r="O1495" s="425" t="s">
        <v>998</v>
      </c>
      <c r="P1495" s="425" t="s">
        <v>999</v>
      </c>
      <c r="Q1495" s="425" t="s">
        <v>1000</v>
      </c>
      <c r="R1495" s="425" t="s">
        <v>1001</v>
      </c>
      <c r="S1495" s="425" t="s">
        <v>1002</v>
      </c>
      <c r="T1495" s="423" t="s">
        <v>2330</v>
      </c>
      <c r="U1495" s="423" t="s">
        <v>1097</v>
      </c>
      <c r="V1495" s="423" t="s">
        <v>1097</v>
      </c>
      <c r="W1495" s="423" t="s">
        <v>1097</v>
      </c>
      <c r="X1495" s="423" t="s">
        <v>1097</v>
      </c>
      <c r="Y1495" s="423" t="s">
        <v>1097</v>
      </c>
      <c r="Z1495" s="423" t="s">
        <v>1097</v>
      </c>
      <c r="AD1495" s="423">
        <f>IF(ISNUMBER(MATCH(B1495,'FICHA SOLIC'!$AB$26:$AB$376,0)),1,0)</f>
        <v>1</v>
      </c>
      <c r="AE1495" s="423" t="str">
        <f t="shared" si="23"/>
        <v>San MiguelICH</v>
      </c>
    </row>
    <row r="1496" spans="1:31" x14ac:dyDescent="0.25">
      <c r="A1496" s="423">
        <v>1495</v>
      </c>
      <c r="B1496" s="423" t="s">
        <v>432</v>
      </c>
      <c r="C1496" s="423" t="s">
        <v>1241</v>
      </c>
      <c r="D1496" s="425" t="s">
        <v>990</v>
      </c>
      <c r="E1496" s="425" t="s">
        <v>991</v>
      </c>
      <c r="F1496" s="425" t="s">
        <v>992</v>
      </c>
      <c r="G1496" s="425" t="s">
        <v>1054</v>
      </c>
      <c r="H1496" s="426" t="s">
        <v>699</v>
      </c>
      <c r="I1496" s="425" t="s">
        <v>1055</v>
      </c>
      <c r="J1496" s="425" t="s">
        <v>697</v>
      </c>
      <c r="K1496" s="425" t="s">
        <v>995</v>
      </c>
      <c r="L1496" s="425" t="s">
        <v>996</v>
      </c>
      <c r="M1496" s="425" t="s">
        <v>997</v>
      </c>
      <c r="N1496" s="425" t="s">
        <v>558</v>
      </c>
      <c r="O1496" s="425" t="s">
        <v>998</v>
      </c>
      <c r="P1496" s="425" t="s">
        <v>999</v>
      </c>
      <c r="Q1496" s="425" t="s">
        <v>1000</v>
      </c>
      <c r="R1496" s="425" t="s">
        <v>1001</v>
      </c>
      <c r="S1496" s="425" t="s">
        <v>1002</v>
      </c>
      <c r="T1496" s="423" t="s">
        <v>1041</v>
      </c>
      <c r="U1496" s="423" t="s">
        <v>1041</v>
      </c>
      <c r="V1496" s="423">
        <v>80</v>
      </c>
      <c r="W1496" s="423">
        <v>1.8</v>
      </c>
      <c r="X1496" s="423" t="s">
        <v>1151</v>
      </c>
      <c r="Z1496" s="423" t="s">
        <v>1171</v>
      </c>
      <c r="AD1496" s="423">
        <f>IF(ISNUMBER(MATCH(B1496,'FICHA SOLIC'!$AB$26:$AB$376,0)),1,0)</f>
        <v>1</v>
      </c>
      <c r="AE1496" s="423" t="str">
        <f t="shared" si="23"/>
        <v>San MiguelZU-1</v>
      </c>
    </row>
    <row r="1497" spans="1:31" x14ac:dyDescent="0.25">
      <c r="A1497" s="423">
        <v>1496</v>
      </c>
      <c r="B1497" s="423" t="s">
        <v>432</v>
      </c>
      <c r="C1497" s="423" t="s">
        <v>1242</v>
      </c>
      <c r="D1497" s="425" t="s">
        <v>990</v>
      </c>
      <c r="E1497" s="425" t="s">
        <v>991</v>
      </c>
      <c r="F1497" s="425" t="s">
        <v>992</v>
      </c>
      <c r="G1497" s="425" t="s">
        <v>1054</v>
      </c>
      <c r="H1497" s="426" t="s">
        <v>699</v>
      </c>
      <c r="I1497" s="425" t="s">
        <v>1055</v>
      </c>
      <c r="J1497" s="425" t="s">
        <v>697</v>
      </c>
      <c r="K1497" s="425" t="s">
        <v>995</v>
      </c>
      <c r="L1497" s="425" t="s">
        <v>996</v>
      </c>
      <c r="M1497" s="425" t="s">
        <v>997</v>
      </c>
      <c r="N1497" s="425" t="s">
        <v>558</v>
      </c>
      <c r="O1497" s="425" t="s">
        <v>998</v>
      </c>
      <c r="P1497" s="425" t="s">
        <v>999</v>
      </c>
      <c r="Q1497" s="425" t="s">
        <v>1000</v>
      </c>
      <c r="R1497" s="425" t="s">
        <v>1001</v>
      </c>
      <c r="S1497" s="425" t="s">
        <v>1002</v>
      </c>
      <c r="T1497" s="423" t="s">
        <v>1041</v>
      </c>
      <c r="U1497" s="423" t="s">
        <v>1041</v>
      </c>
      <c r="V1497" s="423">
        <v>70</v>
      </c>
      <c r="W1497" s="423">
        <v>1.8</v>
      </c>
      <c r="X1497" s="423" t="s">
        <v>1151</v>
      </c>
      <c r="Z1497" s="423" t="s">
        <v>1057</v>
      </c>
      <c r="AD1497" s="423">
        <f>IF(ISNUMBER(MATCH(B1497,'FICHA SOLIC'!$AB$26:$AB$376,0)),1,0)</f>
        <v>1</v>
      </c>
      <c r="AE1497" s="423" t="str">
        <f t="shared" si="23"/>
        <v>San MiguelZU-2</v>
      </c>
    </row>
    <row r="1498" spans="1:31" x14ac:dyDescent="0.25">
      <c r="A1498" s="423">
        <v>1497</v>
      </c>
      <c r="B1498" s="423" t="s">
        <v>432</v>
      </c>
      <c r="C1498" s="423" t="s">
        <v>1243</v>
      </c>
      <c r="D1498" s="425" t="s">
        <v>990</v>
      </c>
      <c r="E1498" s="425" t="s">
        <v>991</v>
      </c>
      <c r="F1498" s="425" t="s">
        <v>992</v>
      </c>
      <c r="G1498" s="425" t="s">
        <v>1054</v>
      </c>
      <c r="H1498" s="426" t="s">
        <v>699</v>
      </c>
      <c r="I1498" s="425" t="s">
        <v>1055</v>
      </c>
      <c r="J1498" s="425" t="s">
        <v>697</v>
      </c>
      <c r="K1498" s="425" t="s">
        <v>995</v>
      </c>
      <c r="L1498" s="425" t="s">
        <v>996</v>
      </c>
      <c r="M1498" s="425" t="s">
        <v>997</v>
      </c>
      <c r="N1498" s="425" t="s">
        <v>558</v>
      </c>
      <c r="O1498" s="425" t="s">
        <v>998</v>
      </c>
      <c r="P1498" s="425" t="s">
        <v>999</v>
      </c>
      <c r="Q1498" s="425" t="s">
        <v>1000</v>
      </c>
      <c r="R1498" s="425" t="s">
        <v>1001</v>
      </c>
      <c r="S1498" s="425" t="s">
        <v>1002</v>
      </c>
      <c r="T1498" s="423">
        <v>500</v>
      </c>
      <c r="U1498" s="423" t="s">
        <v>1041</v>
      </c>
      <c r="V1498" s="423">
        <v>70</v>
      </c>
      <c r="W1498" s="423">
        <v>1</v>
      </c>
      <c r="X1498" s="423" t="s">
        <v>1151</v>
      </c>
      <c r="Y1498" s="423">
        <v>5</v>
      </c>
      <c r="Z1498" s="423" t="s">
        <v>1058</v>
      </c>
      <c r="AD1498" s="423">
        <f>IF(ISNUMBER(MATCH(B1498,'FICHA SOLIC'!$AB$26:$AB$376,0)),1,0)</f>
        <v>1</v>
      </c>
      <c r="AE1498" s="423" t="str">
        <f t="shared" si="23"/>
        <v>San MiguelZU-3</v>
      </c>
    </row>
    <row r="1499" spans="1:31" x14ac:dyDescent="0.25">
      <c r="A1499" s="423">
        <v>1498</v>
      </c>
      <c r="B1499" s="423" t="s">
        <v>432</v>
      </c>
      <c r="C1499" s="423" t="s">
        <v>1244</v>
      </c>
      <c r="D1499" s="425" t="s">
        <v>990</v>
      </c>
      <c r="E1499" s="425" t="s">
        <v>991</v>
      </c>
      <c r="F1499" s="425" t="s">
        <v>992</v>
      </c>
      <c r="G1499" s="425" t="s">
        <v>1054</v>
      </c>
      <c r="H1499" s="426" t="s">
        <v>699</v>
      </c>
      <c r="I1499" s="425" t="s">
        <v>1055</v>
      </c>
      <c r="J1499" s="425" t="s">
        <v>697</v>
      </c>
      <c r="K1499" s="425" t="s">
        <v>995</v>
      </c>
      <c r="L1499" s="425" t="s">
        <v>996</v>
      </c>
      <c r="M1499" s="425" t="s">
        <v>997</v>
      </c>
      <c r="N1499" s="425" t="s">
        <v>558</v>
      </c>
      <c r="O1499" s="425" t="s">
        <v>998</v>
      </c>
      <c r="P1499" s="425" t="s">
        <v>999</v>
      </c>
      <c r="Q1499" s="425" t="s">
        <v>1000</v>
      </c>
      <c r="R1499" s="425" t="s">
        <v>1001</v>
      </c>
      <c r="S1499" s="425" t="s">
        <v>1002</v>
      </c>
      <c r="T1499" s="423" t="s">
        <v>1041</v>
      </c>
      <c r="U1499" s="423" t="s">
        <v>1041</v>
      </c>
      <c r="V1499" s="423">
        <v>70</v>
      </c>
      <c r="W1499" s="423">
        <v>1.5</v>
      </c>
      <c r="X1499" s="423" t="s">
        <v>1151</v>
      </c>
      <c r="AD1499" s="423">
        <f>IF(ISNUMBER(MATCH(B1499,'FICHA SOLIC'!$AB$26:$AB$376,0)),1,0)</f>
        <v>1</v>
      </c>
      <c r="AE1499" s="423" t="str">
        <f t="shared" si="23"/>
        <v>San MiguelZU-4</v>
      </c>
    </row>
    <row r="1500" spans="1:31" x14ac:dyDescent="0.25">
      <c r="A1500" s="423">
        <v>1499</v>
      </c>
      <c r="B1500" s="423" t="s">
        <v>432</v>
      </c>
      <c r="C1500" s="423" t="s">
        <v>1245</v>
      </c>
      <c r="D1500" s="425" t="s">
        <v>990</v>
      </c>
      <c r="E1500" s="425" t="s">
        <v>991</v>
      </c>
      <c r="F1500" s="425" t="s">
        <v>992</v>
      </c>
      <c r="G1500" s="425" t="s">
        <v>1054</v>
      </c>
      <c r="H1500" s="426" t="s">
        <v>699</v>
      </c>
      <c r="I1500" s="425" t="s">
        <v>1055</v>
      </c>
      <c r="J1500" s="425" t="s">
        <v>697</v>
      </c>
      <c r="K1500" s="425" t="s">
        <v>995</v>
      </c>
      <c r="L1500" s="425" t="s">
        <v>996</v>
      </c>
      <c r="M1500" s="425" t="s">
        <v>997</v>
      </c>
      <c r="N1500" s="425" t="s">
        <v>558</v>
      </c>
      <c r="O1500" s="425" t="s">
        <v>998</v>
      </c>
      <c r="P1500" s="425" t="s">
        <v>999</v>
      </c>
      <c r="Q1500" s="425" t="s">
        <v>1000</v>
      </c>
      <c r="R1500" s="425" t="s">
        <v>1001</v>
      </c>
      <c r="S1500" s="425" t="s">
        <v>1002</v>
      </c>
      <c r="T1500" s="423">
        <v>4000</v>
      </c>
      <c r="U1500" s="423" t="s">
        <v>1041</v>
      </c>
      <c r="V1500" s="423">
        <v>60</v>
      </c>
      <c r="W1500" s="423">
        <v>2</v>
      </c>
      <c r="X1500" s="423" t="s">
        <v>1151</v>
      </c>
      <c r="Z1500" s="423" t="s">
        <v>1057</v>
      </c>
      <c r="AD1500" s="423">
        <f>IF(ISNUMBER(MATCH(B1500,'FICHA SOLIC'!$AB$26:$AB$376,0)),1,0)</f>
        <v>1</v>
      </c>
      <c r="AE1500" s="423" t="str">
        <f t="shared" si="23"/>
        <v>San MiguelZU-5</v>
      </c>
    </row>
    <row r="1501" spans="1:31" x14ac:dyDescent="0.25">
      <c r="A1501" s="423">
        <v>1500</v>
      </c>
      <c r="B1501" s="423" t="s">
        <v>432</v>
      </c>
      <c r="C1501" s="423" t="s">
        <v>1246</v>
      </c>
      <c r="D1501" s="425" t="s">
        <v>990</v>
      </c>
      <c r="E1501" s="425" t="s">
        <v>991</v>
      </c>
      <c r="F1501" s="425" t="s">
        <v>992</v>
      </c>
      <c r="G1501" s="425" t="s">
        <v>1054</v>
      </c>
      <c r="H1501" s="426" t="s">
        <v>699</v>
      </c>
      <c r="I1501" s="425" t="s">
        <v>1055</v>
      </c>
      <c r="J1501" s="425" t="s">
        <v>697</v>
      </c>
      <c r="K1501" s="425" t="s">
        <v>995</v>
      </c>
      <c r="L1501" s="425" t="s">
        <v>996</v>
      </c>
      <c r="M1501" s="425" t="s">
        <v>997</v>
      </c>
      <c r="N1501" s="425" t="s">
        <v>558</v>
      </c>
      <c r="O1501" s="425" t="s">
        <v>998</v>
      </c>
      <c r="P1501" s="425" t="s">
        <v>999</v>
      </c>
      <c r="Q1501" s="425" t="s">
        <v>1000</v>
      </c>
      <c r="R1501" s="425" t="s">
        <v>1001</v>
      </c>
      <c r="S1501" s="425" t="s">
        <v>1002</v>
      </c>
      <c r="T1501" s="423" t="s">
        <v>2527</v>
      </c>
      <c r="U1501" s="423" t="s">
        <v>1041</v>
      </c>
      <c r="V1501" s="423" t="s">
        <v>1041</v>
      </c>
      <c r="W1501" s="423" t="s">
        <v>1041</v>
      </c>
      <c r="X1501" s="423" t="s">
        <v>1041</v>
      </c>
      <c r="Y1501" s="423" t="s">
        <v>1041</v>
      </c>
      <c r="Z1501" s="423" t="s">
        <v>1041</v>
      </c>
      <c r="AD1501" s="423">
        <f>IF(ISNUMBER(MATCH(B1501,'FICHA SOLIC'!$AB$26:$AB$376,0)),1,0)</f>
        <v>1</v>
      </c>
      <c r="AE1501" s="423" t="str">
        <f t="shared" si="23"/>
        <v>San MiguelZU-6</v>
      </c>
    </row>
    <row r="1502" spans="1:31" x14ac:dyDescent="0.25">
      <c r="A1502" s="423">
        <v>1501</v>
      </c>
      <c r="B1502" s="423" t="s">
        <v>433</v>
      </c>
      <c r="C1502" s="423">
        <v>1</v>
      </c>
      <c r="D1502" s="425" t="s">
        <v>990</v>
      </c>
      <c r="E1502" s="425" t="s">
        <v>991</v>
      </c>
      <c r="F1502" s="425" t="s">
        <v>992</v>
      </c>
      <c r="G1502" s="425" t="s">
        <v>1054</v>
      </c>
      <c r="H1502" s="426" t="s">
        <v>699</v>
      </c>
      <c r="I1502" s="425" t="s">
        <v>1055</v>
      </c>
      <c r="J1502" s="425" t="s">
        <v>697</v>
      </c>
      <c r="K1502" s="425" t="s">
        <v>995</v>
      </c>
      <c r="L1502" s="425" t="s">
        <v>996</v>
      </c>
      <c r="M1502" s="425" t="s">
        <v>997</v>
      </c>
      <c r="N1502" s="425" t="s">
        <v>558</v>
      </c>
      <c r="O1502" s="425" t="s">
        <v>998</v>
      </c>
      <c r="P1502" s="425" t="s">
        <v>999</v>
      </c>
      <c r="Q1502" s="425" t="s">
        <v>1000</v>
      </c>
      <c r="R1502" s="425" t="s">
        <v>1001</v>
      </c>
      <c r="S1502" s="425" t="s">
        <v>1002</v>
      </c>
      <c r="T1502" s="423">
        <v>130</v>
      </c>
      <c r="U1502" s="423">
        <v>8</v>
      </c>
      <c r="V1502" s="423">
        <v>75</v>
      </c>
      <c r="W1502" s="423" t="s">
        <v>1041</v>
      </c>
      <c r="X1502" s="423" t="s">
        <v>1438</v>
      </c>
      <c r="Y1502" s="423" t="s">
        <v>1041</v>
      </c>
      <c r="Z1502" s="423" t="s">
        <v>1041</v>
      </c>
      <c r="AD1502" s="423">
        <f>IF(ISNUMBER(MATCH(B1502,'FICHA SOLIC'!$AB$26:$AB$376,0)),1,0)</f>
        <v>1</v>
      </c>
      <c r="AE1502" s="423" t="str">
        <f t="shared" si="23"/>
        <v>San Ramón1</v>
      </c>
    </row>
    <row r="1503" spans="1:31" x14ac:dyDescent="0.25">
      <c r="A1503" s="423">
        <v>1502</v>
      </c>
      <c r="B1503" s="423" t="s">
        <v>433</v>
      </c>
      <c r="C1503" s="423">
        <v>2</v>
      </c>
      <c r="D1503" s="425" t="s">
        <v>990</v>
      </c>
      <c r="E1503" s="425" t="s">
        <v>991</v>
      </c>
      <c r="F1503" s="425" t="s">
        <v>992</v>
      </c>
      <c r="G1503" s="425" t="s">
        <v>1054</v>
      </c>
      <c r="H1503" s="426" t="s">
        <v>699</v>
      </c>
      <c r="I1503" s="425" t="s">
        <v>1055</v>
      </c>
      <c r="J1503" s="425" t="s">
        <v>697</v>
      </c>
      <c r="K1503" s="425" t="s">
        <v>995</v>
      </c>
      <c r="L1503" s="425" t="s">
        <v>996</v>
      </c>
      <c r="M1503" s="425" t="s">
        <v>997</v>
      </c>
      <c r="N1503" s="425" t="s">
        <v>558</v>
      </c>
      <c r="O1503" s="425" t="s">
        <v>998</v>
      </c>
      <c r="P1503" s="425" t="s">
        <v>999</v>
      </c>
      <c r="Q1503" s="425" t="s">
        <v>1000</v>
      </c>
      <c r="R1503" s="425" t="s">
        <v>1001</v>
      </c>
      <c r="S1503" s="425" t="s">
        <v>1002</v>
      </c>
      <c r="T1503" s="423">
        <v>150</v>
      </c>
      <c r="U1503" s="423">
        <v>10</v>
      </c>
      <c r="V1503" s="423">
        <v>70</v>
      </c>
      <c r="W1503" s="423" t="s">
        <v>1041</v>
      </c>
      <c r="X1503" s="423" t="s">
        <v>1172</v>
      </c>
      <c r="Y1503" s="423" t="s">
        <v>1041</v>
      </c>
      <c r="Z1503" s="423" t="s">
        <v>1041</v>
      </c>
      <c r="AD1503" s="423">
        <f>IF(ISNUMBER(MATCH(B1503,'FICHA SOLIC'!$AB$26:$AB$376,0)),1,0)</f>
        <v>1</v>
      </c>
      <c r="AE1503" s="423" t="str">
        <f t="shared" si="23"/>
        <v>San Ramón2</v>
      </c>
    </row>
    <row r="1504" spans="1:31" x14ac:dyDescent="0.25">
      <c r="A1504" s="423">
        <v>1503</v>
      </c>
      <c r="B1504" s="423" t="s">
        <v>433</v>
      </c>
      <c r="C1504" s="423">
        <v>3</v>
      </c>
      <c r="D1504" s="425" t="s">
        <v>990</v>
      </c>
      <c r="E1504" s="425" t="s">
        <v>991</v>
      </c>
      <c r="F1504" s="425" t="s">
        <v>992</v>
      </c>
      <c r="G1504" s="425" t="s">
        <v>1054</v>
      </c>
      <c r="H1504" s="426" t="s">
        <v>699</v>
      </c>
      <c r="I1504" s="425" t="s">
        <v>1055</v>
      </c>
      <c r="J1504" s="425" t="s">
        <v>697</v>
      </c>
      <c r="K1504" s="425" t="s">
        <v>995</v>
      </c>
      <c r="L1504" s="425" t="s">
        <v>996</v>
      </c>
      <c r="M1504" s="425" t="s">
        <v>997</v>
      </c>
      <c r="N1504" s="425" t="s">
        <v>558</v>
      </c>
      <c r="O1504" s="425" t="s">
        <v>998</v>
      </c>
      <c r="P1504" s="425" t="s">
        <v>999</v>
      </c>
      <c r="Q1504" s="425" t="s">
        <v>1000</v>
      </c>
      <c r="R1504" s="425" t="s">
        <v>1001</v>
      </c>
      <c r="S1504" s="425" t="s">
        <v>1002</v>
      </c>
      <c r="T1504" s="423">
        <v>200</v>
      </c>
      <c r="U1504" s="423">
        <v>12</v>
      </c>
      <c r="V1504" s="423">
        <v>65</v>
      </c>
      <c r="W1504" s="423" t="s">
        <v>1041</v>
      </c>
      <c r="X1504" s="423" t="s">
        <v>1172</v>
      </c>
      <c r="Y1504" s="423" t="s">
        <v>1041</v>
      </c>
      <c r="Z1504" s="423" t="s">
        <v>1041</v>
      </c>
      <c r="AD1504" s="423">
        <f>IF(ISNUMBER(MATCH(B1504,'FICHA SOLIC'!$AB$26:$AB$376,0)),1,0)</f>
        <v>1</v>
      </c>
      <c r="AE1504" s="423" t="str">
        <f t="shared" si="23"/>
        <v>San Ramón3</v>
      </c>
    </row>
    <row r="1505" spans="1:31" x14ac:dyDescent="0.25">
      <c r="A1505" s="423">
        <v>1504</v>
      </c>
      <c r="B1505" s="423" t="s">
        <v>433</v>
      </c>
      <c r="C1505" s="423">
        <v>4</v>
      </c>
      <c r="D1505" s="425" t="s">
        <v>990</v>
      </c>
      <c r="E1505" s="425" t="s">
        <v>991</v>
      </c>
      <c r="F1505" s="425" t="s">
        <v>992</v>
      </c>
      <c r="G1505" s="425" t="s">
        <v>1054</v>
      </c>
      <c r="H1505" s="426" t="s">
        <v>699</v>
      </c>
      <c r="I1505" s="425" t="s">
        <v>1055</v>
      </c>
      <c r="J1505" s="425" t="s">
        <v>697</v>
      </c>
      <c r="K1505" s="425" t="s">
        <v>995</v>
      </c>
      <c r="L1505" s="425" t="s">
        <v>996</v>
      </c>
      <c r="M1505" s="425" t="s">
        <v>997</v>
      </c>
      <c r="N1505" s="425" t="s">
        <v>558</v>
      </c>
      <c r="O1505" s="425" t="s">
        <v>998</v>
      </c>
      <c r="P1505" s="425" t="s">
        <v>999</v>
      </c>
      <c r="Q1505" s="425" t="s">
        <v>1000</v>
      </c>
      <c r="R1505" s="425" t="s">
        <v>1001</v>
      </c>
      <c r="S1505" s="425" t="s">
        <v>1002</v>
      </c>
      <c r="T1505" s="423">
        <v>130</v>
      </c>
      <c r="U1505" s="423">
        <v>8</v>
      </c>
      <c r="V1505" s="423">
        <v>75</v>
      </c>
      <c r="W1505" s="423" t="s">
        <v>1041</v>
      </c>
      <c r="X1505" s="423" t="s">
        <v>1172</v>
      </c>
      <c r="Y1505" s="423" t="s">
        <v>1041</v>
      </c>
      <c r="Z1505" s="423" t="s">
        <v>1041</v>
      </c>
      <c r="AD1505" s="423">
        <f>IF(ISNUMBER(MATCH(B1505,'FICHA SOLIC'!$AB$26:$AB$376,0)),1,0)</f>
        <v>1</v>
      </c>
      <c r="AE1505" s="423" t="str">
        <f t="shared" si="23"/>
        <v>San Ramón4</v>
      </c>
    </row>
    <row r="1506" spans="1:31" x14ac:dyDescent="0.25">
      <c r="A1506" s="423">
        <v>1505</v>
      </c>
      <c r="B1506" s="423" t="s">
        <v>433</v>
      </c>
      <c r="C1506" s="423">
        <v>5</v>
      </c>
      <c r="D1506" s="425" t="s">
        <v>990</v>
      </c>
      <c r="E1506" s="425" t="s">
        <v>991</v>
      </c>
      <c r="F1506" s="425" t="s">
        <v>992</v>
      </c>
      <c r="G1506" s="425" t="s">
        <v>1054</v>
      </c>
      <c r="H1506" s="426" t="s">
        <v>699</v>
      </c>
      <c r="I1506" s="425" t="s">
        <v>1055</v>
      </c>
      <c r="J1506" s="425" t="s">
        <v>697</v>
      </c>
      <c r="K1506" s="425" t="s">
        <v>995</v>
      </c>
      <c r="L1506" s="425" t="s">
        <v>996</v>
      </c>
      <c r="M1506" s="425" t="s">
        <v>997</v>
      </c>
      <c r="N1506" s="425" t="s">
        <v>558</v>
      </c>
      <c r="O1506" s="425" t="s">
        <v>998</v>
      </c>
      <c r="P1506" s="425" t="s">
        <v>999</v>
      </c>
      <c r="Q1506" s="425" t="s">
        <v>1000</v>
      </c>
      <c r="R1506" s="425" t="s">
        <v>1001</v>
      </c>
      <c r="S1506" s="425" t="s">
        <v>1002</v>
      </c>
      <c r="T1506" s="423">
        <v>600</v>
      </c>
      <c r="U1506" s="423">
        <v>18</v>
      </c>
      <c r="V1506" s="423">
        <v>65</v>
      </c>
      <c r="W1506" s="423" t="s">
        <v>1041</v>
      </c>
      <c r="X1506" s="423" t="s">
        <v>1172</v>
      </c>
      <c r="Y1506" s="423" t="s">
        <v>1041</v>
      </c>
      <c r="Z1506" s="423" t="s">
        <v>1041</v>
      </c>
      <c r="AD1506" s="423">
        <f>IF(ISNUMBER(MATCH(B1506,'FICHA SOLIC'!$AB$26:$AB$376,0)),1,0)</f>
        <v>1</v>
      </c>
      <c r="AE1506" s="423" t="str">
        <f t="shared" si="23"/>
        <v>San Ramón5</v>
      </c>
    </row>
    <row r="1507" spans="1:31" x14ac:dyDescent="0.25">
      <c r="A1507" s="423">
        <v>1506</v>
      </c>
      <c r="B1507" s="423" t="s">
        <v>433</v>
      </c>
      <c r="C1507" s="423">
        <v>6</v>
      </c>
      <c r="D1507" s="425" t="s">
        <v>990</v>
      </c>
      <c r="E1507" s="425" t="s">
        <v>991</v>
      </c>
      <c r="F1507" s="425" t="s">
        <v>992</v>
      </c>
      <c r="G1507" s="425" t="s">
        <v>1054</v>
      </c>
      <c r="H1507" s="426" t="s">
        <v>699</v>
      </c>
      <c r="I1507" s="425" t="s">
        <v>1055</v>
      </c>
      <c r="J1507" s="425" t="s">
        <v>697</v>
      </c>
      <c r="K1507" s="425" t="s">
        <v>995</v>
      </c>
      <c r="L1507" s="425" t="s">
        <v>996</v>
      </c>
      <c r="M1507" s="425" t="s">
        <v>997</v>
      </c>
      <c r="N1507" s="425" t="s">
        <v>558</v>
      </c>
      <c r="O1507" s="425" t="s">
        <v>998</v>
      </c>
      <c r="P1507" s="425" t="s">
        <v>999</v>
      </c>
      <c r="Q1507" s="425" t="s">
        <v>1000</v>
      </c>
      <c r="R1507" s="425" t="s">
        <v>1001</v>
      </c>
      <c r="S1507" s="425" t="s">
        <v>1002</v>
      </c>
      <c r="T1507" s="423" t="s">
        <v>1041</v>
      </c>
      <c r="U1507" s="423">
        <v>20</v>
      </c>
      <c r="V1507" s="423">
        <v>85</v>
      </c>
      <c r="W1507" s="423" t="s">
        <v>1041</v>
      </c>
      <c r="X1507" s="423" t="s">
        <v>1172</v>
      </c>
      <c r="Y1507" s="423" t="s">
        <v>1041</v>
      </c>
      <c r="Z1507" s="423" t="s">
        <v>1041</v>
      </c>
      <c r="AD1507" s="423">
        <f>IF(ISNUMBER(MATCH(B1507,'FICHA SOLIC'!$AB$26:$AB$376,0)),1,0)</f>
        <v>1</v>
      </c>
      <c r="AE1507" s="423" t="str">
        <f t="shared" si="23"/>
        <v>San Ramón6</v>
      </c>
    </row>
    <row r="1508" spans="1:31" x14ac:dyDescent="0.25">
      <c r="A1508" s="423">
        <v>1507</v>
      </c>
      <c r="B1508" s="423" t="s">
        <v>433</v>
      </c>
      <c r="C1508" s="423">
        <v>7</v>
      </c>
      <c r="D1508" s="425" t="s">
        <v>990</v>
      </c>
      <c r="E1508" s="425" t="s">
        <v>991</v>
      </c>
      <c r="F1508" s="425" t="s">
        <v>992</v>
      </c>
      <c r="G1508" s="425" t="s">
        <v>1054</v>
      </c>
      <c r="H1508" s="426" t="s">
        <v>699</v>
      </c>
      <c r="I1508" s="425" t="s">
        <v>1055</v>
      </c>
      <c r="J1508" s="425" t="s">
        <v>697</v>
      </c>
      <c r="K1508" s="425" t="s">
        <v>995</v>
      </c>
      <c r="L1508" s="425" t="s">
        <v>996</v>
      </c>
      <c r="M1508" s="425" t="s">
        <v>997</v>
      </c>
      <c r="N1508" s="425" t="s">
        <v>558</v>
      </c>
      <c r="O1508" s="425" t="s">
        <v>998</v>
      </c>
      <c r="P1508" s="425" t="s">
        <v>999</v>
      </c>
      <c r="Q1508" s="425" t="s">
        <v>1000</v>
      </c>
      <c r="R1508" s="425" t="s">
        <v>1001</v>
      </c>
      <c r="S1508" s="425" t="s">
        <v>1002</v>
      </c>
      <c r="T1508" s="423">
        <v>2000</v>
      </c>
      <c r="U1508" s="423" t="s">
        <v>1041</v>
      </c>
      <c r="V1508" s="423">
        <v>85</v>
      </c>
      <c r="W1508" s="423" t="s">
        <v>1041</v>
      </c>
      <c r="X1508" s="423" t="s">
        <v>1172</v>
      </c>
      <c r="Y1508" s="423" t="s">
        <v>1041</v>
      </c>
      <c r="Z1508" s="423" t="s">
        <v>1041</v>
      </c>
      <c r="AD1508" s="423">
        <f>IF(ISNUMBER(MATCH(B1508,'FICHA SOLIC'!$AB$26:$AB$376,0)),1,0)</f>
        <v>1</v>
      </c>
      <c r="AE1508" s="423" t="str">
        <f t="shared" si="23"/>
        <v>San Ramón7</v>
      </c>
    </row>
    <row r="1509" spans="1:31" x14ac:dyDescent="0.25">
      <c r="A1509" s="423">
        <v>1508</v>
      </c>
      <c r="B1509" s="423" t="s">
        <v>433</v>
      </c>
      <c r="C1509" s="423">
        <v>8</v>
      </c>
      <c r="D1509" s="425" t="s">
        <v>990</v>
      </c>
      <c r="E1509" s="425" t="s">
        <v>991</v>
      </c>
      <c r="F1509" s="425" t="s">
        <v>992</v>
      </c>
      <c r="G1509" s="425" t="s">
        <v>1054</v>
      </c>
      <c r="H1509" s="426" t="s">
        <v>699</v>
      </c>
      <c r="I1509" s="425" t="s">
        <v>1055</v>
      </c>
      <c r="J1509" s="425" t="s">
        <v>697</v>
      </c>
      <c r="K1509" s="425" t="s">
        <v>995</v>
      </c>
      <c r="L1509" s="425" t="s">
        <v>996</v>
      </c>
      <c r="M1509" s="425" t="s">
        <v>997</v>
      </c>
      <c r="N1509" s="425" t="s">
        <v>558</v>
      </c>
      <c r="O1509" s="425" t="s">
        <v>998</v>
      </c>
      <c r="P1509" s="425" t="s">
        <v>999</v>
      </c>
      <c r="Q1509" s="425" t="s">
        <v>1000</v>
      </c>
      <c r="R1509" s="425" t="s">
        <v>1001</v>
      </c>
      <c r="S1509" s="425" t="s">
        <v>1002</v>
      </c>
      <c r="T1509" s="423">
        <v>7000</v>
      </c>
      <c r="U1509" s="423" t="s">
        <v>1041</v>
      </c>
      <c r="V1509" s="423">
        <v>20</v>
      </c>
      <c r="W1509" s="423" t="s">
        <v>1041</v>
      </c>
      <c r="X1509" s="423" t="s">
        <v>1172</v>
      </c>
      <c r="Y1509" s="423" t="s">
        <v>1041</v>
      </c>
      <c r="Z1509" s="423" t="s">
        <v>1041</v>
      </c>
      <c r="AD1509" s="423">
        <f>IF(ISNUMBER(MATCH(B1509,'FICHA SOLIC'!$AB$26:$AB$376,0)),1,0)</f>
        <v>1</v>
      </c>
      <c r="AE1509" s="423" t="str">
        <f t="shared" si="23"/>
        <v>San Ramón8</v>
      </c>
    </row>
    <row r="1510" spans="1:31" x14ac:dyDescent="0.25">
      <c r="A1510" s="423">
        <v>1509</v>
      </c>
      <c r="B1510" s="423" t="s">
        <v>433</v>
      </c>
      <c r="C1510" s="423">
        <v>9</v>
      </c>
      <c r="D1510" s="425" t="s">
        <v>990</v>
      </c>
      <c r="E1510" s="425" t="s">
        <v>991</v>
      </c>
      <c r="F1510" s="425" t="s">
        <v>992</v>
      </c>
      <c r="G1510" s="425" t="s">
        <v>1054</v>
      </c>
      <c r="H1510" s="426" t="s">
        <v>699</v>
      </c>
      <c r="I1510" s="425" t="s">
        <v>1055</v>
      </c>
      <c r="J1510" s="425" t="s">
        <v>697</v>
      </c>
      <c r="K1510" s="425" t="s">
        <v>995</v>
      </c>
      <c r="L1510" s="425" t="s">
        <v>996</v>
      </c>
      <c r="M1510" s="425" t="s">
        <v>997</v>
      </c>
      <c r="N1510" s="425" t="s">
        <v>558</v>
      </c>
      <c r="O1510" s="425" t="s">
        <v>998</v>
      </c>
      <c r="P1510" s="425" t="s">
        <v>999</v>
      </c>
      <c r="Q1510" s="425" t="s">
        <v>1000</v>
      </c>
      <c r="R1510" s="425" t="s">
        <v>1001</v>
      </c>
      <c r="S1510" s="425" t="s">
        <v>1002</v>
      </c>
      <c r="T1510" s="423">
        <v>7000</v>
      </c>
      <c r="U1510" s="423">
        <v>50</v>
      </c>
      <c r="V1510" s="423">
        <v>35</v>
      </c>
      <c r="W1510" s="423" t="s">
        <v>1041</v>
      </c>
      <c r="X1510" s="423" t="s">
        <v>1172</v>
      </c>
      <c r="Y1510" s="423" t="s">
        <v>1041</v>
      </c>
      <c r="Z1510" s="423" t="s">
        <v>1041</v>
      </c>
      <c r="AD1510" s="423">
        <f>IF(ISNUMBER(MATCH(B1510,'FICHA SOLIC'!$AB$26:$AB$376,0)),1,0)</f>
        <v>1</v>
      </c>
      <c r="AE1510" s="423" t="str">
        <f t="shared" si="23"/>
        <v>San Ramón9</v>
      </c>
    </row>
    <row r="1511" spans="1:31" x14ac:dyDescent="0.25">
      <c r="A1511" s="423">
        <v>1510</v>
      </c>
      <c r="B1511" s="423" t="s">
        <v>433</v>
      </c>
      <c r="C1511" s="423">
        <v>10</v>
      </c>
      <c r="D1511" s="425" t="s">
        <v>990</v>
      </c>
      <c r="E1511" s="425" t="s">
        <v>991</v>
      </c>
      <c r="F1511" s="425" t="s">
        <v>992</v>
      </c>
      <c r="G1511" s="425" t="s">
        <v>1054</v>
      </c>
      <c r="H1511" s="426" t="s">
        <v>699</v>
      </c>
      <c r="I1511" s="425" t="s">
        <v>1055</v>
      </c>
      <c r="J1511" s="425" t="s">
        <v>697</v>
      </c>
      <c r="K1511" s="425" t="s">
        <v>995</v>
      </c>
      <c r="L1511" s="425" t="s">
        <v>996</v>
      </c>
      <c r="M1511" s="425" t="s">
        <v>997</v>
      </c>
      <c r="N1511" s="425" t="s">
        <v>558</v>
      </c>
      <c r="O1511" s="425" t="s">
        <v>998</v>
      </c>
      <c r="P1511" s="425" t="s">
        <v>999</v>
      </c>
      <c r="Q1511" s="425" t="s">
        <v>1000</v>
      </c>
      <c r="R1511" s="425" t="s">
        <v>1001</v>
      </c>
      <c r="S1511" s="425" t="s">
        <v>1002</v>
      </c>
      <c r="T1511" s="423">
        <v>50000</v>
      </c>
      <c r="U1511" s="423" t="s">
        <v>1041</v>
      </c>
      <c r="V1511" s="423">
        <v>20</v>
      </c>
      <c r="W1511" s="423" t="s">
        <v>1041</v>
      </c>
      <c r="X1511" s="423" t="s">
        <v>1172</v>
      </c>
      <c r="Y1511" s="423" t="s">
        <v>1041</v>
      </c>
      <c r="Z1511" s="423" t="s">
        <v>1041</v>
      </c>
      <c r="AD1511" s="423">
        <f>IF(ISNUMBER(MATCH(B1511,'FICHA SOLIC'!$AB$26:$AB$376,0)),1,0)</f>
        <v>1</v>
      </c>
      <c r="AE1511" s="423" t="str">
        <f t="shared" si="23"/>
        <v>San Ramón10</v>
      </c>
    </row>
    <row r="1512" spans="1:31" x14ac:dyDescent="0.25">
      <c r="A1512" s="423">
        <v>1511</v>
      </c>
      <c r="B1512" s="423" t="s">
        <v>433</v>
      </c>
      <c r="C1512" s="423">
        <v>11</v>
      </c>
      <c r="D1512" s="425" t="s">
        <v>990</v>
      </c>
      <c r="E1512" s="425" t="s">
        <v>991</v>
      </c>
      <c r="F1512" s="425" t="s">
        <v>992</v>
      </c>
      <c r="G1512" s="425" t="s">
        <v>1054</v>
      </c>
      <c r="H1512" s="426" t="s">
        <v>699</v>
      </c>
      <c r="I1512" s="425" t="s">
        <v>1055</v>
      </c>
      <c r="J1512" s="425" t="s">
        <v>697</v>
      </c>
      <c r="K1512" s="425" t="s">
        <v>995</v>
      </c>
      <c r="L1512" s="425" t="s">
        <v>996</v>
      </c>
      <c r="M1512" s="425" t="s">
        <v>997</v>
      </c>
      <c r="N1512" s="425" t="s">
        <v>558</v>
      </c>
      <c r="O1512" s="425" t="s">
        <v>998</v>
      </c>
      <c r="P1512" s="425" t="s">
        <v>999</v>
      </c>
      <c r="Q1512" s="425" t="s">
        <v>1000</v>
      </c>
      <c r="R1512" s="425" t="s">
        <v>1001</v>
      </c>
      <c r="S1512" s="425" t="s">
        <v>1002</v>
      </c>
      <c r="T1512" s="423" t="s">
        <v>1742</v>
      </c>
      <c r="U1512" s="423" t="s">
        <v>1742</v>
      </c>
      <c r="V1512" s="423" t="s">
        <v>1742</v>
      </c>
      <c r="W1512" s="423" t="s">
        <v>1041</v>
      </c>
      <c r="X1512" s="423" t="s">
        <v>1742</v>
      </c>
      <c r="Y1512" s="423" t="s">
        <v>1041</v>
      </c>
      <c r="Z1512" s="423" t="s">
        <v>1041</v>
      </c>
      <c r="AD1512" s="423">
        <f>IF(ISNUMBER(MATCH(B1512,'FICHA SOLIC'!$AB$26:$AB$376,0)),1,0)</f>
        <v>1</v>
      </c>
      <c r="AE1512" s="423" t="str">
        <f t="shared" si="23"/>
        <v>San Ramón11</v>
      </c>
    </row>
    <row r="1513" spans="1:31" x14ac:dyDescent="0.25">
      <c r="A1513" s="423">
        <v>1512</v>
      </c>
      <c r="B1513" s="423" t="s">
        <v>402</v>
      </c>
      <c r="C1513" s="423" t="s">
        <v>1089</v>
      </c>
      <c r="D1513" s="425" t="s">
        <v>990</v>
      </c>
      <c r="E1513" s="425" t="s">
        <v>991</v>
      </c>
      <c r="F1513" s="425" t="s">
        <v>992</v>
      </c>
      <c r="G1513" s="425" t="s">
        <v>1054</v>
      </c>
      <c r="H1513" s="426" t="s">
        <v>699</v>
      </c>
      <c r="I1513" s="425" t="s">
        <v>1055</v>
      </c>
      <c r="J1513" s="425" t="s">
        <v>697</v>
      </c>
      <c r="K1513" s="425" t="s">
        <v>995</v>
      </c>
      <c r="L1513" s="425" t="s">
        <v>996</v>
      </c>
      <c r="M1513" s="425" t="s">
        <v>997</v>
      </c>
      <c r="N1513" s="425" t="s">
        <v>558</v>
      </c>
      <c r="O1513" s="425" t="s">
        <v>998</v>
      </c>
      <c r="P1513" s="425" t="s">
        <v>999</v>
      </c>
      <c r="Q1513" s="425" t="s">
        <v>1000</v>
      </c>
      <c r="R1513" s="425" t="s">
        <v>1001</v>
      </c>
      <c r="S1513" s="425" t="s">
        <v>1002</v>
      </c>
      <c r="T1513" s="423">
        <v>500</v>
      </c>
      <c r="U1513" s="423" t="s">
        <v>1041</v>
      </c>
      <c r="V1513" s="423">
        <v>70</v>
      </c>
      <c r="W1513" s="423">
        <v>8.1</v>
      </c>
      <c r="X1513" s="423">
        <v>14.5</v>
      </c>
      <c r="Z1513" s="423" t="s">
        <v>1096</v>
      </c>
      <c r="AD1513" s="423">
        <f>IF(ISNUMBER(MATCH(B1513,'FICHA SOLIC'!$AB$26:$AB$376,0)),1,0)</f>
        <v>1</v>
      </c>
      <c r="AE1513" s="423" t="str">
        <f t="shared" si="23"/>
        <v>SantiagoZONA A</v>
      </c>
    </row>
    <row r="1514" spans="1:31" x14ac:dyDescent="0.25">
      <c r="A1514" s="423">
        <v>1513</v>
      </c>
      <c r="B1514" s="423" t="s">
        <v>402</v>
      </c>
      <c r="C1514" s="423" t="s">
        <v>1090</v>
      </c>
      <c r="D1514" s="425" t="s">
        <v>990</v>
      </c>
      <c r="E1514" s="425" t="s">
        <v>991</v>
      </c>
      <c r="F1514" s="425" t="s">
        <v>992</v>
      </c>
      <c r="G1514" s="425" t="s">
        <v>1054</v>
      </c>
      <c r="H1514" s="426" t="s">
        <v>699</v>
      </c>
      <c r="I1514" s="425" t="s">
        <v>1055</v>
      </c>
      <c r="J1514" s="425" t="s">
        <v>697</v>
      </c>
      <c r="K1514" s="425" t="s">
        <v>995</v>
      </c>
      <c r="L1514" s="425" t="s">
        <v>996</v>
      </c>
      <c r="M1514" s="425" t="s">
        <v>997</v>
      </c>
      <c r="N1514" s="425" t="s">
        <v>558</v>
      </c>
      <c r="O1514" s="425" t="s">
        <v>998</v>
      </c>
      <c r="P1514" s="425" t="s">
        <v>999</v>
      </c>
      <c r="Q1514" s="425" t="s">
        <v>1000</v>
      </c>
      <c r="R1514" s="425" t="s">
        <v>1001</v>
      </c>
      <c r="S1514" s="425" t="s">
        <v>1002</v>
      </c>
      <c r="T1514" s="423">
        <v>500</v>
      </c>
      <c r="U1514" s="423" t="s">
        <v>1041</v>
      </c>
      <c r="V1514" s="423">
        <v>70</v>
      </c>
      <c r="W1514" s="423">
        <v>3.6</v>
      </c>
      <c r="X1514" s="423">
        <v>22.5</v>
      </c>
      <c r="Z1514" s="423" t="s">
        <v>1096</v>
      </c>
      <c r="AD1514" s="423">
        <f>IF(ISNUMBER(MATCH(B1514,'FICHA SOLIC'!$AB$26:$AB$376,0)),1,0)</f>
        <v>1</v>
      </c>
      <c r="AE1514" s="423" t="str">
        <f t="shared" si="23"/>
        <v>SantiagoZONA B</v>
      </c>
    </row>
    <row r="1515" spans="1:31" x14ac:dyDescent="0.25">
      <c r="A1515" s="423">
        <v>1514</v>
      </c>
      <c r="B1515" s="423" t="s">
        <v>402</v>
      </c>
      <c r="C1515" s="423" t="s">
        <v>1091</v>
      </c>
      <c r="D1515" s="425" t="s">
        <v>990</v>
      </c>
      <c r="E1515" s="425" t="s">
        <v>991</v>
      </c>
      <c r="F1515" s="425" t="s">
        <v>992</v>
      </c>
      <c r="G1515" s="425" t="s">
        <v>1054</v>
      </c>
      <c r="H1515" s="426" t="s">
        <v>699</v>
      </c>
      <c r="I1515" s="425" t="s">
        <v>1055</v>
      </c>
      <c r="J1515" s="425" t="s">
        <v>697</v>
      </c>
      <c r="K1515" s="425" t="s">
        <v>995</v>
      </c>
      <c r="L1515" s="425" t="s">
        <v>996</v>
      </c>
      <c r="M1515" s="425" t="s">
        <v>997</v>
      </c>
      <c r="N1515" s="425" t="s">
        <v>558</v>
      </c>
      <c r="O1515" s="425" t="s">
        <v>998</v>
      </c>
      <c r="P1515" s="425" t="s">
        <v>999</v>
      </c>
      <c r="Q1515" s="425" t="s">
        <v>1000</v>
      </c>
      <c r="R1515" s="425" t="s">
        <v>1001</v>
      </c>
      <c r="S1515" s="425" t="s">
        <v>1002</v>
      </c>
      <c r="T1515" s="423">
        <v>250</v>
      </c>
      <c r="U1515" s="423" t="s">
        <v>1041</v>
      </c>
      <c r="V1515" s="423">
        <v>60</v>
      </c>
      <c r="W1515" s="423">
        <v>1</v>
      </c>
      <c r="X1515" s="423">
        <v>12.5</v>
      </c>
      <c r="Z1515" s="423" t="s">
        <v>1059</v>
      </c>
      <c r="AD1515" s="423">
        <f>IF(ISNUMBER(MATCH(B1515,'FICHA SOLIC'!$AB$26:$AB$376,0)),1,0)</f>
        <v>1</v>
      </c>
      <c r="AE1515" s="423" t="str">
        <f t="shared" si="23"/>
        <v>SantiagoZONA D</v>
      </c>
    </row>
    <row r="1516" spans="1:31" x14ac:dyDescent="0.25">
      <c r="A1516" s="423">
        <v>1515</v>
      </c>
      <c r="B1516" s="423" t="s">
        <v>402</v>
      </c>
      <c r="C1516" s="423" t="s">
        <v>1092</v>
      </c>
      <c r="D1516" s="425" t="s">
        <v>990</v>
      </c>
      <c r="E1516" s="425" t="s">
        <v>991</v>
      </c>
      <c r="F1516" s="425" t="s">
        <v>992</v>
      </c>
      <c r="G1516" s="425" t="s">
        <v>1054</v>
      </c>
      <c r="H1516" s="426" t="s">
        <v>699</v>
      </c>
      <c r="I1516" s="425" t="s">
        <v>1055</v>
      </c>
      <c r="J1516" s="425" t="s">
        <v>697</v>
      </c>
      <c r="K1516" s="425" t="s">
        <v>995</v>
      </c>
      <c r="L1516" s="425" t="s">
        <v>996</v>
      </c>
      <c r="M1516" s="425" t="s">
        <v>997</v>
      </c>
      <c r="N1516" s="425" t="s">
        <v>558</v>
      </c>
      <c r="O1516" s="425" t="s">
        <v>998</v>
      </c>
      <c r="P1516" s="425" t="s">
        <v>999</v>
      </c>
      <c r="Q1516" s="425" t="s">
        <v>1000</v>
      </c>
      <c r="R1516" s="425" t="s">
        <v>1001</v>
      </c>
      <c r="S1516" s="425" t="s">
        <v>1002</v>
      </c>
      <c r="T1516" s="423">
        <v>300</v>
      </c>
      <c r="U1516" s="423" t="s">
        <v>1041</v>
      </c>
      <c r="V1516" s="423">
        <v>70</v>
      </c>
      <c r="W1516" s="423">
        <v>2</v>
      </c>
      <c r="X1516" s="423">
        <v>14</v>
      </c>
      <c r="Z1516" s="423" t="s">
        <v>1059</v>
      </c>
      <c r="AD1516" s="423">
        <f>IF(ISNUMBER(MATCH(B1516,'FICHA SOLIC'!$AB$26:$AB$376,0)),1,0)</f>
        <v>1</v>
      </c>
      <c r="AE1516" s="423" t="str">
        <f t="shared" si="23"/>
        <v>SantiagoZONA E</v>
      </c>
    </row>
    <row r="1517" spans="1:31" x14ac:dyDescent="0.25">
      <c r="A1517" s="423">
        <v>1516</v>
      </c>
      <c r="B1517" s="423" t="s">
        <v>402</v>
      </c>
      <c r="C1517" s="423" t="s">
        <v>1093</v>
      </c>
      <c r="D1517" s="425" t="s">
        <v>990</v>
      </c>
      <c r="E1517" s="425" t="s">
        <v>991</v>
      </c>
      <c r="F1517" s="425" t="s">
        <v>992</v>
      </c>
      <c r="G1517" s="425" t="s">
        <v>1054</v>
      </c>
      <c r="H1517" s="426" t="s">
        <v>699</v>
      </c>
      <c r="I1517" s="425" t="s">
        <v>1055</v>
      </c>
      <c r="J1517" s="425" t="s">
        <v>697</v>
      </c>
      <c r="K1517" s="425" t="s">
        <v>995</v>
      </c>
      <c r="L1517" s="425" t="s">
        <v>996</v>
      </c>
      <c r="M1517" s="425" t="s">
        <v>997</v>
      </c>
      <c r="N1517" s="425" t="s">
        <v>558</v>
      </c>
      <c r="O1517" s="425" t="s">
        <v>998</v>
      </c>
      <c r="P1517" s="425" t="s">
        <v>999</v>
      </c>
      <c r="Q1517" s="425" t="s">
        <v>1000</v>
      </c>
      <c r="R1517" s="425" t="s">
        <v>1001</v>
      </c>
      <c r="S1517" s="425" t="s">
        <v>1002</v>
      </c>
      <c r="T1517" s="423" t="s">
        <v>1097</v>
      </c>
      <c r="U1517" s="423" t="s">
        <v>1041</v>
      </c>
      <c r="V1517" s="423">
        <v>1</v>
      </c>
      <c r="W1517" s="423" t="s">
        <v>1041</v>
      </c>
      <c r="X1517" s="423" t="s">
        <v>1041</v>
      </c>
      <c r="Y1517" s="423" t="s">
        <v>1041</v>
      </c>
      <c r="Z1517" s="423" t="s">
        <v>1041</v>
      </c>
      <c r="AD1517" s="423">
        <f>IF(ISNUMBER(MATCH(B1517,'FICHA SOLIC'!$AB$26:$AB$376,0)),1,0)</f>
        <v>1</v>
      </c>
      <c r="AE1517" s="423" t="str">
        <f t="shared" si="23"/>
        <v>SantiagoZONA F</v>
      </c>
    </row>
    <row r="1518" spans="1:31" x14ac:dyDescent="0.25">
      <c r="A1518" s="423">
        <v>1517</v>
      </c>
      <c r="B1518" s="423" t="s">
        <v>402</v>
      </c>
      <c r="C1518" s="423" t="s">
        <v>1094</v>
      </c>
      <c r="D1518" s="425" t="s">
        <v>990</v>
      </c>
      <c r="E1518" s="425" t="s">
        <v>991</v>
      </c>
      <c r="F1518" s="425" t="s">
        <v>992</v>
      </c>
      <c r="G1518" s="425" t="s">
        <v>1054</v>
      </c>
      <c r="H1518" s="426" t="s">
        <v>699</v>
      </c>
      <c r="I1518" s="425" t="s">
        <v>1055</v>
      </c>
      <c r="J1518" s="425" t="s">
        <v>697</v>
      </c>
      <c r="K1518" s="425" t="s">
        <v>995</v>
      </c>
      <c r="L1518" s="425" t="s">
        <v>996</v>
      </c>
      <c r="M1518" s="425" t="s">
        <v>997</v>
      </c>
      <c r="N1518" s="425" t="s">
        <v>558</v>
      </c>
      <c r="O1518" s="425" t="s">
        <v>998</v>
      </c>
      <c r="P1518" s="425" t="s">
        <v>999</v>
      </c>
      <c r="Q1518" s="425" t="s">
        <v>1000</v>
      </c>
      <c r="R1518" s="425" t="s">
        <v>1001</v>
      </c>
      <c r="S1518" s="425" t="s">
        <v>1002</v>
      </c>
      <c r="T1518" s="423" t="s">
        <v>1097</v>
      </c>
      <c r="U1518" s="423" t="s">
        <v>1041</v>
      </c>
      <c r="V1518" s="423">
        <v>5</v>
      </c>
      <c r="W1518" s="423" t="s">
        <v>1041</v>
      </c>
      <c r="X1518" s="423" t="s">
        <v>1041</v>
      </c>
      <c r="Y1518" s="423" t="s">
        <v>1041</v>
      </c>
      <c r="Z1518" s="423" t="s">
        <v>1041</v>
      </c>
      <c r="AD1518" s="423">
        <f>IF(ISNUMBER(MATCH(B1518,'FICHA SOLIC'!$AB$26:$AB$376,0)),1,0)</f>
        <v>1</v>
      </c>
      <c r="AE1518" s="423" t="str">
        <f t="shared" si="23"/>
        <v>SantiagoZONA G</v>
      </c>
    </row>
    <row r="1519" spans="1:31" x14ac:dyDescent="0.25">
      <c r="A1519" s="423">
        <v>1518</v>
      </c>
      <c r="B1519" s="423" t="s">
        <v>402</v>
      </c>
      <c r="C1519" s="423" t="s">
        <v>1095</v>
      </c>
      <c r="D1519" s="425" t="s">
        <v>990</v>
      </c>
      <c r="E1519" s="425" t="s">
        <v>991</v>
      </c>
      <c r="F1519" s="425" t="s">
        <v>992</v>
      </c>
      <c r="G1519" s="425" t="s">
        <v>1054</v>
      </c>
      <c r="H1519" s="426" t="s">
        <v>699</v>
      </c>
      <c r="I1519" s="425" t="s">
        <v>1055</v>
      </c>
      <c r="J1519" s="425" t="s">
        <v>697</v>
      </c>
      <c r="K1519" s="425" t="s">
        <v>995</v>
      </c>
      <c r="L1519" s="425" t="s">
        <v>996</v>
      </c>
      <c r="M1519" s="425" t="s">
        <v>997</v>
      </c>
      <c r="N1519" s="425" t="s">
        <v>558</v>
      </c>
      <c r="O1519" s="425" t="s">
        <v>998</v>
      </c>
      <c r="P1519" s="425" t="s">
        <v>999</v>
      </c>
      <c r="Q1519" s="425" t="s">
        <v>1000</v>
      </c>
      <c r="R1519" s="425" t="s">
        <v>1001</v>
      </c>
      <c r="S1519" s="425" t="s">
        <v>1002</v>
      </c>
      <c r="T1519" s="423">
        <v>340000</v>
      </c>
      <c r="U1519" s="423" t="s">
        <v>1041</v>
      </c>
      <c r="V1519" s="423">
        <v>20</v>
      </c>
      <c r="X1519" s="423">
        <v>10</v>
      </c>
      <c r="AD1519" s="423">
        <f>IF(ISNUMBER(MATCH(B1519,'FICHA SOLIC'!$AB$26:$AB$376,0)),1,0)</f>
        <v>1</v>
      </c>
      <c r="AE1519" s="423" t="str">
        <f t="shared" si="23"/>
        <v>SantiagoZONA H</v>
      </c>
    </row>
    <row r="1520" spans="1:31" x14ac:dyDescent="0.25">
      <c r="A1520" s="423">
        <v>1519</v>
      </c>
      <c r="B1520" s="423" t="s">
        <v>450</v>
      </c>
      <c r="C1520" s="423" t="s">
        <v>1459</v>
      </c>
      <c r="D1520" s="425" t="s">
        <v>990</v>
      </c>
      <c r="E1520" s="425" t="s">
        <v>991</v>
      </c>
      <c r="F1520" s="425" t="s">
        <v>992</v>
      </c>
      <c r="G1520" s="425" t="s">
        <v>1054</v>
      </c>
      <c r="H1520" s="426" t="s">
        <v>699</v>
      </c>
      <c r="I1520" s="425" t="s">
        <v>1055</v>
      </c>
      <c r="J1520" s="425" t="s">
        <v>697</v>
      </c>
      <c r="K1520" s="425" t="s">
        <v>995</v>
      </c>
      <c r="L1520" s="425" t="s">
        <v>996</v>
      </c>
      <c r="M1520" s="425" t="s">
        <v>997</v>
      </c>
      <c r="N1520" s="425" t="s">
        <v>558</v>
      </c>
      <c r="O1520" s="425" t="s">
        <v>998</v>
      </c>
      <c r="P1520" s="425" t="s">
        <v>999</v>
      </c>
      <c r="Q1520" s="425" t="s">
        <v>1000</v>
      </c>
      <c r="R1520" s="425" t="s">
        <v>1001</v>
      </c>
      <c r="S1520" s="425" t="s">
        <v>1002</v>
      </c>
      <c r="T1520" s="423" t="s">
        <v>1041</v>
      </c>
      <c r="U1520" s="423" t="s">
        <v>1041</v>
      </c>
      <c r="V1520" s="423" t="s">
        <v>1041</v>
      </c>
      <c r="W1520" s="423" t="s">
        <v>1041</v>
      </c>
      <c r="X1520" s="423" t="s">
        <v>1041</v>
      </c>
      <c r="Y1520" s="423" t="s">
        <v>1041</v>
      </c>
      <c r="Z1520" s="423" t="s">
        <v>1041</v>
      </c>
      <c r="AD1520" s="423">
        <f>IF(ISNUMBER(MATCH(B1520,'FICHA SOLIC'!$AB$26:$AB$376,0)),1,0)</f>
        <v>1</v>
      </c>
      <c r="AE1520" s="423" t="str">
        <f t="shared" si="23"/>
        <v>TalaganteZAV</v>
      </c>
    </row>
    <row r="1521" spans="1:31" x14ac:dyDescent="0.25">
      <c r="A1521" s="423">
        <v>1520</v>
      </c>
      <c r="B1521" s="423" t="s">
        <v>450</v>
      </c>
      <c r="C1521" s="423" t="s">
        <v>1454</v>
      </c>
      <c r="D1521" s="425" t="s">
        <v>990</v>
      </c>
      <c r="E1521" s="425" t="s">
        <v>991</v>
      </c>
      <c r="F1521" s="425" t="s">
        <v>992</v>
      </c>
      <c r="G1521" s="425" t="s">
        <v>1054</v>
      </c>
      <c r="H1521" s="426" t="s">
        <v>699</v>
      </c>
      <c r="I1521" s="425" t="s">
        <v>1055</v>
      </c>
      <c r="J1521" s="425" t="s">
        <v>697</v>
      </c>
      <c r="K1521" s="425" t="s">
        <v>995</v>
      </c>
      <c r="L1521" s="425" t="s">
        <v>996</v>
      </c>
      <c r="M1521" s="425" t="s">
        <v>997</v>
      </c>
      <c r="N1521" s="425" t="s">
        <v>558</v>
      </c>
      <c r="O1521" s="425" t="s">
        <v>998</v>
      </c>
      <c r="P1521" s="425" t="s">
        <v>999</v>
      </c>
      <c r="Q1521" s="425" t="s">
        <v>1000</v>
      </c>
      <c r="R1521" s="425" t="s">
        <v>1001</v>
      </c>
      <c r="S1521" s="425" t="s">
        <v>1002</v>
      </c>
      <c r="T1521" s="423" t="s">
        <v>1025</v>
      </c>
      <c r="U1521" s="423" t="s">
        <v>1041</v>
      </c>
      <c r="V1521" s="423">
        <v>60</v>
      </c>
      <c r="W1521" s="423">
        <v>1</v>
      </c>
      <c r="X1521" s="423">
        <v>14</v>
      </c>
      <c r="Z1521" s="423" t="s">
        <v>1058</v>
      </c>
      <c r="AD1521" s="423">
        <f>IF(ISNUMBER(MATCH(B1521,'FICHA SOLIC'!$AB$26:$AB$376,0)),1,0)</f>
        <v>1</v>
      </c>
      <c r="AE1521" s="423" t="str">
        <f t="shared" si="23"/>
        <v>TalaganteZE-1</v>
      </c>
    </row>
    <row r="1522" spans="1:31" x14ac:dyDescent="0.25">
      <c r="A1522" s="423">
        <v>1521</v>
      </c>
      <c r="B1522" s="423" t="s">
        <v>450</v>
      </c>
      <c r="C1522" s="423" t="s">
        <v>1474</v>
      </c>
      <c r="D1522" s="425" t="s">
        <v>990</v>
      </c>
      <c r="E1522" s="425" t="s">
        <v>991</v>
      </c>
      <c r="F1522" s="425" t="s">
        <v>992</v>
      </c>
      <c r="G1522" s="425" t="s">
        <v>1054</v>
      </c>
      <c r="H1522" s="426" t="s">
        <v>699</v>
      </c>
      <c r="I1522" s="425" t="s">
        <v>1055</v>
      </c>
      <c r="J1522" s="425" t="s">
        <v>697</v>
      </c>
      <c r="K1522" s="425" t="s">
        <v>995</v>
      </c>
      <c r="L1522" s="425" t="s">
        <v>996</v>
      </c>
      <c r="M1522" s="425" t="s">
        <v>997</v>
      </c>
      <c r="N1522" s="425" t="s">
        <v>558</v>
      </c>
      <c r="O1522" s="425" t="s">
        <v>998</v>
      </c>
      <c r="P1522" s="425" t="s">
        <v>999</v>
      </c>
      <c r="Q1522" s="425" t="s">
        <v>1000</v>
      </c>
      <c r="R1522" s="425" t="s">
        <v>1001</v>
      </c>
      <c r="S1522" s="425" t="s">
        <v>1002</v>
      </c>
      <c r="T1522" s="423">
        <v>1000</v>
      </c>
      <c r="U1522" s="423" t="s">
        <v>1041</v>
      </c>
      <c r="V1522" s="423">
        <v>70</v>
      </c>
      <c r="W1522" s="423">
        <v>2</v>
      </c>
      <c r="X1522" s="423">
        <v>14</v>
      </c>
      <c r="Z1522" s="423" t="s">
        <v>1058</v>
      </c>
      <c r="AD1522" s="423">
        <f>IF(ISNUMBER(MATCH(B1522,'FICHA SOLIC'!$AB$26:$AB$376,0)),1,0)</f>
        <v>1</v>
      </c>
      <c r="AE1522" s="423" t="str">
        <f t="shared" si="23"/>
        <v>TalaganteZE-2</v>
      </c>
    </row>
    <row r="1523" spans="1:31" x14ac:dyDescent="0.25">
      <c r="A1523" s="423">
        <v>1522</v>
      </c>
      <c r="B1523" s="423" t="s">
        <v>450</v>
      </c>
      <c r="C1523" s="423" t="s">
        <v>1475</v>
      </c>
      <c r="D1523" s="425" t="s">
        <v>990</v>
      </c>
      <c r="E1523" s="425" t="s">
        <v>991</v>
      </c>
      <c r="F1523" s="425" t="s">
        <v>992</v>
      </c>
      <c r="G1523" s="425" t="s">
        <v>1054</v>
      </c>
      <c r="H1523" s="426" t="s">
        <v>699</v>
      </c>
      <c r="I1523" s="425" t="s">
        <v>1055</v>
      </c>
      <c r="J1523" s="425" t="s">
        <v>697</v>
      </c>
      <c r="K1523" s="425" t="s">
        <v>995</v>
      </c>
      <c r="L1523" s="425" t="s">
        <v>996</v>
      </c>
      <c r="M1523" s="425" t="s">
        <v>997</v>
      </c>
      <c r="N1523" s="425" t="s">
        <v>558</v>
      </c>
      <c r="O1523" s="425" t="s">
        <v>998</v>
      </c>
      <c r="P1523" s="425" t="s">
        <v>999</v>
      </c>
      <c r="Q1523" s="425" t="s">
        <v>1000</v>
      </c>
      <c r="R1523" s="425" t="s">
        <v>1001</v>
      </c>
      <c r="S1523" s="425" t="s">
        <v>1002</v>
      </c>
      <c r="T1523" s="423" t="s">
        <v>1025</v>
      </c>
      <c r="U1523" s="423" t="s">
        <v>1041</v>
      </c>
      <c r="V1523" s="423">
        <v>20</v>
      </c>
      <c r="W1523" s="423">
        <v>2</v>
      </c>
      <c r="X1523" s="423">
        <v>14</v>
      </c>
      <c r="Z1523" s="423" t="s">
        <v>1058</v>
      </c>
      <c r="AD1523" s="423">
        <f>IF(ISNUMBER(MATCH(B1523,'FICHA SOLIC'!$AB$26:$AB$376,0)),1,0)</f>
        <v>1</v>
      </c>
      <c r="AE1523" s="423" t="str">
        <f t="shared" si="23"/>
        <v>TalaganteZE-3</v>
      </c>
    </row>
    <row r="1524" spans="1:31" x14ac:dyDescent="0.25">
      <c r="A1524" s="423">
        <v>1523</v>
      </c>
      <c r="B1524" s="423" t="s">
        <v>450</v>
      </c>
      <c r="C1524" s="423" t="s">
        <v>1496</v>
      </c>
      <c r="D1524" s="425" t="s">
        <v>990</v>
      </c>
      <c r="E1524" s="425" t="s">
        <v>991</v>
      </c>
      <c r="F1524" s="425" t="s">
        <v>992</v>
      </c>
      <c r="G1524" s="425" t="s">
        <v>1054</v>
      </c>
      <c r="H1524" s="426" t="s">
        <v>699</v>
      </c>
      <c r="I1524" s="425" t="s">
        <v>1055</v>
      </c>
      <c r="J1524" s="425" t="s">
        <v>697</v>
      </c>
      <c r="K1524" s="425" t="s">
        <v>995</v>
      </c>
      <c r="L1524" s="425" t="s">
        <v>996</v>
      </c>
      <c r="M1524" s="425" t="s">
        <v>997</v>
      </c>
      <c r="N1524" s="425" t="s">
        <v>558</v>
      </c>
      <c r="O1524" s="425" t="s">
        <v>998</v>
      </c>
      <c r="P1524" s="425" t="s">
        <v>999</v>
      </c>
      <c r="Q1524" s="425" t="s">
        <v>1000</v>
      </c>
      <c r="R1524" s="425" t="s">
        <v>1001</v>
      </c>
      <c r="S1524" s="425" t="s">
        <v>1002</v>
      </c>
      <c r="T1524" s="423">
        <v>2000</v>
      </c>
      <c r="U1524" s="423" t="s">
        <v>1041</v>
      </c>
      <c r="V1524" s="423">
        <v>50</v>
      </c>
      <c r="W1524" s="423">
        <v>0.6</v>
      </c>
      <c r="X1524" s="423">
        <v>7</v>
      </c>
      <c r="Z1524" s="423" t="s">
        <v>1058</v>
      </c>
      <c r="AD1524" s="423">
        <f>IF(ISNUMBER(MATCH(B1524,'FICHA SOLIC'!$AB$26:$AB$376,0)),1,0)</f>
        <v>1</v>
      </c>
      <c r="AE1524" s="423" t="str">
        <f t="shared" si="23"/>
        <v>TalaganteZIE-1</v>
      </c>
    </row>
    <row r="1525" spans="1:31" x14ac:dyDescent="0.25">
      <c r="A1525" s="423">
        <v>1524</v>
      </c>
      <c r="B1525" s="423" t="s">
        <v>450</v>
      </c>
      <c r="C1525" s="423" t="s">
        <v>1497</v>
      </c>
      <c r="D1525" s="425" t="s">
        <v>990</v>
      </c>
      <c r="E1525" s="425" t="s">
        <v>991</v>
      </c>
      <c r="F1525" s="425" t="s">
        <v>992</v>
      </c>
      <c r="G1525" s="425" t="s">
        <v>1054</v>
      </c>
      <c r="H1525" s="426" t="s">
        <v>699</v>
      </c>
      <c r="I1525" s="425" t="s">
        <v>1055</v>
      </c>
      <c r="J1525" s="425" t="s">
        <v>697</v>
      </c>
      <c r="K1525" s="425" t="s">
        <v>995</v>
      </c>
      <c r="L1525" s="425" t="s">
        <v>996</v>
      </c>
      <c r="M1525" s="425" t="s">
        <v>997</v>
      </c>
      <c r="N1525" s="425" t="s">
        <v>558</v>
      </c>
      <c r="O1525" s="425" t="s">
        <v>998</v>
      </c>
      <c r="P1525" s="425" t="s">
        <v>999</v>
      </c>
      <c r="Q1525" s="425" t="s">
        <v>1000</v>
      </c>
      <c r="R1525" s="425" t="s">
        <v>1001</v>
      </c>
      <c r="S1525" s="425" t="s">
        <v>1002</v>
      </c>
      <c r="T1525" s="423">
        <v>200</v>
      </c>
      <c r="U1525" s="423" t="s">
        <v>1041</v>
      </c>
      <c r="V1525" s="423">
        <v>50</v>
      </c>
      <c r="W1525" s="423">
        <v>0.9</v>
      </c>
      <c r="X1525" s="423">
        <v>7</v>
      </c>
      <c r="Z1525" s="423" t="s">
        <v>1058</v>
      </c>
      <c r="AD1525" s="423">
        <f>IF(ISNUMBER(MATCH(B1525,'FICHA SOLIC'!$AB$26:$AB$376,0)),1,0)</f>
        <v>1</v>
      </c>
      <c r="AE1525" s="423" t="str">
        <f t="shared" si="23"/>
        <v>TalaganteZIE-2</v>
      </c>
    </row>
    <row r="1526" spans="1:31" x14ac:dyDescent="0.25">
      <c r="A1526" s="423">
        <v>1525</v>
      </c>
      <c r="B1526" s="423" t="s">
        <v>450</v>
      </c>
      <c r="C1526" s="423" t="s">
        <v>1498</v>
      </c>
      <c r="D1526" s="425" t="s">
        <v>990</v>
      </c>
      <c r="E1526" s="425" t="s">
        <v>991</v>
      </c>
      <c r="F1526" s="425" t="s">
        <v>992</v>
      </c>
      <c r="G1526" s="425" t="s">
        <v>1054</v>
      </c>
      <c r="H1526" s="426" t="s">
        <v>699</v>
      </c>
      <c r="I1526" s="425" t="s">
        <v>1055</v>
      </c>
      <c r="J1526" s="425" t="s">
        <v>697</v>
      </c>
      <c r="K1526" s="425" t="s">
        <v>995</v>
      </c>
      <c r="L1526" s="425" t="s">
        <v>996</v>
      </c>
      <c r="M1526" s="425" t="s">
        <v>997</v>
      </c>
      <c r="N1526" s="425" t="s">
        <v>558</v>
      </c>
      <c r="O1526" s="425" t="s">
        <v>998</v>
      </c>
      <c r="P1526" s="425" t="s">
        <v>999</v>
      </c>
      <c r="Q1526" s="425" t="s">
        <v>1000</v>
      </c>
      <c r="R1526" s="425" t="s">
        <v>1001</v>
      </c>
      <c r="S1526" s="425" t="s">
        <v>1002</v>
      </c>
      <c r="U1526" s="423" t="s">
        <v>1041</v>
      </c>
      <c r="AD1526" s="423">
        <f>IF(ISNUMBER(MATCH(B1526,'FICHA SOLIC'!$AB$26:$AB$376,0)),1,0)</f>
        <v>1</v>
      </c>
      <c r="AE1526" s="423" t="str">
        <f t="shared" si="23"/>
        <v>TalaganteZIE-3</v>
      </c>
    </row>
    <row r="1527" spans="1:31" x14ac:dyDescent="0.25">
      <c r="A1527" s="423">
        <v>1526</v>
      </c>
      <c r="B1527" s="423" t="s">
        <v>450</v>
      </c>
      <c r="C1527" s="423" t="s">
        <v>1494</v>
      </c>
      <c r="D1527" s="425" t="s">
        <v>990</v>
      </c>
      <c r="E1527" s="425" t="s">
        <v>991</v>
      </c>
      <c r="F1527" s="425" t="s">
        <v>992</v>
      </c>
      <c r="G1527" s="425" t="s">
        <v>1054</v>
      </c>
      <c r="H1527" s="426" t="s">
        <v>699</v>
      </c>
      <c r="I1527" s="425" t="s">
        <v>1055</v>
      </c>
      <c r="J1527" s="425" t="s">
        <v>697</v>
      </c>
      <c r="K1527" s="425" t="s">
        <v>995</v>
      </c>
      <c r="L1527" s="425" t="s">
        <v>996</v>
      </c>
      <c r="M1527" s="425" t="s">
        <v>997</v>
      </c>
      <c r="N1527" s="425" t="s">
        <v>558</v>
      </c>
      <c r="O1527" s="425" t="s">
        <v>998</v>
      </c>
      <c r="P1527" s="425" t="s">
        <v>999</v>
      </c>
      <c r="Q1527" s="425" t="s">
        <v>1000</v>
      </c>
      <c r="R1527" s="425" t="s">
        <v>1001</v>
      </c>
      <c r="S1527" s="425" t="s">
        <v>1002</v>
      </c>
      <c r="U1527" s="423" t="s">
        <v>1041</v>
      </c>
      <c r="V1527" s="423">
        <v>1</v>
      </c>
      <c r="W1527" s="423">
        <v>0.01</v>
      </c>
      <c r="AD1527" s="423">
        <f>IF(ISNUMBER(MATCH(B1527,'FICHA SOLIC'!$AB$26:$AB$376,0)),1,0)</f>
        <v>1</v>
      </c>
      <c r="AE1527" s="423" t="str">
        <f t="shared" si="23"/>
        <v>TalaganteZP</v>
      </c>
    </row>
    <row r="1528" spans="1:31" x14ac:dyDescent="0.25">
      <c r="A1528" s="423">
        <v>1527</v>
      </c>
      <c r="B1528" s="423" t="s">
        <v>450</v>
      </c>
      <c r="C1528" s="423" t="s">
        <v>1452</v>
      </c>
      <c r="D1528" s="425" t="s">
        <v>990</v>
      </c>
      <c r="E1528" s="425" t="s">
        <v>991</v>
      </c>
      <c r="F1528" s="425" t="s">
        <v>992</v>
      </c>
      <c r="G1528" s="425" t="s">
        <v>1054</v>
      </c>
      <c r="H1528" s="426" t="s">
        <v>699</v>
      </c>
      <c r="I1528" s="425" t="s">
        <v>1055</v>
      </c>
      <c r="J1528" s="425" t="s">
        <v>697</v>
      </c>
      <c r="K1528" s="425" t="s">
        <v>995</v>
      </c>
      <c r="L1528" s="425" t="s">
        <v>996</v>
      </c>
      <c r="M1528" s="425" t="s">
        <v>997</v>
      </c>
      <c r="N1528" s="425" t="s">
        <v>558</v>
      </c>
      <c r="O1528" s="425" t="s">
        <v>998</v>
      </c>
      <c r="P1528" s="425" t="s">
        <v>999</v>
      </c>
      <c r="Q1528" s="425" t="s">
        <v>1000</v>
      </c>
      <c r="R1528" s="425" t="s">
        <v>1001</v>
      </c>
      <c r="S1528" s="425" t="s">
        <v>1002</v>
      </c>
      <c r="U1528" s="423" t="s">
        <v>1041</v>
      </c>
      <c r="V1528" s="423" t="s">
        <v>1499</v>
      </c>
      <c r="W1528" s="423" t="s">
        <v>1500</v>
      </c>
      <c r="AD1528" s="423">
        <f>IF(ISNUMBER(MATCH(B1528,'FICHA SOLIC'!$AB$26:$AB$376,0)),1,0)</f>
        <v>1</v>
      </c>
      <c r="AE1528" s="423" t="str">
        <f t="shared" si="23"/>
        <v>TalaganteZR-1</v>
      </c>
    </row>
    <row r="1529" spans="1:31" x14ac:dyDescent="0.25">
      <c r="A1529" s="423">
        <v>1528</v>
      </c>
      <c r="B1529" s="423" t="s">
        <v>450</v>
      </c>
      <c r="C1529" s="423" t="s">
        <v>1453</v>
      </c>
      <c r="D1529" s="425" t="s">
        <v>990</v>
      </c>
      <c r="E1529" s="425" t="s">
        <v>991</v>
      </c>
      <c r="F1529" s="425" t="s">
        <v>992</v>
      </c>
      <c r="G1529" s="425" t="s">
        <v>1054</v>
      </c>
      <c r="H1529" s="426" t="s">
        <v>699</v>
      </c>
      <c r="I1529" s="425" t="s">
        <v>1055</v>
      </c>
      <c r="J1529" s="425" t="s">
        <v>697</v>
      </c>
      <c r="K1529" s="425" t="s">
        <v>995</v>
      </c>
      <c r="L1529" s="425" t="s">
        <v>996</v>
      </c>
      <c r="M1529" s="425" t="s">
        <v>997</v>
      </c>
      <c r="N1529" s="425" t="s">
        <v>558</v>
      </c>
      <c r="O1529" s="425" t="s">
        <v>998</v>
      </c>
      <c r="P1529" s="425" t="s">
        <v>999</v>
      </c>
      <c r="Q1529" s="425" t="s">
        <v>1000</v>
      </c>
      <c r="R1529" s="425" t="s">
        <v>1001</v>
      </c>
      <c r="S1529" s="425" t="s">
        <v>1002</v>
      </c>
      <c r="U1529" s="423" t="s">
        <v>1041</v>
      </c>
      <c r="AD1529" s="423">
        <f>IF(ISNUMBER(MATCH(B1529,'FICHA SOLIC'!$AB$26:$AB$376,0)),1,0)</f>
        <v>1</v>
      </c>
      <c r="AE1529" s="423" t="str">
        <f t="shared" si="23"/>
        <v>TalaganteZR-2</v>
      </c>
    </row>
    <row r="1530" spans="1:31" x14ac:dyDescent="0.25">
      <c r="A1530" s="423">
        <v>1529</v>
      </c>
      <c r="B1530" s="423" t="s">
        <v>450</v>
      </c>
      <c r="C1530" s="423" t="s">
        <v>1495</v>
      </c>
      <c r="D1530" s="425" t="s">
        <v>990</v>
      </c>
      <c r="E1530" s="425" t="s">
        <v>991</v>
      </c>
      <c r="F1530" s="425" t="s">
        <v>992</v>
      </c>
      <c r="G1530" s="425" t="s">
        <v>1054</v>
      </c>
      <c r="H1530" s="426" t="s">
        <v>699</v>
      </c>
      <c r="I1530" s="425" t="s">
        <v>1055</v>
      </c>
      <c r="J1530" s="425" t="s">
        <v>697</v>
      </c>
      <c r="K1530" s="425" t="s">
        <v>995</v>
      </c>
      <c r="L1530" s="425" t="s">
        <v>996</v>
      </c>
      <c r="M1530" s="425" t="s">
        <v>997</v>
      </c>
      <c r="N1530" s="425" t="s">
        <v>558</v>
      </c>
      <c r="O1530" s="425" t="s">
        <v>998</v>
      </c>
      <c r="P1530" s="425" t="s">
        <v>999</v>
      </c>
      <c r="Q1530" s="425" t="s">
        <v>1000</v>
      </c>
      <c r="R1530" s="425" t="s">
        <v>1001</v>
      </c>
      <c r="S1530" s="425" t="s">
        <v>1002</v>
      </c>
      <c r="U1530" s="423" t="s">
        <v>1041</v>
      </c>
      <c r="V1530" s="423">
        <v>60</v>
      </c>
      <c r="X1530" s="423" t="s">
        <v>1437</v>
      </c>
      <c r="Y1530" s="423" t="s">
        <v>1041</v>
      </c>
      <c r="AD1530" s="423">
        <f>IF(ISNUMBER(MATCH(B1530,'FICHA SOLIC'!$AB$26:$AB$376,0)),1,0)</f>
        <v>1</v>
      </c>
      <c r="AE1530" s="423" t="str">
        <f t="shared" si="23"/>
        <v>TalaganteZSS</v>
      </c>
    </row>
    <row r="1531" spans="1:31" x14ac:dyDescent="0.25">
      <c r="A1531" s="423">
        <v>1530</v>
      </c>
      <c r="B1531" s="423" t="s">
        <v>450</v>
      </c>
      <c r="C1531" s="423" t="s">
        <v>1241</v>
      </c>
      <c r="D1531" s="425" t="s">
        <v>990</v>
      </c>
      <c r="E1531" s="425" t="s">
        <v>991</v>
      </c>
      <c r="F1531" s="425" t="s">
        <v>992</v>
      </c>
      <c r="G1531" s="425" t="s">
        <v>1054</v>
      </c>
      <c r="H1531" s="426" t="s">
        <v>699</v>
      </c>
      <c r="I1531" s="425" t="s">
        <v>1055</v>
      </c>
      <c r="J1531" s="425" t="s">
        <v>697</v>
      </c>
      <c r="K1531" s="425" t="s">
        <v>995</v>
      </c>
      <c r="L1531" s="425" t="s">
        <v>996</v>
      </c>
      <c r="M1531" s="425" t="s">
        <v>997</v>
      </c>
      <c r="N1531" s="425" t="s">
        <v>558</v>
      </c>
      <c r="O1531" s="425" t="s">
        <v>998</v>
      </c>
      <c r="P1531" s="425" t="s">
        <v>999</v>
      </c>
      <c r="Q1531" s="425" t="s">
        <v>1000</v>
      </c>
      <c r="R1531" s="425" t="s">
        <v>1001</v>
      </c>
      <c r="S1531" s="425" t="s">
        <v>1002</v>
      </c>
      <c r="T1531" s="423">
        <v>300</v>
      </c>
      <c r="U1531" s="423" t="s">
        <v>1041</v>
      </c>
      <c r="V1531" s="423">
        <v>60</v>
      </c>
      <c r="W1531" s="423">
        <v>1.5</v>
      </c>
      <c r="X1531" s="423">
        <v>11</v>
      </c>
      <c r="Z1531" s="423" t="s">
        <v>1096</v>
      </c>
      <c r="AD1531" s="423">
        <f>IF(ISNUMBER(MATCH(B1531,'FICHA SOLIC'!$AB$26:$AB$376,0)),1,0)</f>
        <v>1</v>
      </c>
      <c r="AE1531" s="423" t="str">
        <f t="shared" si="23"/>
        <v>TalaganteZU-1</v>
      </c>
    </row>
    <row r="1532" spans="1:31" x14ac:dyDescent="0.25">
      <c r="A1532" s="423">
        <v>1531</v>
      </c>
      <c r="B1532" s="423" t="s">
        <v>450</v>
      </c>
      <c r="C1532" s="423" t="s">
        <v>1242</v>
      </c>
      <c r="D1532" s="425" t="s">
        <v>990</v>
      </c>
      <c r="E1532" s="425" t="s">
        <v>991</v>
      </c>
      <c r="F1532" s="425" t="s">
        <v>992</v>
      </c>
      <c r="G1532" s="425" t="s">
        <v>1054</v>
      </c>
      <c r="H1532" s="426" t="s">
        <v>699</v>
      </c>
      <c r="I1532" s="425" t="s">
        <v>1055</v>
      </c>
      <c r="J1532" s="425" t="s">
        <v>697</v>
      </c>
      <c r="K1532" s="425" t="s">
        <v>995</v>
      </c>
      <c r="L1532" s="425" t="s">
        <v>996</v>
      </c>
      <c r="M1532" s="425" t="s">
        <v>997</v>
      </c>
      <c r="N1532" s="425" t="s">
        <v>558</v>
      </c>
      <c r="O1532" s="425" t="s">
        <v>998</v>
      </c>
      <c r="P1532" s="425" t="s">
        <v>999</v>
      </c>
      <c r="Q1532" s="425" t="s">
        <v>1000</v>
      </c>
      <c r="R1532" s="425" t="s">
        <v>1001</v>
      </c>
      <c r="S1532" s="425" t="s">
        <v>1002</v>
      </c>
      <c r="T1532" s="423">
        <v>200</v>
      </c>
      <c r="U1532" s="423" t="s">
        <v>1041</v>
      </c>
      <c r="V1532" s="423">
        <v>60</v>
      </c>
      <c r="W1532" s="423">
        <v>1.5</v>
      </c>
      <c r="X1532" s="423">
        <v>10</v>
      </c>
      <c r="Z1532" s="423" t="s">
        <v>1096</v>
      </c>
      <c r="AD1532" s="423">
        <f>IF(ISNUMBER(MATCH(B1532,'FICHA SOLIC'!$AB$26:$AB$376,0)),1,0)</f>
        <v>1</v>
      </c>
      <c r="AE1532" s="423" t="str">
        <f t="shared" si="23"/>
        <v>TalaganteZU-2</v>
      </c>
    </row>
    <row r="1533" spans="1:31" x14ac:dyDescent="0.25">
      <c r="A1533" s="423">
        <v>1532</v>
      </c>
      <c r="B1533" s="423" t="s">
        <v>450</v>
      </c>
      <c r="C1533" s="423" t="s">
        <v>1243</v>
      </c>
      <c r="D1533" s="425" t="s">
        <v>990</v>
      </c>
      <c r="E1533" s="425" t="s">
        <v>991</v>
      </c>
      <c r="F1533" s="425" t="s">
        <v>992</v>
      </c>
      <c r="G1533" s="425" t="s">
        <v>1054</v>
      </c>
      <c r="H1533" s="426" t="s">
        <v>699</v>
      </c>
      <c r="I1533" s="425" t="s">
        <v>1055</v>
      </c>
      <c r="J1533" s="425" t="s">
        <v>697</v>
      </c>
      <c r="K1533" s="425" t="s">
        <v>995</v>
      </c>
      <c r="L1533" s="425" t="s">
        <v>996</v>
      </c>
      <c r="M1533" s="425" t="s">
        <v>997</v>
      </c>
      <c r="N1533" s="425" t="s">
        <v>558</v>
      </c>
      <c r="O1533" s="425" t="s">
        <v>998</v>
      </c>
      <c r="P1533" s="425" t="s">
        <v>999</v>
      </c>
      <c r="Q1533" s="425" t="s">
        <v>1000</v>
      </c>
      <c r="R1533" s="425" t="s">
        <v>1001</v>
      </c>
      <c r="S1533" s="425" t="s">
        <v>1002</v>
      </c>
      <c r="T1533" s="423">
        <v>300</v>
      </c>
      <c r="U1533" s="423" t="s">
        <v>1041</v>
      </c>
      <c r="V1533" s="423">
        <v>70</v>
      </c>
      <c r="W1533" s="423">
        <v>1</v>
      </c>
      <c r="X1533" s="423">
        <v>10</v>
      </c>
      <c r="Z1533" s="423" t="s">
        <v>1057</v>
      </c>
      <c r="AD1533" s="423">
        <f>IF(ISNUMBER(MATCH(B1533,'FICHA SOLIC'!$AB$26:$AB$376,0)),1,0)</f>
        <v>1</v>
      </c>
      <c r="AE1533" s="423" t="str">
        <f t="shared" si="23"/>
        <v>TalaganteZU-3</v>
      </c>
    </row>
    <row r="1534" spans="1:31" x14ac:dyDescent="0.25">
      <c r="A1534" s="423">
        <v>1533</v>
      </c>
      <c r="B1534" s="423" t="s">
        <v>450</v>
      </c>
      <c r="C1534" s="423" t="s">
        <v>1244</v>
      </c>
      <c r="D1534" s="425" t="s">
        <v>990</v>
      </c>
      <c r="E1534" s="425" t="s">
        <v>991</v>
      </c>
      <c r="F1534" s="425" t="s">
        <v>992</v>
      </c>
      <c r="G1534" s="425" t="s">
        <v>1054</v>
      </c>
      <c r="H1534" s="426" t="s">
        <v>699</v>
      </c>
      <c r="I1534" s="425" t="s">
        <v>1055</v>
      </c>
      <c r="J1534" s="425" t="s">
        <v>697</v>
      </c>
      <c r="K1534" s="425" t="s">
        <v>995</v>
      </c>
      <c r="L1534" s="425" t="s">
        <v>996</v>
      </c>
      <c r="M1534" s="425" t="s">
        <v>997</v>
      </c>
      <c r="N1534" s="425" t="s">
        <v>558</v>
      </c>
      <c r="O1534" s="425" t="s">
        <v>998</v>
      </c>
      <c r="P1534" s="425" t="s">
        <v>999</v>
      </c>
      <c r="Q1534" s="425" t="s">
        <v>1000</v>
      </c>
      <c r="R1534" s="425" t="s">
        <v>1001</v>
      </c>
      <c r="S1534" s="425" t="s">
        <v>1002</v>
      </c>
      <c r="T1534" s="423">
        <v>200</v>
      </c>
      <c r="U1534" s="423" t="s">
        <v>1041</v>
      </c>
      <c r="V1534" s="423">
        <v>70</v>
      </c>
      <c r="W1534" s="423">
        <v>1.5</v>
      </c>
      <c r="X1534" s="423">
        <v>11</v>
      </c>
      <c r="Z1534" s="423" t="s">
        <v>1059</v>
      </c>
      <c r="AD1534" s="423">
        <f>IF(ISNUMBER(MATCH(B1534,'FICHA SOLIC'!$AB$26:$AB$376,0)),1,0)</f>
        <v>1</v>
      </c>
      <c r="AE1534" s="423" t="str">
        <f t="shared" si="23"/>
        <v>TalaganteZU-4</v>
      </c>
    </row>
    <row r="1535" spans="1:31" x14ac:dyDescent="0.25">
      <c r="A1535" s="423">
        <v>1534</v>
      </c>
      <c r="B1535" s="423" t="s">
        <v>450</v>
      </c>
      <c r="C1535" s="423" t="s">
        <v>1245</v>
      </c>
      <c r="D1535" s="425" t="s">
        <v>990</v>
      </c>
      <c r="E1535" s="425" t="s">
        <v>991</v>
      </c>
      <c r="F1535" s="425" t="s">
        <v>992</v>
      </c>
      <c r="G1535" s="425" t="s">
        <v>1054</v>
      </c>
      <c r="H1535" s="426" t="s">
        <v>699</v>
      </c>
      <c r="I1535" s="425" t="s">
        <v>1055</v>
      </c>
      <c r="J1535" s="425" t="s">
        <v>697</v>
      </c>
      <c r="K1535" s="425" t="s">
        <v>995</v>
      </c>
      <c r="L1535" s="425" t="s">
        <v>996</v>
      </c>
      <c r="M1535" s="425" t="s">
        <v>997</v>
      </c>
      <c r="N1535" s="425" t="s">
        <v>558</v>
      </c>
      <c r="O1535" s="425" t="s">
        <v>998</v>
      </c>
      <c r="P1535" s="425" t="s">
        <v>999</v>
      </c>
      <c r="Q1535" s="425" t="s">
        <v>1000</v>
      </c>
      <c r="R1535" s="425" t="s">
        <v>1001</v>
      </c>
      <c r="S1535" s="425" t="s">
        <v>1002</v>
      </c>
      <c r="T1535" s="423">
        <v>250</v>
      </c>
      <c r="U1535" s="423" t="s">
        <v>1041</v>
      </c>
      <c r="V1535" s="423">
        <v>70</v>
      </c>
      <c r="W1535" s="423">
        <v>1.5</v>
      </c>
      <c r="X1535" s="423">
        <v>11</v>
      </c>
      <c r="Z1535" s="423" t="s">
        <v>1059</v>
      </c>
      <c r="AD1535" s="423">
        <f>IF(ISNUMBER(MATCH(B1535,'FICHA SOLIC'!$AB$26:$AB$376,0)),1,0)</f>
        <v>1</v>
      </c>
      <c r="AE1535" s="423" t="str">
        <f t="shared" si="23"/>
        <v>TalaganteZU-5</v>
      </c>
    </row>
    <row r="1536" spans="1:31" x14ac:dyDescent="0.25">
      <c r="A1536" s="423">
        <v>1535</v>
      </c>
      <c r="B1536" s="423" t="s">
        <v>450</v>
      </c>
      <c r="C1536" s="423" t="s">
        <v>1246</v>
      </c>
      <c r="D1536" s="425" t="s">
        <v>990</v>
      </c>
      <c r="E1536" s="425" t="s">
        <v>991</v>
      </c>
      <c r="F1536" s="425" t="s">
        <v>992</v>
      </c>
      <c r="G1536" s="425" t="s">
        <v>1054</v>
      </c>
      <c r="H1536" s="426" t="s">
        <v>699</v>
      </c>
      <c r="I1536" s="425" t="s">
        <v>1055</v>
      </c>
      <c r="J1536" s="425" t="s">
        <v>697</v>
      </c>
      <c r="K1536" s="425" t="s">
        <v>995</v>
      </c>
      <c r="L1536" s="425" t="s">
        <v>996</v>
      </c>
      <c r="M1536" s="425" t="s">
        <v>997</v>
      </c>
      <c r="N1536" s="425" t="s">
        <v>558</v>
      </c>
      <c r="O1536" s="425" t="s">
        <v>998</v>
      </c>
      <c r="P1536" s="425" t="s">
        <v>999</v>
      </c>
      <c r="Q1536" s="425" t="s">
        <v>1000</v>
      </c>
      <c r="R1536" s="425" t="s">
        <v>1001</v>
      </c>
      <c r="S1536" s="425" t="s">
        <v>1002</v>
      </c>
      <c r="T1536" s="423">
        <v>500</v>
      </c>
      <c r="U1536" s="423" t="s">
        <v>1041</v>
      </c>
      <c r="V1536" s="423">
        <v>50</v>
      </c>
      <c r="W1536" s="423">
        <v>0.8</v>
      </c>
      <c r="X1536" s="423">
        <v>7</v>
      </c>
      <c r="Z1536" s="423" t="s">
        <v>1058</v>
      </c>
      <c r="AD1536" s="423">
        <f>IF(ISNUMBER(MATCH(B1536,'FICHA SOLIC'!$AB$26:$AB$376,0)),1,0)</f>
        <v>1</v>
      </c>
      <c r="AE1536" s="423" t="str">
        <f t="shared" si="23"/>
        <v>TalaganteZU-6</v>
      </c>
    </row>
    <row r="1537" spans="1:31" x14ac:dyDescent="0.25">
      <c r="A1537" s="423">
        <v>1536</v>
      </c>
      <c r="B1537" s="423" t="s">
        <v>450</v>
      </c>
      <c r="C1537" s="423" t="s">
        <v>1247</v>
      </c>
      <c r="D1537" s="425" t="s">
        <v>990</v>
      </c>
      <c r="E1537" s="425" t="s">
        <v>991</v>
      </c>
      <c r="F1537" s="425" t="s">
        <v>992</v>
      </c>
      <c r="G1537" s="425" t="s">
        <v>1054</v>
      </c>
      <c r="H1537" s="426" t="s">
        <v>699</v>
      </c>
      <c r="I1537" s="425" t="s">
        <v>1055</v>
      </c>
      <c r="J1537" s="425" t="s">
        <v>697</v>
      </c>
      <c r="K1537" s="425" t="s">
        <v>995</v>
      </c>
      <c r="L1537" s="425" t="s">
        <v>996</v>
      </c>
      <c r="M1537" s="425" t="s">
        <v>997</v>
      </c>
      <c r="N1537" s="425" t="s">
        <v>558</v>
      </c>
      <c r="O1537" s="425" t="s">
        <v>998</v>
      </c>
      <c r="P1537" s="425" t="s">
        <v>999</v>
      </c>
      <c r="Q1537" s="425" t="s">
        <v>1000</v>
      </c>
      <c r="R1537" s="425" t="s">
        <v>1001</v>
      </c>
      <c r="S1537" s="425" t="s">
        <v>1002</v>
      </c>
      <c r="T1537" s="423">
        <v>1000</v>
      </c>
      <c r="U1537" s="423" t="s">
        <v>1041</v>
      </c>
      <c r="V1537" s="423">
        <v>30</v>
      </c>
      <c r="W1537" s="423">
        <v>0.6</v>
      </c>
      <c r="X1537" s="423">
        <v>7</v>
      </c>
      <c r="Z1537" s="423" t="s">
        <v>1058</v>
      </c>
      <c r="AD1537" s="423">
        <f>IF(ISNUMBER(MATCH(B1537,'FICHA SOLIC'!$AB$26:$AB$376,0)),1,0)</f>
        <v>1</v>
      </c>
      <c r="AE1537" s="423" t="str">
        <f t="shared" si="23"/>
        <v>TalaganteZU-7</v>
      </c>
    </row>
    <row r="1538" spans="1:31" x14ac:dyDescent="0.25">
      <c r="A1538" s="423">
        <v>1537</v>
      </c>
      <c r="B1538" s="423" t="s">
        <v>450</v>
      </c>
      <c r="C1538" s="423" t="s">
        <v>1501</v>
      </c>
      <c r="D1538" s="425" t="s">
        <v>990</v>
      </c>
      <c r="E1538" s="425" t="s">
        <v>991</v>
      </c>
      <c r="F1538" s="425" t="s">
        <v>992</v>
      </c>
      <c r="G1538" s="425" t="s">
        <v>1054</v>
      </c>
      <c r="H1538" s="426" t="s">
        <v>699</v>
      </c>
      <c r="I1538" s="425" t="s">
        <v>1055</v>
      </c>
      <c r="J1538" s="425" t="s">
        <v>697</v>
      </c>
      <c r="K1538" s="425" t="s">
        <v>995</v>
      </c>
      <c r="L1538" s="425" t="s">
        <v>996</v>
      </c>
      <c r="M1538" s="425" t="s">
        <v>997</v>
      </c>
      <c r="N1538" s="425" t="s">
        <v>558</v>
      </c>
      <c r="O1538" s="425" t="s">
        <v>998</v>
      </c>
      <c r="P1538" s="425" t="s">
        <v>999</v>
      </c>
      <c r="Q1538" s="425" t="s">
        <v>1000</v>
      </c>
      <c r="R1538" s="425" t="s">
        <v>1001</v>
      </c>
      <c r="S1538" s="425" t="s">
        <v>1002</v>
      </c>
      <c r="T1538" s="423">
        <v>250</v>
      </c>
      <c r="U1538" s="423" t="s">
        <v>1041</v>
      </c>
      <c r="V1538" s="423">
        <v>60</v>
      </c>
      <c r="W1538" s="423">
        <v>1.5</v>
      </c>
      <c r="X1538" s="423">
        <v>7</v>
      </c>
      <c r="Y1538" s="423" t="s">
        <v>1041</v>
      </c>
      <c r="Z1538" s="423" t="s">
        <v>1057</v>
      </c>
      <c r="AD1538" s="423">
        <f>IF(ISNUMBER(MATCH(B1538,'FICHA SOLIC'!$AB$26:$AB$376,0)),1,0)</f>
        <v>1</v>
      </c>
      <c r="AE1538" s="423" t="str">
        <f t="shared" si="23"/>
        <v>TalaganteZU-7c</v>
      </c>
    </row>
    <row r="1539" spans="1:31" x14ac:dyDescent="0.25">
      <c r="A1539" s="423">
        <v>1538</v>
      </c>
      <c r="B1539" s="423" t="s">
        <v>450</v>
      </c>
      <c r="C1539" s="423" t="s">
        <v>1248</v>
      </c>
      <c r="D1539" s="425" t="s">
        <v>990</v>
      </c>
      <c r="E1539" s="425" t="s">
        <v>991</v>
      </c>
      <c r="F1539" s="425" t="s">
        <v>992</v>
      </c>
      <c r="G1539" s="425" t="s">
        <v>1054</v>
      </c>
      <c r="H1539" s="426" t="s">
        <v>699</v>
      </c>
      <c r="I1539" s="425" t="s">
        <v>1055</v>
      </c>
      <c r="J1539" s="425" t="s">
        <v>697</v>
      </c>
      <c r="K1539" s="425" t="s">
        <v>995</v>
      </c>
      <c r="L1539" s="425" t="s">
        <v>996</v>
      </c>
      <c r="M1539" s="425" t="s">
        <v>997</v>
      </c>
      <c r="N1539" s="425" t="s">
        <v>558</v>
      </c>
      <c r="O1539" s="425" t="s">
        <v>998</v>
      </c>
      <c r="P1539" s="425" t="s">
        <v>999</v>
      </c>
      <c r="Q1539" s="425" t="s">
        <v>1000</v>
      </c>
      <c r="R1539" s="425" t="s">
        <v>1001</v>
      </c>
      <c r="S1539" s="425" t="s">
        <v>1002</v>
      </c>
      <c r="T1539" s="423">
        <v>2500</v>
      </c>
      <c r="U1539" s="423" t="s">
        <v>1041</v>
      </c>
      <c r="V1539" s="423">
        <v>20</v>
      </c>
      <c r="W1539" s="423">
        <v>0.3</v>
      </c>
      <c r="X1539" s="423">
        <v>7</v>
      </c>
      <c r="Z1539" s="423" t="s">
        <v>1058</v>
      </c>
      <c r="AD1539" s="423">
        <f>IF(ISNUMBER(MATCH(B1539,'FICHA SOLIC'!$AB$26:$AB$376,0)),1,0)</f>
        <v>1</v>
      </c>
      <c r="AE1539" s="423" t="str">
        <f t="shared" ref="AE1539:AE1602" si="24">B1539&amp;C1539</f>
        <v>TalaganteZU-8</v>
      </c>
    </row>
    <row r="1540" spans="1:31" x14ac:dyDescent="0.25">
      <c r="A1540" s="423">
        <v>1539</v>
      </c>
      <c r="B1540" s="423" t="s">
        <v>450</v>
      </c>
      <c r="C1540" s="423" t="s">
        <v>1502</v>
      </c>
      <c r="D1540" s="425" t="s">
        <v>990</v>
      </c>
      <c r="E1540" s="425" t="s">
        <v>991</v>
      </c>
      <c r="F1540" s="425" t="s">
        <v>992</v>
      </c>
      <c r="G1540" s="425" t="s">
        <v>1054</v>
      </c>
      <c r="H1540" s="426" t="s">
        <v>699</v>
      </c>
      <c r="I1540" s="425" t="s">
        <v>1055</v>
      </c>
      <c r="J1540" s="425" t="s">
        <v>697</v>
      </c>
      <c r="K1540" s="425" t="s">
        <v>995</v>
      </c>
      <c r="L1540" s="425" t="s">
        <v>996</v>
      </c>
      <c r="M1540" s="425" t="s">
        <v>997</v>
      </c>
      <c r="N1540" s="425" t="s">
        <v>558</v>
      </c>
      <c r="O1540" s="425" t="s">
        <v>998</v>
      </c>
      <c r="P1540" s="425" t="s">
        <v>999</v>
      </c>
      <c r="Q1540" s="425" t="s">
        <v>1000</v>
      </c>
      <c r="R1540" s="425" t="s">
        <v>1001</v>
      </c>
      <c r="S1540" s="425" t="s">
        <v>1002</v>
      </c>
      <c r="T1540" s="423">
        <v>300</v>
      </c>
      <c r="U1540" s="423" t="s">
        <v>1041</v>
      </c>
      <c r="V1540" s="423">
        <v>60</v>
      </c>
      <c r="W1540" s="423">
        <v>1</v>
      </c>
      <c r="X1540" s="423">
        <v>7</v>
      </c>
      <c r="Y1540" s="423" t="s">
        <v>1041</v>
      </c>
      <c r="Z1540" s="423" t="s">
        <v>1057</v>
      </c>
      <c r="AD1540" s="423">
        <f>IF(ISNUMBER(MATCH(B1540,'FICHA SOLIC'!$AB$26:$AB$376,0)),1,0)</f>
        <v>1</v>
      </c>
      <c r="AE1540" s="423" t="str">
        <f t="shared" si="24"/>
        <v>TalaganteZU-8c</v>
      </c>
    </row>
    <row r="1541" spans="1:31" x14ac:dyDescent="0.25">
      <c r="A1541" s="423">
        <v>1540</v>
      </c>
      <c r="B1541" s="423" t="s">
        <v>450</v>
      </c>
      <c r="C1541" s="423" t="s">
        <v>1493</v>
      </c>
      <c r="D1541" s="425" t="s">
        <v>990</v>
      </c>
      <c r="E1541" s="425" t="s">
        <v>991</v>
      </c>
      <c r="F1541" s="425" t="s">
        <v>992</v>
      </c>
      <c r="G1541" s="425" t="s">
        <v>1054</v>
      </c>
      <c r="H1541" s="426" t="s">
        <v>699</v>
      </c>
      <c r="I1541" s="425" t="s">
        <v>1055</v>
      </c>
      <c r="J1541" s="425" t="s">
        <v>697</v>
      </c>
      <c r="K1541" s="425" t="s">
        <v>995</v>
      </c>
      <c r="L1541" s="425" t="s">
        <v>996</v>
      </c>
      <c r="M1541" s="425" t="s">
        <v>997</v>
      </c>
      <c r="N1541" s="425" t="s">
        <v>558</v>
      </c>
      <c r="O1541" s="425" t="s">
        <v>998</v>
      </c>
      <c r="P1541" s="425" t="s">
        <v>999</v>
      </c>
      <c r="Q1541" s="425" t="s">
        <v>1000</v>
      </c>
      <c r="R1541" s="425" t="s">
        <v>1001</v>
      </c>
      <c r="S1541" s="425" t="s">
        <v>1002</v>
      </c>
      <c r="T1541" s="423">
        <v>300</v>
      </c>
      <c r="U1541" s="423" t="s">
        <v>1041</v>
      </c>
      <c r="V1541" s="423">
        <v>70</v>
      </c>
      <c r="W1541" s="423">
        <v>1</v>
      </c>
      <c r="X1541" s="423">
        <v>14</v>
      </c>
      <c r="Z1541" s="423" t="s">
        <v>1096</v>
      </c>
      <c r="AD1541" s="423">
        <f>IF(ISNUMBER(MATCH(B1541,'FICHA SOLIC'!$AB$26:$AB$376,0)),1,0)</f>
        <v>1</v>
      </c>
      <c r="AE1541" s="423" t="str">
        <f t="shared" si="24"/>
        <v>TalaganteZU-CV</v>
      </c>
    </row>
    <row r="1542" spans="1:31" x14ac:dyDescent="0.25">
      <c r="A1542" s="423">
        <v>1541</v>
      </c>
      <c r="B1542" s="423" t="s">
        <v>303</v>
      </c>
      <c r="C1542" s="423" t="s">
        <v>2528</v>
      </c>
      <c r="D1542" s="973" t="s">
        <v>990</v>
      </c>
      <c r="E1542" s="973" t="s">
        <v>991</v>
      </c>
      <c r="F1542" s="973" t="s">
        <v>992</v>
      </c>
      <c r="G1542" s="973" t="s">
        <v>1997</v>
      </c>
      <c r="H1542" s="973" t="s">
        <v>1998</v>
      </c>
      <c r="I1542" s="973" t="s">
        <v>1999</v>
      </c>
      <c r="J1542" s="973" t="s">
        <v>697</v>
      </c>
      <c r="K1542" s="973" t="s">
        <v>995</v>
      </c>
      <c r="L1542" s="973" t="s">
        <v>996</v>
      </c>
      <c r="M1542" s="973" t="s">
        <v>2000</v>
      </c>
      <c r="N1542" s="973" t="s">
        <v>2001</v>
      </c>
      <c r="O1542" s="973" t="s">
        <v>1971</v>
      </c>
      <c r="P1542" s="973" t="s">
        <v>999</v>
      </c>
      <c r="Q1542" s="973" t="s">
        <v>1000</v>
      </c>
      <c r="R1542" s="973" t="s">
        <v>1001</v>
      </c>
      <c r="S1542" s="973" t="s">
        <v>1002</v>
      </c>
      <c r="T1542" s="423">
        <v>500</v>
      </c>
      <c r="V1542" s="423">
        <v>0.6</v>
      </c>
      <c r="W1542" s="423">
        <v>3.25</v>
      </c>
      <c r="X1542" s="423">
        <v>25.2</v>
      </c>
      <c r="Z1542" s="423" t="s">
        <v>1057</v>
      </c>
      <c r="AD1542" s="423">
        <f>IF(ISNUMBER(MATCH(B1542,'FICHA SOLIC'!$AB$26:$AB$376,0)),1,0)</f>
        <v>1</v>
      </c>
      <c r="AE1542" s="423" t="str">
        <f t="shared" si="24"/>
        <v>TemucoZ M1</v>
      </c>
    </row>
    <row r="1543" spans="1:31" x14ac:dyDescent="0.25">
      <c r="A1543" s="423">
        <v>1542</v>
      </c>
      <c r="B1543" s="423" t="s">
        <v>303</v>
      </c>
      <c r="C1543" s="423" t="s">
        <v>2529</v>
      </c>
      <c r="D1543" s="973" t="s">
        <v>990</v>
      </c>
      <c r="E1543" s="973" t="s">
        <v>991</v>
      </c>
      <c r="F1543" s="973" t="s">
        <v>992</v>
      </c>
      <c r="G1543" s="973" t="s">
        <v>1997</v>
      </c>
      <c r="H1543" s="973" t="s">
        <v>1998</v>
      </c>
      <c r="I1543" s="973" t="s">
        <v>1999</v>
      </c>
      <c r="J1543" s="973" t="s">
        <v>697</v>
      </c>
      <c r="K1543" s="973" t="s">
        <v>995</v>
      </c>
      <c r="L1543" s="973" t="s">
        <v>996</v>
      </c>
      <c r="M1543" s="973" t="s">
        <v>2000</v>
      </c>
      <c r="N1543" s="973" t="s">
        <v>2001</v>
      </c>
      <c r="O1543" s="973" t="s">
        <v>1971</v>
      </c>
      <c r="P1543" s="973" t="s">
        <v>999</v>
      </c>
      <c r="Q1543" s="973" t="s">
        <v>1000</v>
      </c>
      <c r="R1543" s="973" t="s">
        <v>1001</v>
      </c>
      <c r="S1543" s="973" t="s">
        <v>1002</v>
      </c>
      <c r="T1543" s="423">
        <v>300</v>
      </c>
      <c r="V1543" s="423">
        <v>0.6</v>
      </c>
      <c r="W1543" s="423">
        <v>2.6</v>
      </c>
      <c r="X1543" s="423">
        <v>21</v>
      </c>
      <c r="Z1543" s="423" t="s">
        <v>1057</v>
      </c>
      <c r="AD1543" s="423">
        <f>IF(ISNUMBER(MATCH(B1543,'FICHA SOLIC'!$AB$26:$AB$376,0)),1,0)</f>
        <v>1</v>
      </c>
      <c r="AE1543" s="423" t="str">
        <f t="shared" si="24"/>
        <v>TemucoZ M2</v>
      </c>
    </row>
    <row r="1544" spans="1:31" x14ac:dyDescent="0.25">
      <c r="A1544" s="423">
        <v>1543</v>
      </c>
      <c r="B1544" s="423" t="s">
        <v>303</v>
      </c>
      <c r="C1544" s="423" t="s">
        <v>2530</v>
      </c>
      <c r="D1544" s="973" t="s">
        <v>990</v>
      </c>
      <c r="E1544" s="973" t="s">
        <v>991</v>
      </c>
      <c r="F1544" s="973" t="s">
        <v>992</v>
      </c>
      <c r="G1544" s="973" t="s">
        <v>1997</v>
      </c>
      <c r="H1544" s="973" t="s">
        <v>1998</v>
      </c>
      <c r="I1544" s="973" t="s">
        <v>1999</v>
      </c>
      <c r="J1544" s="973" t="s">
        <v>697</v>
      </c>
      <c r="K1544" s="973" t="s">
        <v>995</v>
      </c>
      <c r="L1544" s="973" t="s">
        <v>996</v>
      </c>
      <c r="M1544" s="973" t="s">
        <v>2000</v>
      </c>
      <c r="N1544" s="973" t="s">
        <v>2001</v>
      </c>
      <c r="O1544" s="973" t="s">
        <v>1971</v>
      </c>
      <c r="P1544" s="973" t="s">
        <v>999</v>
      </c>
      <c r="Q1544" s="973" t="s">
        <v>1000</v>
      </c>
      <c r="R1544" s="973" t="s">
        <v>1001</v>
      </c>
      <c r="S1544" s="973" t="s">
        <v>1002</v>
      </c>
      <c r="T1544" s="423">
        <v>300</v>
      </c>
      <c r="V1544" s="423">
        <v>0.75</v>
      </c>
      <c r="W1544" s="423">
        <v>3</v>
      </c>
      <c r="X1544" s="423">
        <v>21</v>
      </c>
      <c r="Z1544" s="423" t="s">
        <v>1096</v>
      </c>
      <c r="AD1544" s="423">
        <f>IF(ISNUMBER(MATCH(B1544,'FICHA SOLIC'!$AB$26:$AB$376,0)),1,0)</f>
        <v>1</v>
      </c>
      <c r="AE1544" s="423" t="str">
        <f t="shared" si="24"/>
        <v>TemucoZ M3</v>
      </c>
    </row>
    <row r="1545" spans="1:31" x14ac:dyDescent="0.25">
      <c r="A1545" s="423">
        <v>1544</v>
      </c>
      <c r="B1545" s="423" t="s">
        <v>303</v>
      </c>
      <c r="C1545" s="423" t="s">
        <v>2531</v>
      </c>
      <c r="D1545" s="973" t="s">
        <v>990</v>
      </c>
      <c r="E1545" s="973" t="s">
        <v>991</v>
      </c>
      <c r="F1545" s="973" t="s">
        <v>992</v>
      </c>
      <c r="G1545" s="973" t="s">
        <v>1997</v>
      </c>
      <c r="H1545" s="973" t="s">
        <v>1998</v>
      </c>
      <c r="I1545" s="973" t="s">
        <v>1999</v>
      </c>
      <c r="J1545" s="973" t="s">
        <v>697</v>
      </c>
      <c r="K1545" s="973" t="s">
        <v>995</v>
      </c>
      <c r="L1545" s="973" t="s">
        <v>996</v>
      </c>
      <c r="M1545" s="973" t="s">
        <v>2000</v>
      </c>
      <c r="N1545" s="973" t="s">
        <v>2001</v>
      </c>
      <c r="O1545" s="973" t="s">
        <v>1971</v>
      </c>
      <c r="P1545" s="973" t="s">
        <v>999</v>
      </c>
      <c r="Q1545" s="973" t="s">
        <v>1000</v>
      </c>
      <c r="R1545" s="973" t="s">
        <v>1001</v>
      </c>
      <c r="S1545" s="973" t="s">
        <v>1002</v>
      </c>
      <c r="T1545" s="423">
        <v>300</v>
      </c>
      <c r="V1545" s="423">
        <v>0.7</v>
      </c>
      <c r="W1545" s="423">
        <v>3</v>
      </c>
      <c r="X1545" s="423">
        <v>28</v>
      </c>
      <c r="Z1545" s="423" t="s">
        <v>1059</v>
      </c>
      <c r="AD1545" s="423">
        <f>IF(ISNUMBER(MATCH(B1545,'FICHA SOLIC'!$AB$26:$AB$376,0)),1,0)</f>
        <v>1</v>
      </c>
      <c r="AE1545" s="423" t="str">
        <f t="shared" si="24"/>
        <v>TemucoZ M4</v>
      </c>
    </row>
    <row r="1546" spans="1:31" x14ac:dyDescent="0.25">
      <c r="A1546" s="423">
        <v>1545</v>
      </c>
      <c r="B1546" s="423" t="s">
        <v>303</v>
      </c>
      <c r="C1546" s="423" t="s">
        <v>2532</v>
      </c>
      <c r="D1546" s="973" t="s">
        <v>990</v>
      </c>
      <c r="E1546" s="973" t="s">
        <v>991</v>
      </c>
      <c r="F1546" s="973" t="s">
        <v>992</v>
      </c>
      <c r="G1546" s="973" t="s">
        <v>1997</v>
      </c>
      <c r="H1546" s="973" t="s">
        <v>1998</v>
      </c>
      <c r="I1546" s="973" t="s">
        <v>1999</v>
      </c>
      <c r="J1546" s="973" t="s">
        <v>697</v>
      </c>
      <c r="K1546" s="973" t="s">
        <v>995</v>
      </c>
      <c r="L1546" s="973" t="s">
        <v>996</v>
      </c>
      <c r="M1546" s="973" t="s">
        <v>2000</v>
      </c>
      <c r="N1546" s="973" t="s">
        <v>2001</v>
      </c>
      <c r="O1546" s="973" t="s">
        <v>1971</v>
      </c>
      <c r="P1546" s="973" t="s">
        <v>999</v>
      </c>
      <c r="Q1546" s="973" t="s">
        <v>1000</v>
      </c>
      <c r="R1546" s="973" t="s">
        <v>1001</v>
      </c>
      <c r="S1546" s="973" t="s">
        <v>1002</v>
      </c>
      <c r="T1546" s="423">
        <v>300</v>
      </c>
      <c r="V1546" s="423">
        <v>0.4</v>
      </c>
      <c r="W1546" s="423">
        <v>2.5</v>
      </c>
      <c r="X1546" s="423">
        <v>21</v>
      </c>
      <c r="Z1546" s="423" t="s">
        <v>1057</v>
      </c>
      <c r="AD1546" s="423">
        <f>IF(ISNUMBER(MATCH(B1546,'FICHA SOLIC'!$AB$26:$AB$376,0)),1,0)</f>
        <v>1</v>
      </c>
      <c r="AE1546" s="423" t="str">
        <f t="shared" si="24"/>
        <v>TemucoZ M5</v>
      </c>
    </row>
    <row r="1547" spans="1:31" x14ac:dyDescent="0.25">
      <c r="A1547" s="423">
        <v>1546</v>
      </c>
      <c r="B1547" s="423" t="s">
        <v>303</v>
      </c>
      <c r="C1547" s="423" t="s">
        <v>2533</v>
      </c>
      <c r="D1547" s="973" t="s">
        <v>990</v>
      </c>
      <c r="E1547" s="973" t="s">
        <v>991</v>
      </c>
      <c r="F1547" s="973" t="s">
        <v>992</v>
      </c>
      <c r="G1547" s="973" t="s">
        <v>1997</v>
      </c>
      <c r="H1547" s="973" t="s">
        <v>1998</v>
      </c>
      <c r="I1547" s="973" t="s">
        <v>1999</v>
      </c>
      <c r="J1547" s="973" t="s">
        <v>697</v>
      </c>
      <c r="K1547" s="973" t="s">
        <v>995</v>
      </c>
      <c r="L1547" s="973" t="s">
        <v>996</v>
      </c>
      <c r="M1547" s="973" t="s">
        <v>2000</v>
      </c>
      <c r="N1547" s="973" t="s">
        <v>2001</v>
      </c>
      <c r="O1547" s="973" t="s">
        <v>1971</v>
      </c>
      <c r="P1547" s="973" t="s">
        <v>999</v>
      </c>
      <c r="Q1547" s="973" t="s">
        <v>1000</v>
      </c>
      <c r="R1547" s="973" t="s">
        <v>1001</v>
      </c>
      <c r="S1547" s="973" t="s">
        <v>1002</v>
      </c>
      <c r="T1547" s="423">
        <v>1000</v>
      </c>
      <c r="V1547" s="423">
        <v>0.52</v>
      </c>
      <c r="X1547" s="423">
        <v>10.5</v>
      </c>
      <c r="Z1547" s="423" t="s">
        <v>1058</v>
      </c>
      <c r="AD1547" s="423">
        <f>IF(ISNUMBER(MATCH(B1547,'FICHA SOLIC'!$AB$26:$AB$376,0)),1,0)</f>
        <v>1</v>
      </c>
      <c r="AE1547" s="423" t="str">
        <f t="shared" si="24"/>
        <v>TemucoZ M6</v>
      </c>
    </row>
    <row r="1548" spans="1:31" x14ac:dyDescent="0.25">
      <c r="A1548" s="423">
        <v>1547</v>
      </c>
      <c r="B1548" s="423" t="s">
        <v>303</v>
      </c>
      <c r="C1548" s="423" t="s">
        <v>1341</v>
      </c>
      <c r="D1548" s="973" t="s">
        <v>990</v>
      </c>
      <c r="E1548" s="973" t="s">
        <v>991</v>
      </c>
      <c r="F1548" s="973" t="s">
        <v>992</v>
      </c>
      <c r="G1548" s="973" t="s">
        <v>1997</v>
      </c>
      <c r="H1548" s="973" t="s">
        <v>1998</v>
      </c>
      <c r="I1548" s="973" t="s">
        <v>1999</v>
      </c>
      <c r="J1548" s="973" t="s">
        <v>697</v>
      </c>
      <c r="K1548" s="973" t="s">
        <v>995</v>
      </c>
      <c r="L1548" s="973" t="s">
        <v>996</v>
      </c>
      <c r="M1548" s="973" t="s">
        <v>2000</v>
      </c>
      <c r="N1548" s="973" t="s">
        <v>2001</v>
      </c>
      <c r="O1548" s="973" t="s">
        <v>1971</v>
      </c>
      <c r="P1548" s="973" t="s">
        <v>999</v>
      </c>
      <c r="Q1548" s="973" t="s">
        <v>1000</v>
      </c>
      <c r="R1548" s="973" t="s">
        <v>1001</v>
      </c>
      <c r="S1548" s="973" t="s">
        <v>1002</v>
      </c>
      <c r="T1548" s="423">
        <v>500</v>
      </c>
      <c r="V1548" s="423">
        <v>1</v>
      </c>
      <c r="W1548" s="423">
        <v>3</v>
      </c>
      <c r="X1548" s="423">
        <v>11.5</v>
      </c>
      <c r="Z1548" s="423" t="s">
        <v>1096</v>
      </c>
      <c r="AD1548" s="423">
        <f>IF(ISNUMBER(MATCH(B1548,'FICHA SOLIC'!$AB$26:$AB$376,0)),1,0)</f>
        <v>1</v>
      </c>
      <c r="AE1548" s="423" t="str">
        <f t="shared" si="24"/>
        <v>TemucoZE1</v>
      </c>
    </row>
    <row r="1549" spans="1:31" x14ac:dyDescent="0.25">
      <c r="A1549" s="423">
        <v>1548</v>
      </c>
      <c r="B1549" s="423" t="s">
        <v>303</v>
      </c>
      <c r="C1549" s="423" t="s">
        <v>1342</v>
      </c>
      <c r="D1549" s="973" t="s">
        <v>990</v>
      </c>
      <c r="E1549" s="973" t="s">
        <v>991</v>
      </c>
      <c r="F1549" s="973" t="s">
        <v>992</v>
      </c>
      <c r="G1549" s="973" t="s">
        <v>1997</v>
      </c>
      <c r="H1549" s="973" t="s">
        <v>1998</v>
      </c>
      <c r="I1549" s="973" t="s">
        <v>1999</v>
      </c>
      <c r="J1549" s="973" t="s">
        <v>697</v>
      </c>
      <c r="K1549" s="973" t="s">
        <v>995</v>
      </c>
      <c r="L1549" s="973" t="s">
        <v>996</v>
      </c>
      <c r="M1549" s="973" t="s">
        <v>2000</v>
      </c>
      <c r="N1549" s="973" t="s">
        <v>2001</v>
      </c>
      <c r="O1549" s="973" t="s">
        <v>1971</v>
      </c>
      <c r="P1549" s="973" t="s">
        <v>999</v>
      </c>
      <c r="Q1549" s="973" t="s">
        <v>1000</v>
      </c>
      <c r="R1549" s="973" t="s">
        <v>1001</v>
      </c>
      <c r="S1549" s="973" t="s">
        <v>1002</v>
      </c>
      <c r="T1549" s="423">
        <v>2000</v>
      </c>
      <c r="V1549" s="423">
        <v>0.8</v>
      </c>
      <c r="W1549" s="423">
        <v>3</v>
      </c>
      <c r="X1549" s="423">
        <v>21</v>
      </c>
      <c r="Z1549" s="423" t="s">
        <v>1096</v>
      </c>
      <c r="AD1549" s="423">
        <f>IF(ISNUMBER(MATCH(B1549,'FICHA SOLIC'!$AB$26:$AB$376,0)),1,0)</f>
        <v>1</v>
      </c>
      <c r="AE1549" s="423" t="str">
        <f t="shared" si="24"/>
        <v>TemucoZE2</v>
      </c>
    </row>
    <row r="1550" spans="1:31" x14ac:dyDescent="0.25">
      <c r="A1550" s="423">
        <v>1549</v>
      </c>
      <c r="B1550" s="423" t="s">
        <v>303</v>
      </c>
      <c r="C1550" s="423" t="s">
        <v>1343</v>
      </c>
      <c r="D1550" s="973" t="s">
        <v>990</v>
      </c>
      <c r="E1550" s="973" t="s">
        <v>991</v>
      </c>
      <c r="F1550" s="973" t="s">
        <v>992</v>
      </c>
      <c r="G1550" s="973" t="s">
        <v>1997</v>
      </c>
      <c r="H1550" s="973" t="s">
        <v>1998</v>
      </c>
      <c r="I1550" s="973" t="s">
        <v>1999</v>
      </c>
      <c r="J1550" s="973" t="s">
        <v>697</v>
      </c>
      <c r="K1550" s="973" t="s">
        <v>995</v>
      </c>
      <c r="L1550" s="973" t="s">
        <v>996</v>
      </c>
      <c r="M1550" s="973" t="s">
        <v>2000</v>
      </c>
      <c r="N1550" s="973" t="s">
        <v>2001</v>
      </c>
      <c r="O1550" s="973" t="s">
        <v>1971</v>
      </c>
      <c r="P1550" s="973" t="s">
        <v>999</v>
      </c>
      <c r="Q1550" s="973" t="s">
        <v>1000</v>
      </c>
      <c r="R1550" s="973" t="s">
        <v>1001</v>
      </c>
      <c r="S1550" s="973" t="s">
        <v>1002</v>
      </c>
      <c r="T1550" s="423">
        <v>300</v>
      </c>
      <c r="V1550" s="423">
        <v>0.7</v>
      </c>
      <c r="W1550" s="423">
        <v>3</v>
      </c>
      <c r="X1550" s="423">
        <v>21</v>
      </c>
      <c r="Z1550" s="423" t="s">
        <v>1057</v>
      </c>
      <c r="AD1550" s="423">
        <f>IF(ISNUMBER(MATCH(B1550,'FICHA SOLIC'!$AB$26:$AB$376,0)),1,0)</f>
        <v>1</v>
      </c>
      <c r="AE1550" s="423" t="str">
        <f t="shared" si="24"/>
        <v>TemucoZE3</v>
      </c>
    </row>
    <row r="1551" spans="1:31" x14ac:dyDescent="0.25">
      <c r="A1551" s="423">
        <v>1550</v>
      </c>
      <c r="B1551" s="423" t="s">
        <v>303</v>
      </c>
      <c r="C1551" s="423" t="s">
        <v>1344</v>
      </c>
      <c r="D1551" s="973" t="s">
        <v>990</v>
      </c>
      <c r="E1551" s="973" t="s">
        <v>991</v>
      </c>
      <c r="F1551" s="973" t="s">
        <v>992</v>
      </c>
      <c r="G1551" s="973" t="s">
        <v>1997</v>
      </c>
      <c r="H1551" s="973" t="s">
        <v>1998</v>
      </c>
      <c r="I1551" s="973" t="s">
        <v>1999</v>
      </c>
      <c r="J1551" s="973" t="s">
        <v>697</v>
      </c>
      <c r="K1551" s="973" t="s">
        <v>995</v>
      </c>
      <c r="L1551" s="973" t="s">
        <v>996</v>
      </c>
      <c r="M1551" s="973" t="s">
        <v>2000</v>
      </c>
      <c r="N1551" s="973" t="s">
        <v>2001</v>
      </c>
      <c r="O1551" s="973" t="s">
        <v>1971</v>
      </c>
      <c r="P1551" s="973" t="s">
        <v>999</v>
      </c>
      <c r="Q1551" s="973" t="s">
        <v>1000</v>
      </c>
      <c r="R1551" s="973" t="s">
        <v>1001</v>
      </c>
      <c r="S1551" s="973" t="s">
        <v>1002</v>
      </c>
      <c r="T1551" s="423">
        <v>5000</v>
      </c>
      <c r="V1551" s="423">
        <v>0.5</v>
      </c>
      <c r="W1551" s="423">
        <v>3</v>
      </c>
      <c r="X1551" s="423">
        <v>21</v>
      </c>
      <c r="Z1551" s="423" t="s">
        <v>1058</v>
      </c>
      <c r="AD1551" s="423">
        <f>IF(ISNUMBER(MATCH(B1551,'FICHA SOLIC'!$AB$26:$AB$376,0)),1,0)</f>
        <v>1</v>
      </c>
      <c r="AE1551" s="423" t="str">
        <f t="shared" si="24"/>
        <v>TemucoZE4</v>
      </c>
    </row>
    <row r="1552" spans="1:31" x14ac:dyDescent="0.25">
      <c r="A1552" s="423">
        <v>1551</v>
      </c>
      <c r="B1552" s="423" t="s">
        <v>303</v>
      </c>
      <c r="C1552" s="423" t="s">
        <v>1345</v>
      </c>
      <c r="D1552" s="973" t="s">
        <v>990</v>
      </c>
      <c r="E1552" s="973" t="s">
        <v>991</v>
      </c>
      <c r="F1552" s="973" t="s">
        <v>992</v>
      </c>
      <c r="G1552" s="973" t="s">
        <v>1997</v>
      </c>
      <c r="H1552" s="973" t="s">
        <v>1998</v>
      </c>
      <c r="I1552" s="973" t="s">
        <v>1999</v>
      </c>
      <c r="J1552" s="973" t="s">
        <v>697</v>
      </c>
      <c r="K1552" s="973" t="s">
        <v>995</v>
      </c>
      <c r="L1552" s="973" t="s">
        <v>996</v>
      </c>
      <c r="M1552" s="973" t="s">
        <v>2000</v>
      </c>
      <c r="N1552" s="973" t="s">
        <v>2001</v>
      </c>
      <c r="O1552" s="973" t="s">
        <v>1971</v>
      </c>
      <c r="P1552" s="973" t="s">
        <v>999</v>
      </c>
      <c r="Q1552" s="973" t="s">
        <v>1000</v>
      </c>
      <c r="R1552" s="973" t="s">
        <v>1001</v>
      </c>
      <c r="S1552" s="973" t="s">
        <v>1002</v>
      </c>
      <c r="T1552" s="423">
        <v>200</v>
      </c>
      <c r="V1552" s="423">
        <v>0.6</v>
      </c>
      <c r="W1552" s="423">
        <v>1.5</v>
      </c>
      <c r="X1552" s="423">
        <v>7</v>
      </c>
      <c r="Z1552" s="423" t="s">
        <v>1058</v>
      </c>
      <c r="AD1552" s="423">
        <f>IF(ISNUMBER(MATCH(B1552,'FICHA SOLIC'!$AB$26:$AB$376,0)),1,0)</f>
        <v>1</v>
      </c>
      <c r="AE1552" s="423" t="str">
        <f t="shared" si="24"/>
        <v>TemucoZE5</v>
      </c>
    </row>
    <row r="1553" spans="1:31" x14ac:dyDescent="0.25">
      <c r="A1553" s="423">
        <v>1552</v>
      </c>
      <c r="B1553" s="423" t="s">
        <v>303</v>
      </c>
      <c r="C1553" s="423" t="s">
        <v>1346</v>
      </c>
      <c r="D1553" s="973" t="s">
        <v>990</v>
      </c>
      <c r="E1553" s="973" t="s">
        <v>991</v>
      </c>
      <c r="F1553" s="973" t="s">
        <v>992</v>
      </c>
      <c r="G1553" s="973" t="s">
        <v>1997</v>
      </c>
      <c r="H1553" s="973" t="s">
        <v>1998</v>
      </c>
      <c r="I1553" s="973" t="s">
        <v>1999</v>
      </c>
      <c r="J1553" s="973" t="s">
        <v>697</v>
      </c>
      <c r="K1553" s="973" t="s">
        <v>995</v>
      </c>
      <c r="L1553" s="973" t="s">
        <v>996</v>
      </c>
      <c r="M1553" s="973" t="s">
        <v>2000</v>
      </c>
      <c r="N1553" s="973" t="s">
        <v>2001</v>
      </c>
      <c r="O1553" s="973" t="s">
        <v>1971</v>
      </c>
      <c r="P1553" s="973" t="s">
        <v>999</v>
      </c>
      <c r="Q1553" s="973" t="s">
        <v>1000</v>
      </c>
      <c r="R1553" s="973" t="s">
        <v>1001</v>
      </c>
      <c r="S1553" s="973" t="s">
        <v>1002</v>
      </c>
      <c r="T1553" s="423">
        <v>2500</v>
      </c>
      <c r="V1553" s="423" t="s">
        <v>1041</v>
      </c>
      <c r="W1553" s="423" t="s">
        <v>1041</v>
      </c>
      <c r="X1553" s="423">
        <v>9.6</v>
      </c>
      <c r="Z1553" s="423" t="s">
        <v>1058</v>
      </c>
      <c r="AD1553" s="423">
        <f>IF(ISNUMBER(MATCH(B1553,'FICHA SOLIC'!$AB$26:$AB$376,0)),1,0)</f>
        <v>1</v>
      </c>
      <c r="AE1553" s="423" t="str">
        <f t="shared" si="24"/>
        <v>TemucoZE6</v>
      </c>
    </row>
    <row r="1554" spans="1:31" x14ac:dyDescent="0.25">
      <c r="A1554" s="423">
        <v>1553</v>
      </c>
      <c r="B1554" s="423" t="s">
        <v>303</v>
      </c>
      <c r="C1554" s="423" t="s">
        <v>1347</v>
      </c>
      <c r="D1554" s="973" t="s">
        <v>990</v>
      </c>
      <c r="E1554" s="973" t="s">
        <v>991</v>
      </c>
      <c r="F1554" s="973" t="s">
        <v>992</v>
      </c>
      <c r="G1554" s="973" t="s">
        <v>1997</v>
      </c>
      <c r="H1554" s="973" t="s">
        <v>1998</v>
      </c>
      <c r="I1554" s="973" t="s">
        <v>1999</v>
      </c>
      <c r="J1554" s="973" t="s">
        <v>697</v>
      </c>
      <c r="K1554" s="973" t="s">
        <v>995</v>
      </c>
      <c r="L1554" s="973" t="s">
        <v>996</v>
      </c>
      <c r="M1554" s="973" t="s">
        <v>2000</v>
      </c>
      <c r="N1554" s="973" t="s">
        <v>2001</v>
      </c>
      <c r="O1554" s="973" t="s">
        <v>1971</v>
      </c>
      <c r="P1554" s="973" t="s">
        <v>999</v>
      </c>
      <c r="Q1554" s="973" t="s">
        <v>1000</v>
      </c>
      <c r="R1554" s="973" t="s">
        <v>1001</v>
      </c>
      <c r="S1554" s="973" t="s">
        <v>1002</v>
      </c>
      <c r="T1554" s="423">
        <v>2500</v>
      </c>
      <c r="V1554" s="423" t="s">
        <v>1041</v>
      </c>
      <c r="W1554" s="423" t="s">
        <v>1041</v>
      </c>
      <c r="X1554" s="423">
        <v>9.6</v>
      </c>
      <c r="Z1554" s="423" t="s">
        <v>1058</v>
      </c>
      <c r="AD1554" s="423">
        <f>IF(ISNUMBER(MATCH(B1554,'FICHA SOLIC'!$AB$26:$AB$376,0)),1,0)</f>
        <v>1</v>
      </c>
      <c r="AE1554" s="423" t="str">
        <f t="shared" si="24"/>
        <v>TemucoZE7</v>
      </c>
    </row>
    <row r="1555" spans="1:31" x14ac:dyDescent="0.25">
      <c r="A1555" s="423">
        <v>1554</v>
      </c>
      <c r="B1555" s="423" t="s">
        <v>303</v>
      </c>
      <c r="C1555" s="423" t="s">
        <v>1597</v>
      </c>
      <c r="D1555" s="973" t="s">
        <v>990</v>
      </c>
      <c r="E1555" s="973" t="s">
        <v>991</v>
      </c>
      <c r="F1555" s="973" t="s">
        <v>992</v>
      </c>
      <c r="G1555" s="973" t="s">
        <v>1997</v>
      </c>
      <c r="H1555" s="973" t="s">
        <v>1998</v>
      </c>
      <c r="I1555" s="973" t="s">
        <v>1999</v>
      </c>
      <c r="J1555" s="973" t="s">
        <v>697</v>
      </c>
      <c r="K1555" s="973" t="s">
        <v>995</v>
      </c>
      <c r="L1555" s="973" t="s">
        <v>996</v>
      </c>
      <c r="M1555" s="973" t="s">
        <v>2000</v>
      </c>
      <c r="N1555" s="973" t="s">
        <v>2001</v>
      </c>
      <c r="O1555" s="973" t="s">
        <v>1971</v>
      </c>
      <c r="P1555" s="973" t="s">
        <v>999</v>
      </c>
      <c r="Q1555" s="973" t="s">
        <v>1000</v>
      </c>
      <c r="R1555" s="973" t="s">
        <v>1001</v>
      </c>
      <c r="S1555" s="973" t="s">
        <v>1002</v>
      </c>
      <c r="T1555" s="423">
        <v>300</v>
      </c>
      <c r="V1555" s="423">
        <v>0.4</v>
      </c>
      <c r="W1555" s="423">
        <v>2.6</v>
      </c>
      <c r="X1555" s="423">
        <v>16.8</v>
      </c>
      <c r="Z1555" s="423" t="s">
        <v>1057</v>
      </c>
      <c r="AD1555" s="423">
        <f>IF(ISNUMBER(MATCH(B1555,'FICHA SOLIC'!$AB$26:$AB$376,0)),1,0)</f>
        <v>1</v>
      </c>
      <c r="AE1555" s="423" t="str">
        <f t="shared" si="24"/>
        <v>TemucoZH1</v>
      </c>
    </row>
    <row r="1556" spans="1:31" x14ac:dyDescent="0.25">
      <c r="A1556" s="423">
        <v>1555</v>
      </c>
      <c r="B1556" s="423" t="s">
        <v>303</v>
      </c>
      <c r="C1556" s="423" t="s">
        <v>1598</v>
      </c>
      <c r="D1556" s="973" t="s">
        <v>990</v>
      </c>
      <c r="E1556" s="973" t="s">
        <v>991</v>
      </c>
      <c r="F1556" s="973" t="s">
        <v>992</v>
      </c>
      <c r="G1556" s="973" t="s">
        <v>1997</v>
      </c>
      <c r="H1556" s="973" t="s">
        <v>1998</v>
      </c>
      <c r="I1556" s="973" t="s">
        <v>1999</v>
      </c>
      <c r="J1556" s="973" t="s">
        <v>697</v>
      </c>
      <c r="K1556" s="973" t="s">
        <v>995</v>
      </c>
      <c r="L1556" s="973" t="s">
        <v>996</v>
      </c>
      <c r="M1556" s="973" t="s">
        <v>2000</v>
      </c>
      <c r="N1556" s="973" t="s">
        <v>2001</v>
      </c>
      <c r="O1556" s="973" t="s">
        <v>1971</v>
      </c>
      <c r="P1556" s="973" t="s">
        <v>999</v>
      </c>
      <c r="Q1556" s="973" t="s">
        <v>1000</v>
      </c>
      <c r="R1556" s="973" t="s">
        <v>1001</v>
      </c>
      <c r="S1556" s="973" t="s">
        <v>1002</v>
      </c>
      <c r="T1556" s="423">
        <v>150</v>
      </c>
      <c r="V1556" s="423">
        <v>0.5</v>
      </c>
      <c r="W1556" s="423">
        <v>1.5</v>
      </c>
      <c r="X1556" s="423">
        <v>17.5</v>
      </c>
      <c r="Z1556" s="423" t="s">
        <v>2534</v>
      </c>
      <c r="AD1556" s="423">
        <f>IF(ISNUMBER(MATCH(B1556,'FICHA SOLIC'!$AB$26:$AB$376,0)),1,0)</f>
        <v>1</v>
      </c>
      <c r="AE1556" s="423" t="str">
        <f t="shared" si="24"/>
        <v>TemucoZH2</v>
      </c>
    </row>
    <row r="1557" spans="1:31" x14ac:dyDescent="0.25">
      <c r="A1557" s="423">
        <v>1556</v>
      </c>
      <c r="B1557" s="423" t="s">
        <v>303</v>
      </c>
      <c r="C1557" s="423" t="s">
        <v>1599</v>
      </c>
      <c r="D1557" s="973" t="s">
        <v>990</v>
      </c>
      <c r="E1557" s="973" t="s">
        <v>991</v>
      </c>
      <c r="F1557" s="973" t="s">
        <v>992</v>
      </c>
      <c r="G1557" s="973" t="s">
        <v>1997</v>
      </c>
      <c r="H1557" s="973" t="s">
        <v>1998</v>
      </c>
      <c r="I1557" s="973" t="s">
        <v>1999</v>
      </c>
      <c r="J1557" s="973" t="s">
        <v>697</v>
      </c>
      <c r="K1557" s="973" t="s">
        <v>995</v>
      </c>
      <c r="L1557" s="973" t="s">
        <v>996</v>
      </c>
      <c r="M1557" s="973" t="s">
        <v>2000</v>
      </c>
      <c r="N1557" s="973" t="s">
        <v>2001</v>
      </c>
      <c r="O1557" s="973" t="s">
        <v>1971</v>
      </c>
      <c r="P1557" s="973" t="s">
        <v>999</v>
      </c>
      <c r="Q1557" s="973" t="s">
        <v>1000</v>
      </c>
      <c r="R1557" s="973" t="s">
        <v>1001</v>
      </c>
      <c r="S1557" s="973" t="s">
        <v>1002</v>
      </c>
      <c r="T1557" s="423">
        <v>200</v>
      </c>
      <c r="V1557" s="423">
        <v>0.5</v>
      </c>
      <c r="W1557" s="423">
        <v>1.5</v>
      </c>
      <c r="X1557" s="423">
        <v>14</v>
      </c>
      <c r="Z1557" s="423" t="s">
        <v>1057</v>
      </c>
      <c r="AD1557" s="423">
        <f>IF(ISNUMBER(MATCH(B1557,'FICHA SOLIC'!$AB$26:$AB$376,0)),1,0)</f>
        <v>1</v>
      </c>
      <c r="AE1557" s="423" t="str">
        <f t="shared" si="24"/>
        <v>TemucoZH3</v>
      </c>
    </row>
    <row r="1558" spans="1:31" x14ac:dyDescent="0.25">
      <c r="A1558" s="423">
        <v>1557</v>
      </c>
      <c r="B1558" s="423" t="s">
        <v>303</v>
      </c>
      <c r="C1558" s="423" t="s">
        <v>2535</v>
      </c>
      <c r="D1558" s="973" t="s">
        <v>990</v>
      </c>
      <c r="E1558" s="973" t="s">
        <v>991</v>
      </c>
      <c r="F1558" s="973" t="s">
        <v>992</v>
      </c>
      <c r="G1558" s="973" t="s">
        <v>1997</v>
      </c>
      <c r="H1558" s="973" t="s">
        <v>1998</v>
      </c>
      <c r="I1558" s="973" t="s">
        <v>1999</v>
      </c>
      <c r="J1558" s="973" t="s">
        <v>697</v>
      </c>
      <c r="K1558" s="973" t="s">
        <v>995</v>
      </c>
      <c r="L1558" s="973" t="s">
        <v>996</v>
      </c>
      <c r="M1558" s="973" t="s">
        <v>2000</v>
      </c>
      <c r="N1558" s="973" t="s">
        <v>2001</v>
      </c>
      <c r="O1558" s="973" t="s">
        <v>1971</v>
      </c>
      <c r="P1558" s="973" t="s">
        <v>999</v>
      </c>
      <c r="Q1558" s="973" t="s">
        <v>1000</v>
      </c>
      <c r="R1558" s="973" t="s">
        <v>1001</v>
      </c>
      <c r="S1558" s="973" t="s">
        <v>1002</v>
      </c>
      <c r="T1558" s="423">
        <v>200</v>
      </c>
      <c r="V1558" s="423">
        <v>0.5</v>
      </c>
      <c r="W1558" s="423">
        <v>1.5</v>
      </c>
      <c r="X1558" s="423">
        <v>14</v>
      </c>
      <c r="Z1558" s="423" t="s">
        <v>1057</v>
      </c>
      <c r="AD1558" s="423">
        <f>IF(ISNUMBER(MATCH(B1558,'FICHA SOLIC'!$AB$26:$AB$376,0)),1,0)</f>
        <v>1</v>
      </c>
      <c r="AE1558" s="423" t="str">
        <f t="shared" si="24"/>
        <v>TemucoZHE1</v>
      </c>
    </row>
    <row r="1559" spans="1:31" x14ac:dyDescent="0.25">
      <c r="A1559" s="423">
        <v>1558</v>
      </c>
      <c r="B1559" s="423" t="s">
        <v>303</v>
      </c>
      <c r="C1559" s="423" t="s">
        <v>2536</v>
      </c>
      <c r="D1559" s="973" t="s">
        <v>990</v>
      </c>
      <c r="E1559" s="973" t="s">
        <v>991</v>
      </c>
      <c r="F1559" s="973" t="s">
        <v>992</v>
      </c>
      <c r="G1559" s="973" t="s">
        <v>1997</v>
      </c>
      <c r="H1559" s="973" t="s">
        <v>1998</v>
      </c>
      <c r="I1559" s="973" t="s">
        <v>1999</v>
      </c>
      <c r="J1559" s="973" t="s">
        <v>697</v>
      </c>
      <c r="K1559" s="973" t="s">
        <v>995</v>
      </c>
      <c r="L1559" s="973" t="s">
        <v>996</v>
      </c>
      <c r="M1559" s="973" t="s">
        <v>2000</v>
      </c>
      <c r="N1559" s="973" t="s">
        <v>2001</v>
      </c>
      <c r="O1559" s="973" t="s">
        <v>1971</v>
      </c>
      <c r="P1559" s="973" t="s">
        <v>999</v>
      </c>
      <c r="Q1559" s="973" t="s">
        <v>1000</v>
      </c>
      <c r="R1559" s="973" t="s">
        <v>1001</v>
      </c>
      <c r="S1559" s="973" t="s">
        <v>1002</v>
      </c>
      <c r="T1559" s="423">
        <v>200</v>
      </c>
      <c r="V1559" s="423">
        <v>0.5</v>
      </c>
      <c r="W1559" s="423">
        <v>1.5</v>
      </c>
      <c r="X1559" s="423">
        <v>14</v>
      </c>
      <c r="Z1559" s="423" t="s">
        <v>1057</v>
      </c>
      <c r="AD1559" s="423">
        <f>IF(ISNUMBER(MATCH(B1559,'FICHA SOLIC'!$AB$26:$AB$376,0)),1,0)</f>
        <v>1</v>
      </c>
      <c r="AE1559" s="423" t="str">
        <f t="shared" si="24"/>
        <v>TemucoZHE2</v>
      </c>
    </row>
    <row r="1560" spans="1:31" x14ac:dyDescent="0.25">
      <c r="A1560" s="423">
        <v>1559</v>
      </c>
      <c r="B1560" s="423" t="s">
        <v>303</v>
      </c>
      <c r="C1560" s="423" t="s">
        <v>2537</v>
      </c>
      <c r="D1560" s="973" t="s">
        <v>990</v>
      </c>
      <c r="E1560" s="973" t="s">
        <v>991</v>
      </c>
      <c r="F1560" s="973" t="s">
        <v>992</v>
      </c>
      <c r="G1560" s="973" t="s">
        <v>1997</v>
      </c>
      <c r="H1560" s="973" t="s">
        <v>1998</v>
      </c>
      <c r="I1560" s="973" t="s">
        <v>1999</v>
      </c>
      <c r="J1560" s="973" t="s">
        <v>697</v>
      </c>
      <c r="K1560" s="973" t="s">
        <v>995</v>
      </c>
      <c r="L1560" s="973" t="s">
        <v>996</v>
      </c>
      <c r="M1560" s="973" t="s">
        <v>2000</v>
      </c>
      <c r="N1560" s="973" t="s">
        <v>2001</v>
      </c>
      <c r="O1560" s="973" t="s">
        <v>1971</v>
      </c>
      <c r="P1560" s="973" t="s">
        <v>999</v>
      </c>
      <c r="Q1560" s="973" t="s">
        <v>1000</v>
      </c>
      <c r="R1560" s="973" t="s">
        <v>1001</v>
      </c>
      <c r="S1560" s="973" t="s">
        <v>1002</v>
      </c>
      <c r="T1560" s="423">
        <v>300</v>
      </c>
      <c r="V1560" s="423">
        <v>0.4</v>
      </c>
      <c r="X1560" s="423">
        <v>10.5</v>
      </c>
      <c r="Z1560" s="423" t="s">
        <v>1058</v>
      </c>
      <c r="AD1560" s="423">
        <f>IF(ISNUMBER(MATCH(B1560,'FICHA SOLIC'!$AB$26:$AB$376,0)),1,0)</f>
        <v>1</v>
      </c>
      <c r="AE1560" s="423" t="str">
        <f t="shared" si="24"/>
        <v>TemucoZHE3</v>
      </c>
    </row>
    <row r="1561" spans="1:31" x14ac:dyDescent="0.25">
      <c r="A1561" s="423">
        <v>1560</v>
      </c>
      <c r="B1561" s="423" t="s">
        <v>303</v>
      </c>
      <c r="C1561" s="423" t="s">
        <v>2538</v>
      </c>
      <c r="D1561" s="973" t="s">
        <v>990</v>
      </c>
      <c r="E1561" s="973" t="s">
        <v>991</v>
      </c>
      <c r="F1561" s="973" t="s">
        <v>992</v>
      </c>
      <c r="G1561" s="973" t="s">
        <v>1997</v>
      </c>
      <c r="H1561" s="973" t="s">
        <v>1998</v>
      </c>
      <c r="I1561" s="973" t="s">
        <v>1999</v>
      </c>
      <c r="J1561" s="973" t="s">
        <v>697</v>
      </c>
      <c r="K1561" s="973" t="s">
        <v>995</v>
      </c>
      <c r="L1561" s="973" t="s">
        <v>996</v>
      </c>
      <c r="M1561" s="973" t="s">
        <v>2000</v>
      </c>
      <c r="N1561" s="973" t="s">
        <v>2001</v>
      </c>
      <c r="O1561" s="973" t="s">
        <v>1971</v>
      </c>
      <c r="P1561" s="973" t="s">
        <v>999</v>
      </c>
      <c r="Q1561" s="973" t="s">
        <v>1000</v>
      </c>
      <c r="R1561" s="973" t="s">
        <v>1001</v>
      </c>
      <c r="S1561" s="973" t="s">
        <v>1002</v>
      </c>
      <c r="T1561" s="423">
        <v>1000</v>
      </c>
      <c r="V1561" s="423">
        <v>0.4</v>
      </c>
      <c r="X1561" s="423">
        <v>10.5</v>
      </c>
      <c r="Z1561" s="423" t="s">
        <v>1058</v>
      </c>
      <c r="AD1561" s="423">
        <f>IF(ISNUMBER(MATCH(B1561,'FICHA SOLIC'!$AB$26:$AB$376,0)),1,0)</f>
        <v>1</v>
      </c>
      <c r="AE1561" s="423" t="str">
        <f t="shared" si="24"/>
        <v>TemucoZHE4</v>
      </c>
    </row>
    <row r="1562" spans="1:31" x14ac:dyDescent="0.25">
      <c r="A1562" s="423">
        <v>1561</v>
      </c>
      <c r="B1562" s="423" t="s">
        <v>303</v>
      </c>
      <c r="C1562" s="423" t="s">
        <v>2539</v>
      </c>
      <c r="D1562" s="973" t="s">
        <v>990</v>
      </c>
      <c r="E1562" s="973" t="s">
        <v>991</v>
      </c>
      <c r="F1562" s="973" t="s">
        <v>992</v>
      </c>
      <c r="G1562" s="973" t="s">
        <v>1997</v>
      </c>
      <c r="H1562" s="973" t="s">
        <v>1998</v>
      </c>
      <c r="I1562" s="973" t="s">
        <v>1999</v>
      </c>
      <c r="J1562" s="973" t="s">
        <v>697</v>
      </c>
      <c r="K1562" s="973" t="s">
        <v>995</v>
      </c>
      <c r="L1562" s="973" t="s">
        <v>996</v>
      </c>
      <c r="M1562" s="973" t="s">
        <v>2000</v>
      </c>
      <c r="N1562" s="973" t="s">
        <v>2001</v>
      </c>
      <c r="O1562" s="973" t="s">
        <v>1971</v>
      </c>
      <c r="P1562" s="973" t="s">
        <v>999</v>
      </c>
      <c r="Q1562" s="973" t="s">
        <v>1000</v>
      </c>
      <c r="R1562" s="973" t="s">
        <v>1001</v>
      </c>
      <c r="S1562" s="973" t="s">
        <v>1002</v>
      </c>
      <c r="T1562" s="423">
        <v>2000</v>
      </c>
      <c r="V1562" s="423">
        <v>0.4</v>
      </c>
      <c r="X1562" s="423">
        <v>10.5</v>
      </c>
      <c r="Z1562" s="423" t="s">
        <v>1058</v>
      </c>
      <c r="AD1562" s="423">
        <f>IF(ISNUMBER(MATCH(B1562,'FICHA SOLIC'!$AB$26:$AB$376,0)),1,0)</f>
        <v>1</v>
      </c>
      <c r="AE1562" s="423" t="str">
        <f t="shared" si="24"/>
        <v>TemucoZHE5</v>
      </c>
    </row>
    <row r="1563" spans="1:31" x14ac:dyDescent="0.25">
      <c r="A1563" s="423">
        <v>1562</v>
      </c>
      <c r="B1563" s="423" t="s">
        <v>303</v>
      </c>
      <c r="C1563" s="423" t="s">
        <v>2540</v>
      </c>
      <c r="D1563" s="973" t="s">
        <v>990</v>
      </c>
      <c r="E1563" s="973" t="s">
        <v>991</v>
      </c>
      <c r="F1563" s="973" t="s">
        <v>992</v>
      </c>
      <c r="G1563" s="973" t="s">
        <v>1997</v>
      </c>
      <c r="H1563" s="973" t="s">
        <v>1998</v>
      </c>
      <c r="I1563" s="973" t="s">
        <v>1999</v>
      </c>
      <c r="J1563" s="973" t="s">
        <v>697</v>
      </c>
      <c r="K1563" s="973" t="s">
        <v>995</v>
      </c>
      <c r="L1563" s="973" t="s">
        <v>996</v>
      </c>
      <c r="M1563" s="973" t="s">
        <v>2000</v>
      </c>
      <c r="N1563" s="973" t="s">
        <v>2001</v>
      </c>
      <c r="O1563" s="973" t="s">
        <v>1971</v>
      </c>
      <c r="P1563" s="973" t="s">
        <v>999</v>
      </c>
      <c r="Q1563" s="973" t="s">
        <v>1000</v>
      </c>
      <c r="R1563" s="973" t="s">
        <v>1001</v>
      </c>
      <c r="S1563" s="973" t="s">
        <v>1002</v>
      </c>
      <c r="T1563" s="423">
        <v>500</v>
      </c>
      <c r="V1563" s="423">
        <v>1</v>
      </c>
      <c r="W1563" s="423">
        <v>7</v>
      </c>
      <c r="X1563" s="423" t="s">
        <v>2541</v>
      </c>
      <c r="Z1563" s="423" t="s">
        <v>1096</v>
      </c>
      <c r="AD1563" s="423">
        <f>IF(ISNUMBER(MATCH(B1563,'FICHA SOLIC'!$AB$26:$AB$376,0)),1,0)</f>
        <v>1</v>
      </c>
      <c r="AE1563" s="423" t="str">
        <f t="shared" si="24"/>
        <v>TemucoZHR1</v>
      </c>
    </row>
    <row r="1564" spans="1:31" x14ac:dyDescent="0.25">
      <c r="A1564" s="423">
        <v>1563</v>
      </c>
      <c r="B1564" s="423" t="s">
        <v>303</v>
      </c>
      <c r="C1564" s="423" t="s">
        <v>2542</v>
      </c>
      <c r="D1564" s="973" t="s">
        <v>990</v>
      </c>
      <c r="E1564" s="973" t="s">
        <v>991</v>
      </c>
      <c r="F1564" s="973" t="s">
        <v>992</v>
      </c>
      <c r="G1564" s="973" t="s">
        <v>1997</v>
      </c>
      <c r="H1564" s="973" t="s">
        <v>1998</v>
      </c>
      <c r="I1564" s="973" t="s">
        <v>1999</v>
      </c>
      <c r="J1564" s="973" t="s">
        <v>697</v>
      </c>
      <c r="K1564" s="973" t="s">
        <v>995</v>
      </c>
      <c r="L1564" s="973" t="s">
        <v>996</v>
      </c>
      <c r="M1564" s="973" t="s">
        <v>2000</v>
      </c>
      <c r="N1564" s="973" t="s">
        <v>2001</v>
      </c>
      <c r="O1564" s="973" t="s">
        <v>1971</v>
      </c>
      <c r="P1564" s="973" t="s">
        <v>999</v>
      </c>
      <c r="Q1564" s="973" t="s">
        <v>1000</v>
      </c>
      <c r="R1564" s="973" t="s">
        <v>1001</v>
      </c>
      <c r="S1564" s="973" t="s">
        <v>1002</v>
      </c>
      <c r="T1564" s="423">
        <v>300</v>
      </c>
      <c r="V1564" s="423">
        <v>0.91</v>
      </c>
      <c r="W1564" s="423">
        <v>6</v>
      </c>
      <c r="X1564" s="423">
        <v>31.5</v>
      </c>
      <c r="Z1564" s="423" t="s">
        <v>1096</v>
      </c>
      <c r="AD1564" s="423">
        <f>IF(ISNUMBER(MATCH(B1564,'FICHA SOLIC'!$AB$26:$AB$376,0)),1,0)</f>
        <v>1</v>
      </c>
      <c r="AE1564" s="423" t="str">
        <f t="shared" si="24"/>
        <v>TemucoZHR2</v>
      </c>
    </row>
    <row r="1565" spans="1:31" x14ac:dyDescent="0.25">
      <c r="A1565" s="423">
        <v>1564</v>
      </c>
      <c r="B1565" s="423" t="s">
        <v>303</v>
      </c>
      <c r="C1565" s="423" t="s">
        <v>2543</v>
      </c>
      <c r="D1565" s="973" t="s">
        <v>990</v>
      </c>
      <c r="E1565" s="973" t="s">
        <v>991</v>
      </c>
      <c r="F1565" s="973" t="s">
        <v>992</v>
      </c>
      <c r="G1565" s="973" t="s">
        <v>1997</v>
      </c>
      <c r="H1565" s="973" t="s">
        <v>1998</v>
      </c>
      <c r="I1565" s="973" t="s">
        <v>1999</v>
      </c>
      <c r="J1565" s="973" t="s">
        <v>697</v>
      </c>
      <c r="K1565" s="973" t="s">
        <v>995</v>
      </c>
      <c r="L1565" s="973" t="s">
        <v>996</v>
      </c>
      <c r="M1565" s="973" t="s">
        <v>2000</v>
      </c>
      <c r="N1565" s="973" t="s">
        <v>2001</v>
      </c>
      <c r="O1565" s="973" t="s">
        <v>1971</v>
      </c>
      <c r="P1565" s="973" t="s">
        <v>999</v>
      </c>
      <c r="Q1565" s="973" t="s">
        <v>1000</v>
      </c>
      <c r="R1565" s="973" t="s">
        <v>1001</v>
      </c>
      <c r="S1565" s="973" t="s">
        <v>1002</v>
      </c>
      <c r="T1565" s="423">
        <v>500</v>
      </c>
      <c r="V1565" s="423">
        <v>0.5</v>
      </c>
      <c r="W1565" s="423">
        <v>2.6</v>
      </c>
      <c r="X1565" s="423">
        <v>16.8</v>
      </c>
      <c r="Z1565" s="423" t="s">
        <v>1058</v>
      </c>
      <c r="AD1565" s="423">
        <f>IF(ISNUMBER(MATCH(B1565,'FICHA SOLIC'!$AB$26:$AB$376,0)),1,0)</f>
        <v>1</v>
      </c>
      <c r="AE1565" s="423" t="str">
        <f t="shared" si="24"/>
        <v>TemucoZHR3</v>
      </c>
    </row>
    <row r="1566" spans="1:31" x14ac:dyDescent="0.25">
      <c r="A1566" s="423">
        <v>1565</v>
      </c>
      <c r="B1566" s="423" t="s">
        <v>303</v>
      </c>
      <c r="C1566" s="423" t="s">
        <v>2544</v>
      </c>
      <c r="D1566" s="973" t="s">
        <v>990</v>
      </c>
      <c r="E1566" s="973" t="s">
        <v>991</v>
      </c>
      <c r="F1566" s="973" t="s">
        <v>992</v>
      </c>
      <c r="G1566" s="973" t="s">
        <v>1997</v>
      </c>
      <c r="H1566" s="973" t="s">
        <v>1998</v>
      </c>
      <c r="I1566" s="973" t="s">
        <v>1999</v>
      </c>
      <c r="J1566" s="973" t="s">
        <v>697</v>
      </c>
      <c r="K1566" s="973" t="s">
        <v>995</v>
      </c>
      <c r="L1566" s="973" t="s">
        <v>996</v>
      </c>
      <c r="M1566" s="973" t="s">
        <v>2000</v>
      </c>
      <c r="N1566" s="973" t="s">
        <v>2001</v>
      </c>
      <c r="O1566" s="973" t="s">
        <v>1971</v>
      </c>
      <c r="P1566" s="973" t="s">
        <v>999</v>
      </c>
      <c r="Q1566" s="973" t="s">
        <v>1000</v>
      </c>
      <c r="R1566" s="973" t="s">
        <v>1001</v>
      </c>
      <c r="S1566" s="973" t="s">
        <v>1002</v>
      </c>
      <c r="T1566" s="423">
        <v>500</v>
      </c>
      <c r="V1566" s="423">
        <v>0.75</v>
      </c>
      <c r="W1566" s="423">
        <v>3</v>
      </c>
      <c r="X1566" s="423">
        <v>28</v>
      </c>
      <c r="Z1566" s="423" t="s">
        <v>1057</v>
      </c>
      <c r="AD1566" s="423">
        <f>IF(ISNUMBER(MATCH(B1566,'FICHA SOLIC'!$AB$26:$AB$376,0)),1,0)</f>
        <v>1</v>
      </c>
      <c r="AE1566" s="423" t="str">
        <f t="shared" si="24"/>
        <v>TemucoZHR4</v>
      </c>
    </row>
    <row r="1567" spans="1:31" x14ac:dyDescent="0.25">
      <c r="A1567" s="423">
        <v>1566</v>
      </c>
      <c r="B1567" s="423" t="s">
        <v>303</v>
      </c>
      <c r="C1567" s="423" t="s">
        <v>2545</v>
      </c>
      <c r="D1567" s="973" t="s">
        <v>990</v>
      </c>
      <c r="E1567" s="973" t="s">
        <v>991</v>
      </c>
      <c r="F1567" s="973" t="s">
        <v>992</v>
      </c>
      <c r="G1567" s="973" t="s">
        <v>1997</v>
      </c>
      <c r="H1567" s="973" t="s">
        <v>1998</v>
      </c>
      <c r="I1567" s="973" t="s">
        <v>1999</v>
      </c>
      <c r="J1567" s="973" t="s">
        <v>697</v>
      </c>
      <c r="K1567" s="973" t="s">
        <v>995</v>
      </c>
      <c r="L1567" s="973" t="s">
        <v>996</v>
      </c>
      <c r="M1567" s="973" t="s">
        <v>2000</v>
      </c>
      <c r="N1567" s="973" t="s">
        <v>2001</v>
      </c>
      <c r="O1567" s="973" t="s">
        <v>1971</v>
      </c>
      <c r="P1567" s="973" t="s">
        <v>999</v>
      </c>
      <c r="Q1567" s="973" t="s">
        <v>1000</v>
      </c>
      <c r="R1567" s="973" t="s">
        <v>1001</v>
      </c>
      <c r="S1567" s="973" t="s">
        <v>1002</v>
      </c>
      <c r="T1567" s="423">
        <v>200</v>
      </c>
      <c r="V1567" s="423">
        <v>0.7</v>
      </c>
      <c r="W1567" s="423">
        <v>2.5</v>
      </c>
      <c r="X1567" s="423">
        <v>21</v>
      </c>
      <c r="Z1567" s="423" t="s">
        <v>1096</v>
      </c>
      <c r="AD1567" s="423">
        <f>IF(ISNUMBER(MATCH(B1567,'FICHA SOLIC'!$AB$26:$AB$376,0)),1,0)</f>
        <v>1</v>
      </c>
      <c r="AE1567" s="423" t="str">
        <f t="shared" si="24"/>
        <v>TemucoZHR5</v>
      </c>
    </row>
    <row r="1568" spans="1:31" x14ac:dyDescent="0.25">
      <c r="A1568" s="423">
        <v>1567</v>
      </c>
      <c r="B1568" s="423" t="s">
        <v>303</v>
      </c>
      <c r="C1568" s="423" t="s">
        <v>2546</v>
      </c>
      <c r="D1568" s="973" t="s">
        <v>990</v>
      </c>
      <c r="E1568" s="973" t="s">
        <v>991</v>
      </c>
      <c r="F1568" s="973" t="s">
        <v>992</v>
      </c>
      <c r="G1568" s="973" t="s">
        <v>1997</v>
      </c>
      <c r="H1568" s="973" t="s">
        <v>1998</v>
      </c>
      <c r="I1568" s="973" t="s">
        <v>1999</v>
      </c>
      <c r="J1568" s="973" t="s">
        <v>697</v>
      </c>
      <c r="K1568" s="973" t="s">
        <v>995</v>
      </c>
      <c r="L1568" s="973" t="s">
        <v>996</v>
      </c>
      <c r="M1568" s="973" t="s">
        <v>2000</v>
      </c>
      <c r="N1568" s="973" t="s">
        <v>2001</v>
      </c>
      <c r="O1568" s="973" t="s">
        <v>1971</v>
      </c>
      <c r="P1568" s="973" t="s">
        <v>999</v>
      </c>
      <c r="Q1568" s="973" t="s">
        <v>1000</v>
      </c>
      <c r="R1568" s="973" t="s">
        <v>1001</v>
      </c>
      <c r="S1568" s="973" t="s">
        <v>1002</v>
      </c>
      <c r="T1568" s="423">
        <v>800</v>
      </c>
      <c r="V1568" s="423">
        <v>0.7</v>
      </c>
      <c r="W1568" s="423">
        <v>3</v>
      </c>
      <c r="X1568" s="423">
        <v>21</v>
      </c>
      <c r="Z1568" s="423" t="s">
        <v>1058</v>
      </c>
      <c r="AD1568" s="423">
        <f>IF(ISNUMBER(MATCH(B1568,'FICHA SOLIC'!$AB$26:$AB$376,0)),1,0)</f>
        <v>1</v>
      </c>
      <c r="AE1568" s="423" t="str">
        <f t="shared" si="24"/>
        <v>TemucoZHR6</v>
      </c>
    </row>
    <row r="1569" spans="1:31" x14ac:dyDescent="0.25">
      <c r="A1569" s="423">
        <v>1568</v>
      </c>
      <c r="B1569" s="423" t="s">
        <v>144</v>
      </c>
      <c r="C1569" s="423" t="s">
        <v>1674</v>
      </c>
      <c r="D1569" s="973" t="s">
        <v>990</v>
      </c>
      <c r="E1569" s="973" t="s">
        <v>991</v>
      </c>
      <c r="F1569" s="973" t="s">
        <v>992</v>
      </c>
      <c r="G1569" s="973" t="s">
        <v>1997</v>
      </c>
      <c r="H1569" s="973" t="s">
        <v>1998</v>
      </c>
      <c r="I1569" s="973" t="s">
        <v>1999</v>
      </c>
      <c r="J1569" s="973" t="s">
        <v>697</v>
      </c>
      <c r="K1569" s="973" t="s">
        <v>995</v>
      </c>
      <c r="L1569" s="973" t="s">
        <v>996</v>
      </c>
      <c r="M1569" s="973" t="s">
        <v>2000</v>
      </c>
      <c r="N1569" s="973" t="s">
        <v>2001</v>
      </c>
      <c r="O1569" s="973" t="s">
        <v>1971</v>
      </c>
      <c r="P1569" s="973" t="s">
        <v>999</v>
      </c>
      <c r="Q1569" s="973" t="s">
        <v>1000</v>
      </c>
      <c r="R1569" s="973" t="s">
        <v>1001</v>
      </c>
      <c r="S1569" s="973" t="s">
        <v>1002</v>
      </c>
      <c r="T1569" s="423">
        <v>480</v>
      </c>
      <c r="U1569" s="423">
        <v>15</v>
      </c>
      <c r="V1569" s="423">
        <v>100</v>
      </c>
      <c r="W1569" s="423" t="s">
        <v>1041</v>
      </c>
      <c r="X1569" s="423" t="s">
        <v>1041</v>
      </c>
      <c r="Y1569" s="423" t="s">
        <v>1041</v>
      </c>
      <c r="Z1569" s="423" t="s">
        <v>1096</v>
      </c>
      <c r="AD1569" s="423">
        <f>IF(ISNUMBER(MATCH(B1569,'FICHA SOLIC'!$AB$26:$AB$376,0)),1,0)</f>
        <v>1</v>
      </c>
      <c r="AE1569" s="423" t="str">
        <f t="shared" si="24"/>
        <v>ValparaísoB1</v>
      </c>
    </row>
    <row r="1570" spans="1:31" x14ac:dyDescent="0.25">
      <c r="A1570" s="423">
        <v>1569</v>
      </c>
      <c r="B1570" s="423" t="s">
        <v>144</v>
      </c>
      <c r="C1570" s="423" t="s">
        <v>1188</v>
      </c>
      <c r="D1570" s="973" t="s">
        <v>990</v>
      </c>
      <c r="E1570" s="973" t="s">
        <v>991</v>
      </c>
      <c r="F1570" s="973" t="s">
        <v>992</v>
      </c>
      <c r="G1570" s="973" t="s">
        <v>1997</v>
      </c>
      <c r="H1570" s="973" t="s">
        <v>1998</v>
      </c>
      <c r="I1570" s="973" t="s">
        <v>1999</v>
      </c>
      <c r="J1570" s="973" t="s">
        <v>697</v>
      </c>
      <c r="K1570" s="973" t="s">
        <v>995</v>
      </c>
      <c r="L1570" s="973" t="s">
        <v>996</v>
      </c>
      <c r="M1570" s="973" t="s">
        <v>2000</v>
      </c>
      <c r="N1570" s="973" t="s">
        <v>2001</v>
      </c>
      <c r="O1570" s="973" t="s">
        <v>1971</v>
      </c>
      <c r="P1570" s="973" t="s">
        <v>999</v>
      </c>
      <c r="Q1570" s="973" t="s">
        <v>1000</v>
      </c>
      <c r="R1570" s="973" t="s">
        <v>1001</v>
      </c>
      <c r="S1570" s="973" t="s">
        <v>1002</v>
      </c>
      <c r="T1570" s="423">
        <v>300</v>
      </c>
      <c r="U1570" s="423">
        <v>12</v>
      </c>
      <c r="V1570" s="423">
        <v>75</v>
      </c>
      <c r="W1570" s="423" t="s">
        <v>1041</v>
      </c>
      <c r="X1570" s="423">
        <v>9</v>
      </c>
      <c r="Y1570" s="423" t="s">
        <v>1041</v>
      </c>
      <c r="Z1570" s="423" t="s">
        <v>2387</v>
      </c>
      <c r="AD1570" s="423">
        <f>IF(ISNUMBER(MATCH(B1570,'FICHA SOLIC'!$AB$26:$AB$376,0)),1,0)</f>
        <v>1</v>
      </c>
      <c r="AE1570" s="423" t="str">
        <f t="shared" si="24"/>
        <v>ValparaísoC1</v>
      </c>
    </row>
    <row r="1571" spans="1:31" x14ac:dyDescent="0.25">
      <c r="A1571" s="423">
        <v>1570</v>
      </c>
      <c r="B1571" s="423" t="s">
        <v>144</v>
      </c>
      <c r="C1571" s="423" t="s">
        <v>1553</v>
      </c>
      <c r="D1571" s="973" t="s">
        <v>990</v>
      </c>
      <c r="E1571" s="973" t="s">
        <v>991</v>
      </c>
      <c r="F1571" s="973" t="s">
        <v>992</v>
      </c>
      <c r="G1571" s="973" t="s">
        <v>1997</v>
      </c>
      <c r="H1571" s="973" t="s">
        <v>1998</v>
      </c>
      <c r="I1571" s="973" t="s">
        <v>1999</v>
      </c>
      <c r="J1571" s="973" t="s">
        <v>697</v>
      </c>
      <c r="K1571" s="973" t="s">
        <v>995</v>
      </c>
      <c r="L1571" s="973" t="s">
        <v>996</v>
      </c>
      <c r="M1571" s="973" t="s">
        <v>2000</v>
      </c>
      <c r="N1571" s="973" t="s">
        <v>2001</v>
      </c>
      <c r="O1571" s="973" t="s">
        <v>1971</v>
      </c>
      <c r="P1571" s="973" t="s">
        <v>999</v>
      </c>
      <c r="Q1571" s="973" t="s">
        <v>1000</v>
      </c>
      <c r="R1571" s="973" t="s">
        <v>1001</v>
      </c>
      <c r="S1571" s="973" t="s">
        <v>1002</v>
      </c>
      <c r="T1571" s="423">
        <v>2000</v>
      </c>
      <c r="U1571" s="423">
        <v>40</v>
      </c>
      <c r="V1571" s="423">
        <v>100</v>
      </c>
      <c r="W1571" s="423" t="s">
        <v>1041</v>
      </c>
      <c r="X1571" s="423" t="s">
        <v>1041</v>
      </c>
      <c r="Y1571" s="423" t="s">
        <v>1041</v>
      </c>
      <c r="Z1571" s="423" t="s">
        <v>2387</v>
      </c>
      <c r="AD1571" s="423">
        <f>IF(ISNUMBER(MATCH(B1571,'FICHA SOLIC'!$AB$26:$AB$376,0)),1,0)</f>
        <v>1</v>
      </c>
      <c r="AE1571" s="423" t="str">
        <f t="shared" si="24"/>
        <v>ValparaísoC3</v>
      </c>
    </row>
    <row r="1572" spans="1:31" x14ac:dyDescent="0.25">
      <c r="A1572" s="423">
        <v>1571</v>
      </c>
      <c r="B1572" s="423" t="s">
        <v>144</v>
      </c>
      <c r="C1572" s="423" t="s">
        <v>2547</v>
      </c>
      <c r="D1572" s="973" t="s">
        <v>990</v>
      </c>
      <c r="E1572" s="973" t="s">
        <v>991</v>
      </c>
      <c r="F1572" s="973" t="s">
        <v>992</v>
      </c>
      <c r="G1572" s="973" t="s">
        <v>1997</v>
      </c>
      <c r="H1572" s="973" t="s">
        <v>1998</v>
      </c>
      <c r="I1572" s="973" t="s">
        <v>1999</v>
      </c>
      <c r="J1572" s="973" t="s">
        <v>697</v>
      </c>
      <c r="K1572" s="973" t="s">
        <v>995</v>
      </c>
      <c r="L1572" s="973" t="s">
        <v>996</v>
      </c>
      <c r="M1572" s="973" t="s">
        <v>2000</v>
      </c>
      <c r="N1572" s="973" t="s">
        <v>2001</v>
      </c>
      <c r="O1572" s="973" t="s">
        <v>1971</v>
      </c>
      <c r="P1572" s="973" t="s">
        <v>999</v>
      </c>
      <c r="Q1572" s="973" t="s">
        <v>1000</v>
      </c>
      <c r="R1572" s="973" t="s">
        <v>1001</v>
      </c>
      <c r="S1572" s="973" t="s">
        <v>1002</v>
      </c>
      <c r="T1572" s="423">
        <v>250</v>
      </c>
      <c r="U1572" s="423">
        <v>10</v>
      </c>
      <c r="V1572" s="423">
        <v>60</v>
      </c>
      <c r="W1572" s="423" t="s">
        <v>1041</v>
      </c>
      <c r="X1572" s="423">
        <v>7</v>
      </c>
      <c r="Y1572" s="423" t="s">
        <v>1041</v>
      </c>
      <c r="Z1572" s="423" t="s">
        <v>2387</v>
      </c>
      <c r="AD1572" s="423">
        <f>IF(ISNUMBER(MATCH(B1572,'FICHA SOLIC'!$AB$26:$AB$376,0)),1,0)</f>
        <v>1</v>
      </c>
      <c r="AE1572" s="423" t="str">
        <f t="shared" si="24"/>
        <v>ValparaísoD1</v>
      </c>
    </row>
    <row r="1573" spans="1:31" x14ac:dyDescent="0.25">
      <c r="A1573" s="423">
        <v>1572</v>
      </c>
      <c r="B1573" s="423" t="s">
        <v>144</v>
      </c>
      <c r="C1573" s="423" t="s">
        <v>2548</v>
      </c>
      <c r="D1573" s="973" t="s">
        <v>990</v>
      </c>
      <c r="E1573" s="973" t="s">
        <v>991</v>
      </c>
      <c r="F1573" s="973" t="s">
        <v>992</v>
      </c>
      <c r="G1573" s="973" t="s">
        <v>1997</v>
      </c>
      <c r="H1573" s="973" t="s">
        <v>1998</v>
      </c>
      <c r="I1573" s="973" t="s">
        <v>1999</v>
      </c>
      <c r="J1573" s="973" t="s">
        <v>697</v>
      </c>
      <c r="K1573" s="973" t="s">
        <v>995</v>
      </c>
      <c r="L1573" s="973" t="s">
        <v>996</v>
      </c>
      <c r="M1573" s="973" t="s">
        <v>2000</v>
      </c>
      <c r="N1573" s="973" t="s">
        <v>2001</v>
      </c>
      <c r="O1573" s="973" t="s">
        <v>1971</v>
      </c>
      <c r="P1573" s="973" t="s">
        <v>999</v>
      </c>
      <c r="Q1573" s="973" t="s">
        <v>1000</v>
      </c>
      <c r="R1573" s="973" t="s">
        <v>1001</v>
      </c>
      <c r="S1573" s="973" t="s">
        <v>1002</v>
      </c>
      <c r="T1573" s="423">
        <v>200</v>
      </c>
      <c r="U1573" s="423">
        <v>10</v>
      </c>
      <c r="V1573" s="423">
        <v>60</v>
      </c>
      <c r="W1573" s="423" t="s">
        <v>1041</v>
      </c>
      <c r="X1573" s="423">
        <v>7</v>
      </c>
      <c r="Y1573" s="423" t="s">
        <v>1041</v>
      </c>
      <c r="Z1573" s="423" t="s">
        <v>2387</v>
      </c>
      <c r="AD1573" s="423">
        <f>IF(ISNUMBER(MATCH(B1573,'FICHA SOLIC'!$AB$26:$AB$376,0)),1,0)</f>
        <v>1</v>
      </c>
      <c r="AE1573" s="423" t="str">
        <f t="shared" si="24"/>
        <v>ValparaísoD2</v>
      </c>
    </row>
    <row r="1574" spans="1:31" x14ac:dyDescent="0.25">
      <c r="A1574" s="423">
        <v>1573</v>
      </c>
      <c r="B1574" s="423" t="s">
        <v>144</v>
      </c>
      <c r="C1574" s="423" t="s">
        <v>1426</v>
      </c>
      <c r="D1574" s="973" t="s">
        <v>990</v>
      </c>
      <c r="E1574" s="973" t="s">
        <v>991</v>
      </c>
      <c r="F1574" s="973" t="s">
        <v>992</v>
      </c>
      <c r="G1574" s="973" t="s">
        <v>1997</v>
      </c>
      <c r="H1574" s="973" t="s">
        <v>1998</v>
      </c>
      <c r="I1574" s="973" t="s">
        <v>1999</v>
      </c>
      <c r="J1574" s="973" t="s">
        <v>697</v>
      </c>
      <c r="K1574" s="973" t="s">
        <v>995</v>
      </c>
      <c r="L1574" s="973" t="s">
        <v>996</v>
      </c>
      <c r="M1574" s="973" t="s">
        <v>2000</v>
      </c>
      <c r="N1574" s="973" t="s">
        <v>2001</v>
      </c>
      <c r="O1574" s="973" t="s">
        <v>1971</v>
      </c>
      <c r="P1574" s="973" t="s">
        <v>999</v>
      </c>
      <c r="Q1574" s="973" t="s">
        <v>1000</v>
      </c>
      <c r="R1574" s="973" t="s">
        <v>1001</v>
      </c>
      <c r="S1574" s="973" t="s">
        <v>1002</v>
      </c>
      <c r="T1574" s="423">
        <v>160</v>
      </c>
      <c r="U1574" s="423">
        <v>8</v>
      </c>
      <c r="V1574" s="423">
        <v>60</v>
      </c>
      <c r="W1574" s="423" t="s">
        <v>1041</v>
      </c>
      <c r="X1574" s="423">
        <v>7</v>
      </c>
      <c r="Y1574" s="423" t="s">
        <v>1041</v>
      </c>
      <c r="Z1574" s="423" t="s">
        <v>2387</v>
      </c>
      <c r="AD1574" s="423">
        <f>IF(ISNUMBER(MATCH(B1574,'FICHA SOLIC'!$AB$26:$AB$376,0)),1,0)</f>
        <v>1</v>
      </c>
      <c r="AE1574" s="423" t="str">
        <f t="shared" si="24"/>
        <v>ValparaísoE1</v>
      </c>
    </row>
    <row r="1575" spans="1:31" x14ac:dyDescent="0.25">
      <c r="A1575" s="423">
        <v>1574</v>
      </c>
      <c r="B1575" s="423" t="s">
        <v>144</v>
      </c>
      <c r="C1575" s="423" t="s">
        <v>1565</v>
      </c>
      <c r="D1575" s="973" t="s">
        <v>990</v>
      </c>
      <c r="E1575" s="973" t="s">
        <v>991</v>
      </c>
      <c r="F1575" s="973" t="s">
        <v>992</v>
      </c>
      <c r="G1575" s="973" t="s">
        <v>1997</v>
      </c>
      <c r="H1575" s="973" t="s">
        <v>1998</v>
      </c>
      <c r="I1575" s="973" t="s">
        <v>1999</v>
      </c>
      <c r="J1575" s="973" t="s">
        <v>697</v>
      </c>
      <c r="K1575" s="973" t="s">
        <v>995</v>
      </c>
      <c r="L1575" s="973" t="s">
        <v>996</v>
      </c>
      <c r="M1575" s="973" t="s">
        <v>2000</v>
      </c>
      <c r="N1575" s="973" t="s">
        <v>2001</v>
      </c>
      <c r="O1575" s="973" t="s">
        <v>1971</v>
      </c>
      <c r="P1575" s="973" t="s">
        <v>999</v>
      </c>
      <c r="Q1575" s="973" t="s">
        <v>1000</v>
      </c>
      <c r="R1575" s="973" t="s">
        <v>1001</v>
      </c>
      <c r="S1575" s="973" t="s">
        <v>1002</v>
      </c>
      <c r="T1575" s="423">
        <v>250</v>
      </c>
      <c r="U1575" s="423">
        <v>12</v>
      </c>
      <c r="V1575" s="423">
        <v>60</v>
      </c>
      <c r="W1575" s="423" t="s">
        <v>1041</v>
      </c>
      <c r="X1575" s="423">
        <v>7</v>
      </c>
      <c r="Y1575" s="423" t="s">
        <v>1041</v>
      </c>
      <c r="Z1575" s="423" t="s">
        <v>2387</v>
      </c>
      <c r="AD1575" s="423">
        <f>IF(ISNUMBER(MATCH(B1575,'FICHA SOLIC'!$AB$26:$AB$376,0)),1,0)</f>
        <v>1</v>
      </c>
      <c r="AE1575" s="423" t="str">
        <f t="shared" si="24"/>
        <v>ValparaísoE2</v>
      </c>
    </row>
    <row r="1576" spans="1:31" x14ac:dyDescent="0.25">
      <c r="A1576" s="423">
        <v>1575</v>
      </c>
      <c r="B1576" s="423" t="s">
        <v>144</v>
      </c>
      <c r="C1576" s="423" t="s">
        <v>1183</v>
      </c>
      <c r="D1576" s="973" t="s">
        <v>990</v>
      </c>
      <c r="E1576" s="973" t="s">
        <v>991</v>
      </c>
      <c r="F1576" s="973" t="s">
        <v>992</v>
      </c>
      <c r="G1576" s="973" t="s">
        <v>1997</v>
      </c>
      <c r="H1576" s="973" t="s">
        <v>1998</v>
      </c>
      <c r="I1576" s="973" t="s">
        <v>1999</v>
      </c>
      <c r="J1576" s="973" t="s">
        <v>697</v>
      </c>
      <c r="K1576" s="973" t="s">
        <v>995</v>
      </c>
      <c r="L1576" s="973" t="s">
        <v>996</v>
      </c>
      <c r="M1576" s="973" t="s">
        <v>2000</v>
      </c>
      <c r="N1576" s="973" t="s">
        <v>2001</v>
      </c>
      <c r="O1576" s="973" t="s">
        <v>1971</v>
      </c>
      <c r="P1576" s="973" t="s">
        <v>999</v>
      </c>
      <c r="Q1576" s="973" t="s">
        <v>1000</v>
      </c>
      <c r="R1576" s="973" t="s">
        <v>1001</v>
      </c>
      <c r="S1576" s="973" t="s">
        <v>1002</v>
      </c>
      <c r="T1576" s="423">
        <v>480</v>
      </c>
      <c r="U1576" s="423">
        <v>15</v>
      </c>
      <c r="V1576" s="423">
        <v>100</v>
      </c>
      <c r="W1576" s="423" t="s">
        <v>1041</v>
      </c>
      <c r="X1576" s="423" t="s">
        <v>1041</v>
      </c>
      <c r="Y1576" s="423" t="s">
        <v>1041</v>
      </c>
      <c r="Z1576" s="423" t="s">
        <v>2549</v>
      </c>
      <c r="AD1576" s="423">
        <f>IF(ISNUMBER(MATCH(B1576,'FICHA SOLIC'!$AB$26:$AB$376,0)),1,0)</f>
        <v>1</v>
      </c>
      <c r="AE1576" s="423" t="str">
        <f t="shared" si="24"/>
        <v>ValparaísoI</v>
      </c>
    </row>
    <row r="1577" spans="1:31" x14ac:dyDescent="0.25">
      <c r="A1577" s="423">
        <v>1576</v>
      </c>
      <c r="B1577" s="423" t="s">
        <v>144</v>
      </c>
      <c r="C1577" s="423" t="s">
        <v>2550</v>
      </c>
      <c r="D1577" s="973" t="s">
        <v>990</v>
      </c>
      <c r="E1577" s="973" t="s">
        <v>991</v>
      </c>
      <c r="F1577" s="973" t="s">
        <v>992</v>
      </c>
      <c r="G1577" s="973" t="s">
        <v>1997</v>
      </c>
      <c r="H1577" s="973" t="s">
        <v>1998</v>
      </c>
      <c r="I1577" s="973" t="s">
        <v>1999</v>
      </c>
      <c r="J1577" s="973" t="s">
        <v>697</v>
      </c>
      <c r="K1577" s="973" t="s">
        <v>995</v>
      </c>
      <c r="L1577" s="973" t="s">
        <v>996</v>
      </c>
      <c r="M1577" s="973" t="s">
        <v>2000</v>
      </c>
      <c r="N1577" s="973" t="s">
        <v>2001</v>
      </c>
      <c r="O1577" s="973" t="s">
        <v>1971</v>
      </c>
      <c r="P1577" s="973" t="s">
        <v>999</v>
      </c>
      <c r="Q1577" s="973" t="s">
        <v>1000</v>
      </c>
      <c r="R1577" s="973" t="s">
        <v>1001</v>
      </c>
      <c r="S1577" s="973" t="s">
        <v>1002</v>
      </c>
      <c r="T1577" s="423">
        <v>480</v>
      </c>
      <c r="U1577" s="423">
        <v>15</v>
      </c>
      <c r="V1577" s="423">
        <v>100</v>
      </c>
      <c r="W1577" s="423" t="s">
        <v>1041</v>
      </c>
      <c r="X1577" s="423" t="s">
        <v>1041</v>
      </c>
      <c r="Y1577" s="423" t="s">
        <v>1041</v>
      </c>
      <c r="Z1577" s="423" t="s">
        <v>1096</v>
      </c>
      <c r="AD1577" s="423">
        <f>IF(ISNUMBER(MATCH(B1577,'FICHA SOLIC'!$AB$26:$AB$376,0)),1,0)</f>
        <v>1</v>
      </c>
      <c r="AE1577" s="423" t="str">
        <f t="shared" si="24"/>
        <v>ValparaísoZCHAL-B</v>
      </c>
    </row>
    <row r="1578" spans="1:31" x14ac:dyDescent="0.25">
      <c r="A1578" s="423">
        <v>1577</v>
      </c>
      <c r="B1578" s="423" t="s">
        <v>144</v>
      </c>
      <c r="C1578" s="423" t="s">
        <v>2551</v>
      </c>
      <c r="D1578" s="973" t="s">
        <v>990</v>
      </c>
      <c r="E1578" s="973" t="s">
        <v>991</v>
      </c>
      <c r="F1578" s="973" t="s">
        <v>992</v>
      </c>
      <c r="G1578" s="973" t="s">
        <v>1997</v>
      </c>
      <c r="H1578" s="973" t="s">
        <v>1998</v>
      </c>
      <c r="I1578" s="973" t="s">
        <v>1999</v>
      </c>
      <c r="J1578" s="973" t="s">
        <v>697</v>
      </c>
      <c r="K1578" s="973" t="s">
        <v>995</v>
      </c>
      <c r="L1578" s="973" t="s">
        <v>996</v>
      </c>
      <c r="M1578" s="973" t="s">
        <v>2000</v>
      </c>
      <c r="N1578" s="973" t="s">
        <v>2001</v>
      </c>
      <c r="O1578" s="973" t="s">
        <v>1971</v>
      </c>
      <c r="P1578" s="973" t="s">
        <v>999</v>
      </c>
      <c r="Q1578" s="973" t="s">
        <v>1000</v>
      </c>
      <c r="R1578" s="973" t="s">
        <v>1001</v>
      </c>
      <c r="S1578" s="973" t="s">
        <v>1002</v>
      </c>
      <c r="T1578" s="423">
        <v>350</v>
      </c>
      <c r="U1578" s="423">
        <v>12</v>
      </c>
      <c r="V1578" s="423">
        <v>100</v>
      </c>
      <c r="W1578" s="423" t="s">
        <v>1041</v>
      </c>
      <c r="X1578" s="423" t="s">
        <v>1041</v>
      </c>
      <c r="Y1578" s="423" t="s">
        <v>1041</v>
      </c>
      <c r="Z1578" s="423" t="s">
        <v>1096</v>
      </c>
      <c r="AD1578" s="423">
        <f>IF(ISNUMBER(MATCH(B1578,'FICHA SOLIC'!$AB$26:$AB$376,0)),1,0)</f>
        <v>1</v>
      </c>
      <c r="AE1578" s="423" t="str">
        <f t="shared" si="24"/>
        <v>ValparaísoZCHAL-V</v>
      </c>
    </row>
    <row r="1579" spans="1:31" x14ac:dyDescent="0.25">
      <c r="A1579" s="423">
        <v>1578</v>
      </c>
      <c r="B1579" s="423" t="s">
        <v>144</v>
      </c>
      <c r="C1579" s="423" t="s">
        <v>2552</v>
      </c>
      <c r="D1579" s="973" t="s">
        <v>990</v>
      </c>
      <c r="E1579" s="973" t="s">
        <v>991</v>
      </c>
      <c r="F1579" s="973" t="s">
        <v>992</v>
      </c>
      <c r="G1579" s="973" t="s">
        <v>1997</v>
      </c>
      <c r="H1579" s="973" t="s">
        <v>1998</v>
      </c>
      <c r="I1579" s="973" t="s">
        <v>1999</v>
      </c>
      <c r="J1579" s="973" t="s">
        <v>697</v>
      </c>
      <c r="K1579" s="973" t="s">
        <v>995</v>
      </c>
      <c r="L1579" s="973" t="s">
        <v>996</v>
      </c>
      <c r="M1579" s="973" t="s">
        <v>2000</v>
      </c>
      <c r="N1579" s="973" t="s">
        <v>2001</v>
      </c>
      <c r="O1579" s="973" t="s">
        <v>1971</v>
      </c>
      <c r="P1579" s="973" t="s">
        <v>999</v>
      </c>
      <c r="Q1579" s="973" t="s">
        <v>1000</v>
      </c>
      <c r="R1579" s="973" t="s">
        <v>1001</v>
      </c>
      <c r="S1579" s="973" t="s">
        <v>1002</v>
      </c>
      <c r="T1579" s="423">
        <v>500</v>
      </c>
      <c r="U1579" s="423" t="s">
        <v>1041</v>
      </c>
      <c r="V1579" s="423">
        <v>100</v>
      </c>
      <c r="W1579" s="423" t="s">
        <v>1041</v>
      </c>
      <c r="X1579" s="423" t="s">
        <v>1041</v>
      </c>
      <c r="Y1579" s="423" t="s">
        <v>1041</v>
      </c>
      <c r="Z1579" s="423" t="s">
        <v>2316</v>
      </c>
      <c r="AD1579" s="423">
        <f>IF(ISNUMBER(MATCH(B1579,'FICHA SOLIC'!$AB$26:$AB$376,0)),1,0)</f>
        <v>1</v>
      </c>
      <c r="AE1579" s="423" t="str">
        <f t="shared" si="24"/>
        <v>ValparaísoZCHP</v>
      </c>
    </row>
    <row r="1580" spans="1:31" x14ac:dyDescent="0.25">
      <c r="A1580" s="423">
        <v>1579</v>
      </c>
      <c r="B1580" s="423" t="s">
        <v>813</v>
      </c>
      <c r="C1580" s="423" t="s">
        <v>2014</v>
      </c>
      <c r="D1580" s="973" t="s">
        <v>990</v>
      </c>
      <c r="E1580" s="973" t="s">
        <v>991</v>
      </c>
      <c r="F1580" s="973" t="s">
        <v>992</v>
      </c>
      <c r="G1580" s="973" t="s">
        <v>1997</v>
      </c>
      <c r="H1580" s="973" t="s">
        <v>1998</v>
      </c>
      <c r="I1580" s="973" t="s">
        <v>1999</v>
      </c>
      <c r="J1580" s="973" t="s">
        <v>697</v>
      </c>
      <c r="K1580" s="973" t="s">
        <v>995</v>
      </c>
      <c r="L1580" s="973" t="s">
        <v>996</v>
      </c>
      <c r="M1580" s="973" t="s">
        <v>2000</v>
      </c>
      <c r="N1580" s="973" t="s">
        <v>2001</v>
      </c>
      <c r="O1580" s="973" t="s">
        <v>1971</v>
      </c>
      <c r="P1580" s="973" t="s">
        <v>999</v>
      </c>
      <c r="Q1580" s="973" t="s">
        <v>1000</v>
      </c>
      <c r="R1580" s="973" t="s">
        <v>1001</v>
      </c>
      <c r="S1580" s="973" t="s">
        <v>1002</v>
      </c>
      <c r="T1580" s="423">
        <v>350</v>
      </c>
      <c r="U1580" s="423" t="s">
        <v>1041</v>
      </c>
      <c r="V1580" s="423">
        <v>100</v>
      </c>
      <c r="W1580" s="423">
        <v>3</v>
      </c>
      <c r="X1580" s="423">
        <v>14</v>
      </c>
      <c r="Y1580" s="423" t="s">
        <v>1041</v>
      </c>
      <c r="Z1580" s="423" t="s">
        <v>2068</v>
      </c>
      <c r="AD1580" s="423">
        <f>IF(ISNUMBER(MATCH(B1580,'FICHA SOLIC'!$AB$26:$AB$376,0)),1,0)</f>
        <v>0</v>
      </c>
      <c r="AE1580" s="423" t="str">
        <f t="shared" si="24"/>
        <v>VentanasZ1</v>
      </c>
    </row>
    <row r="1581" spans="1:31" x14ac:dyDescent="0.25">
      <c r="A1581" s="423">
        <v>1580</v>
      </c>
      <c r="B1581" s="423" t="s">
        <v>813</v>
      </c>
      <c r="C1581" s="423" t="s">
        <v>2015</v>
      </c>
      <c r="D1581" s="973" t="s">
        <v>990</v>
      </c>
      <c r="E1581" s="973" t="s">
        <v>991</v>
      </c>
      <c r="F1581" s="973" t="s">
        <v>992</v>
      </c>
      <c r="G1581" s="973" t="s">
        <v>1997</v>
      </c>
      <c r="H1581" s="973" t="s">
        <v>1998</v>
      </c>
      <c r="I1581" s="973" t="s">
        <v>1999</v>
      </c>
      <c r="J1581" s="973" t="s">
        <v>697</v>
      </c>
      <c r="K1581" s="973" t="s">
        <v>995</v>
      </c>
      <c r="L1581" s="973" t="s">
        <v>996</v>
      </c>
      <c r="M1581" s="973" t="s">
        <v>2000</v>
      </c>
      <c r="N1581" s="973" t="s">
        <v>2001</v>
      </c>
      <c r="O1581" s="973" t="s">
        <v>1971</v>
      </c>
      <c r="P1581" s="973" t="s">
        <v>999</v>
      </c>
      <c r="Q1581" s="973" t="s">
        <v>1000</v>
      </c>
      <c r="R1581" s="973" t="s">
        <v>1001</v>
      </c>
      <c r="S1581" s="973" t="s">
        <v>1002</v>
      </c>
      <c r="T1581" s="423">
        <v>600</v>
      </c>
      <c r="U1581" s="423" t="s">
        <v>1041</v>
      </c>
      <c r="V1581" s="423">
        <v>30</v>
      </c>
      <c r="W1581" s="423">
        <v>0.6</v>
      </c>
      <c r="X1581" s="423">
        <v>35</v>
      </c>
      <c r="Y1581" s="423" t="s">
        <v>1041</v>
      </c>
      <c r="Z1581" s="423" t="s">
        <v>1057</v>
      </c>
      <c r="AD1581" s="423">
        <f>IF(ISNUMBER(MATCH(B1581,'FICHA SOLIC'!$AB$26:$AB$376,0)),1,0)</f>
        <v>0</v>
      </c>
      <c r="AE1581" s="423" t="str">
        <f t="shared" si="24"/>
        <v>VentanasZ10</v>
      </c>
    </row>
    <row r="1582" spans="1:31" x14ac:dyDescent="0.25">
      <c r="A1582" s="423">
        <v>1581</v>
      </c>
      <c r="B1582" s="423" t="s">
        <v>813</v>
      </c>
      <c r="C1582" s="423" t="s">
        <v>2016</v>
      </c>
      <c r="D1582" s="973" t="s">
        <v>990</v>
      </c>
      <c r="E1582" s="973" t="s">
        <v>991</v>
      </c>
      <c r="F1582" s="973" t="s">
        <v>992</v>
      </c>
      <c r="G1582" s="973" t="s">
        <v>1997</v>
      </c>
      <c r="H1582" s="973" t="s">
        <v>1998</v>
      </c>
      <c r="I1582" s="973" t="s">
        <v>1999</v>
      </c>
      <c r="J1582" s="973" t="s">
        <v>697</v>
      </c>
      <c r="K1582" s="973" t="s">
        <v>995</v>
      </c>
      <c r="L1582" s="973" t="s">
        <v>996</v>
      </c>
      <c r="M1582" s="973" t="s">
        <v>2000</v>
      </c>
      <c r="N1582" s="973" t="s">
        <v>2001</v>
      </c>
      <c r="O1582" s="973" t="s">
        <v>1971</v>
      </c>
      <c r="P1582" s="973" t="s">
        <v>999</v>
      </c>
      <c r="Q1582" s="973" t="s">
        <v>1000</v>
      </c>
      <c r="R1582" s="973" t="s">
        <v>1001</v>
      </c>
      <c r="S1582" s="973" t="s">
        <v>1002</v>
      </c>
      <c r="T1582" s="423">
        <v>1000</v>
      </c>
      <c r="U1582" s="423" t="s">
        <v>1041</v>
      </c>
      <c r="V1582" s="423">
        <v>25</v>
      </c>
      <c r="W1582" s="423">
        <v>0.4</v>
      </c>
      <c r="X1582" s="423">
        <v>35</v>
      </c>
      <c r="Y1582" s="423" t="s">
        <v>1041</v>
      </c>
      <c r="Z1582" s="423" t="s">
        <v>1057</v>
      </c>
      <c r="AD1582" s="423">
        <f>IF(ISNUMBER(MATCH(B1582,'FICHA SOLIC'!$AB$26:$AB$376,0)),1,0)</f>
        <v>0</v>
      </c>
      <c r="AE1582" s="423" t="str">
        <f t="shared" si="24"/>
        <v>VentanasZ11</v>
      </c>
    </row>
    <row r="1583" spans="1:31" x14ac:dyDescent="0.25">
      <c r="A1583" s="423">
        <v>1582</v>
      </c>
      <c r="B1583" s="423" t="s">
        <v>813</v>
      </c>
      <c r="C1583" s="423" t="s">
        <v>1458</v>
      </c>
      <c r="D1583" s="973" t="s">
        <v>990</v>
      </c>
      <c r="E1583" s="973" t="s">
        <v>991</v>
      </c>
      <c r="F1583" s="973" t="s">
        <v>992</v>
      </c>
      <c r="G1583" s="973" t="s">
        <v>1997</v>
      </c>
      <c r="H1583" s="973" t="s">
        <v>1998</v>
      </c>
      <c r="I1583" s="973" t="s">
        <v>1999</v>
      </c>
      <c r="J1583" s="973" t="s">
        <v>697</v>
      </c>
      <c r="K1583" s="973" t="s">
        <v>995</v>
      </c>
      <c r="L1583" s="973" t="s">
        <v>996</v>
      </c>
      <c r="M1583" s="973" t="s">
        <v>2000</v>
      </c>
      <c r="N1583" s="973" t="s">
        <v>2001</v>
      </c>
      <c r="O1583" s="973" t="s">
        <v>1971</v>
      </c>
      <c r="P1583" s="973" t="s">
        <v>999</v>
      </c>
      <c r="Q1583" s="973" t="s">
        <v>1000</v>
      </c>
      <c r="R1583" s="973" t="s">
        <v>1001</v>
      </c>
      <c r="S1583" s="973" t="s">
        <v>1002</v>
      </c>
      <c r="T1583" s="423">
        <v>350</v>
      </c>
      <c r="U1583" s="423" t="s">
        <v>1041</v>
      </c>
      <c r="V1583" s="423">
        <v>30</v>
      </c>
      <c r="W1583" s="423">
        <v>1.5</v>
      </c>
      <c r="X1583" s="423">
        <v>21</v>
      </c>
      <c r="Y1583" s="423" t="s">
        <v>1041</v>
      </c>
      <c r="Z1583" s="423" t="s">
        <v>1057</v>
      </c>
      <c r="AD1583" s="423">
        <f>IF(ISNUMBER(MATCH(B1583,'FICHA SOLIC'!$AB$26:$AB$376,0)),1,0)</f>
        <v>0</v>
      </c>
      <c r="AE1583" s="423" t="str">
        <f t="shared" si="24"/>
        <v>VentanasZ2</v>
      </c>
    </row>
    <row r="1584" spans="1:31" x14ac:dyDescent="0.25">
      <c r="A1584" s="423">
        <v>1583</v>
      </c>
      <c r="B1584" s="423" t="s">
        <v>813</v>
      </c>
      <c r="C1584" s="423" t="s">
        <v>2022</v>
      </c>
      <c r="D1584" s="973" t="s">
        <v>990</v>
      </c>
      <c r="E1584" s="973" t="s">
        <v>991</v>
      </c>
      <c r="F1584" s="973" t="s">
        <v>992</v>
      </c>
      <c r="G1584" s="973" t="s">
        <v>1997</v>
      </c>
      <c r="H1584" s="973" t="s">
        <v>1998</v>
      </c>
      <c r="I1584" s="973" t="s">
        <v>1999</v>
      </c>
      <c r="J1584" s="973" t="s">
        <v>697</v>
      </c>
      <c r="K1584" s="973" t="s">
        <v>995</v>
      </c>
      <c r="L1584" s="973" t="s">
        <v>996</v>
      </c>
      <c r="M1584" s="973" t="s">
        <v>2000</v>
      </c>
      <c r="N1584" s="973" t="s">
        <v>2001</v>
      </c>
      <c r="O1584" s="973" t="s">
        <v>1971</v>
      </c>
      <c r="P1584" s="973" t="s">
        <v>999</v>
      </c>
      <c r="Q1584" s="973" t="s">
        <v>1000</v>
      </c>
      <c r="R1584" s="973" t="s">
        <v>1001</v>
      </c>
      <c r="S1584" s="973" t="s">
        <v>1002</v>
      </c>
      <c r="T1584" s="423">
        <v>160</v>
      </c>
      <c r="U1584" s="423" t="s">
        <v>1041</v>
      </c>
      <c r="V1584" s="423">
        <v>40</v>
      </c>
      <c r="W1584" s="423">
        <v>0.8</v>
      </c>
      <c r="X1584" s="423">
        <v>10</v>
      </c>
      <c r="Y1584" s="423" t="s">
        <v>1041</v>
      </c>
      <c r="Z1584" s="423" t="s">
        <v>1059</v>
      </c>
      <c r="AD1584" s="423">
        <f>IF(ISNUMBER(MATCH(B1584,'FICHA SOLIC'!$AB$26:$AB$376,0)),1,0)</f>
        <v>0</v>
      </c>
      <c r="AE1584" s="423" t="str">
        <f t="shared" si="24"/>
        <v>VentanasZ3</v>
      </c>
    </row>
    <row r="1585" spans="1:31" x14ac:dyDescent="0.25">
      <c r="A1585" s="423">
        <v>1584</v>
      </c>
      <c r="B1585" s="423" t="s">
        <v>813</v>
      </c>
      <c r="C1585" s="423" t="s">
        <v>2024</v>
      </c>
      <c r="D1585" s="973" t="s">
        <v>990</v>
      </c>
      <c r="E1585" s="973" t="s">
        <v>991</v>
      </c>
      <c r="F1585" s="973" t="s">
        <v>992</v>
      </c>
      <c r="G1585" s="973" t="s">
        <v>1997</v>
      </c>
      <c r="H1585" s="973" t="s">
        <v>1998</v>
      </c>
      <c r="I1585" s="973" t="s">
        <v>1999</v>
      </c>
      <c r="J1585" s="973" t="s">
        <v>697</v>
      </c>
      <c r="K1585" s="973" t="s">
        <v>995</v>
      </c>
      <c r="L1585" s="973" t="s">
        <v>996</v>
      </c>
      <c r="M1585" s="973" t="s">
        <v>2000</v>
      </c>
      <c r="N1585" s="973" t="s">
        <v>2001</v>
      </c>
      <c r="O1585" s="973" t="s">
        <v>1971</v>
      </c>
      <c r="P1585" s="973" t="s">
        <v>999</v>
      </c>
      <c r="Q1585" s="973" t="s">
        <v>1000</v>
      </c>
      <c r="R1585" s="973" t="s">
        <v>1001</v>
      </c>
      <c r="S1585" s="973" t="s">
        <v>1002</v>
      </c>
      <c r="T1585" s="423">
        <v>800</v>
      </c>
      <c r="U1585" s="423" t="s">
        <v>1041</v>
      </c>
      <c r="V1585" s="423">
        <v>25</v>
      </c>
      <c r="W1585" s="423">
        <v>0.25</v>
      </c>
      <c r="X1585" s="423">
        <v>10</v>
      </c>
      <c r="Y1585" s="423" t="s">
        <v>1041</v>
      </c>
      <c r="Z1585" s="423" t="s">
        <v>1058</v>
      </c>
      <c r="AD1585" s="423">
        <f>IF(ISNUMBER(MATCH(B1585,'FICHA SOLIC'!$AB$26:$AB$376,0)),1,0)</f>
        <v>0</v>
      </c>
      <c r="AE1585" s="423" t="str">
        <f t="shared" si="24"/>
        <v>VentanasZ4</v>
      </c>
    </row>
    <row r="1586" spans="1:31" x14ac:dyDescent="0.25">
      <c r="A1586" s="423">
        <v>1585</v>
      </c>
      <c r="B1586" s="423" t="s">
        <v>813</v>
      </c>
      <c r="C1586" s="423" t="s">
        <v>2025</v>
      </c>
      <c r="D1586" s="973" t="s">
        <v>990</v>
      </c>
      <c r="E1586" s="973" t="s">
        <v>991</v>
      </c>
      <c r="F1586" s="973" t="s">
        <v>992</v>
      </c>
      <c r="G1586" s="973" t="s">
        <v>1997</v>
      </c>
      <c r="H1586" s="973" t="s">
        <v>1998</v>
      </c>
      <c r="I1586" s="973" t="s">
        <v>1999</v>
      </c>
      <c r="J1586" s="973" t="s">
        <v>697</v>
      </c>
      <c r="K1586" s="973" t="s">
        <v>995</v>
      </c>
      <c r="L1586" s="973" t="s">
        <v>996</v>
      </c>
      <c r="M1586" s="973" t="s">
        <v>2000</v>
      </c>
      <c r="N1586" s="973" t="s">
        <v>2001</v>
      </c>
      <c r="O1586" s="973" t="s">
        <v>1971</v>
      </c>
      <c r="P1586" s="973" t="s">
        <v>999</v>
      </c>
      <c r="Q1586" s="973" t="s">
        <v>1000</v>
      </c>
      <c r="R1586" s="973" t="s">
        <v>1001</v>
      </c>
      <c r="S1586" s="973" t="s">
        <v>1002</v>
      </c>
      <c r="T1586" s="423">
        <v>400</v>
      </c>
      <c r="U1586" s="423" t="s">
        <v>1041</v>
      </c>
      <c r="V1586" s="423">
        <v>40</v>
      </c>
      <c r="W1586" s="423">
        <v>0.7</v>
      </c>
      <c r="X1586" s="423">
        <v>7</v>
      </c>
      <c r="Y1586" s="423" t="s">
        <v>1041</v>
      </c>
      <c r="Z1586" s="423" t="s">
        <v>1058</v>
      </c>
      <c r="AD1586" s="423">
        <f>IF(ISNUMBER(MATCH(B1586,'FICHA SOLIC'!$AB$26:$AB$376,0)),1,0)</f>
        <v>0</v>
      </c>
      <c r="AE1586" s="423" t="str">
        <f t="shared" si="24"/>
        <v>VentanasZ5</v>
      </c>
    </row>
    <row r="1587" spans="1:31" x14ac:dyDescent="0.25">
      <c r="A1587" s="423">
        <v>1586</v>
      </c>
      <c r="B1587" s="423" t="s">
        <v>813</v>
      </c>
      <c r="C1587" s="423" t="s">
        <v>2026</v>
      </c>
      <c r="D1587" s="973" t="s">
        <v>990</v>
      </c>
      <c r="E1587" s="973" t="s">
        <v>991</v>
      </c>
      <c r="F1587" s="973" t="s">
        <v>992</v>
      </c>
      <c r="G1587" s="973" t="s">
        <v>1997</v>
      </c>
      <c r="H1587" s="973" t="s">
        <v>1998</v>
      </c>
      <c r="I1587" s="973" t="s">
        <v>1999</v>
      </c>
      <c r="J1587" s="973" t="s">
        <v>697</v>
      </c>
      <c r="K1587" s="973" t="s">
        <v>995</v>
      </c>
      <c r="L1587" s="973" t="s">
        <v>996</v>
      </c>
      <c r="M1587" s="973" t="s">
        <v>2000</v>
      </c>
      <c r="N1587" s="973" t="s">
        <v>2001</v>
      </c>
      <c r="O1587" s="973" t="s">
        <v>1971</v>
      </c>
      <c r="P1587" s="973" t="s">
        <v>999</v>
      </c>
      <c r="Q1587" s="973" t="s">
        <v>1000</v>
      </c>
      <c r="R1587" s="973" t="s">
        <v>1001</v>
      </c>
      <c r="S1587" s="973" t="s">
        <v>1002</v>
      </c>
      <c r="T1587" s="423">
        <v>300</v>
      </c>
      <c r="U1587" s="423" t="s">
        <v>1041</v>
      </c>
      <c r="V1587" s="423">
        <v>20</v>
      </c>
      <c r="W1587" s="423">
        <v>0.2</v>
      </c>
      <c r="X1587" s="423">
        <v>3.5</v>
      </c>
      <c r="Y1587" s="423" t="s">
        <v>1041</v>
      </c>
      <c r="Z1587" s="423" t="s">
        <v>1058</v>
      </c>
      <c r="AD1587" s="423">
        <f>IF(ISNUMBER(MATCH(B1587,'FICHA SOLIC'!$AB$26:$AB$376,0)),1,0)</f>
        <v>0</v>
      </c>
      <c r="AE1587" s="423" t="str">
        <f t="shared" si="24"/>
        <v>VentanasZ6</v>
      </c>
    </row>
    <row r="1588" spans="1:31" x14ac:dyDescent="0.25">
      <c r="A1588" s="423">
        <v>1587</v>
      </c>
      <c r="B1588" s="423" t="s">
        <v>813</v>
      </c>
      <c r="C1588" s="423" t="s">
        <v>2297</v>
      </c>
      <c r="D1588" s="973" t="s">
        <v>990</v>
      </c>
      <c r="E1588" s="973" t="s">
        <v>991</v>
      </c>
      <c r="F1588" s="973" t="s">
        <v>992</v>
      </c>
      <c r="G1588" s="973" t="s">
        <v>1997</v>
      </c>
      <c r="H1588" s="973" t="s">
        <v>1998</v>
      </c>
      <c r="I1588" s="973" t="s">
        <v>1999</v>
      </c>
      <c r="J1588" s="973" t="s">
        <v>697</v>
      </c>
      <c r="K1588" s="973" t="s">
        <v>995</v>
      </c>
      <c r="L1588" s="973" t="s">
        <v>996</v>
      </c>
      <c r="M1588" s="973" t="s">
        <v>2000</v>
      </c>
      <c r="N1588" s="973" t="s">
        <v>2001</v>
      </c>
      <c r="O1588" s="973" t="s">
        <v>1971</v>
      </c>
      <c r="P1588" s="973" t="s">
        <v>999</v>
      </c>
      <c r="Q1588" s="973" t="s">
        <v>1000</v>
      </c>
      <c r="R1588" s="973" t="s">
        <v>1001</v>
      </c>
      <c r="S1588" s="973" t="s">
        <v>1002</v>
      </c>
      <c r="T1588" s="423">
        <v>400</v>
      </c>
      <c r="U1588" s="423" t="s">
        <v>1041</v>
      </c>
      <c r="V1588" s="423">
        <v>30</v>
      </c>
      <c r="W1588" s="423">
        <v>0.6</v>
      </c>
      <c r="X1588" s="423">
        <v>7</v>
      </c>
      <c r="Y1588" s="423" t="s">
        <v>1041</v>
      </c>
      <c r="Z1588" s="423" t="s">
        <v>1058</v>
      </c>
      <c r="AD1588" s="423">
        <f>IF(ISNUMBER(MATCH(B1588,'FICHA SOLIC'!$AB$26:$AB$376,0)),1,0)</f>
        <v>0</v>
      </c>
      <c r="AE1588" s="423" t="str">
        <f t="shared" si="24"/>
        <v>VentanasZ7</v>
      </c>
    </row>
    <row r="1589" spans="1:31" x14ac:dyDescent="0.25">
      <c r="A1589" s="423">
        <v>1588</v>
      </c>
      <c r="B1589" s="423" t="s">
        <v>813</v>
      </c>
      <c r="C1589" s="423" t="s">
        <v>2029</v>
      </c>
      <c r="D1589" s="973" t="s">
        <v>990</v>
      </c>
      <c r="E1589" s="973" t="s">
        <v>991</v>
      </c>
      <c r="F1589" s="973" t="s">
        <v>992</v>
      </c>
      <c r="G1589" s="973" t="s">
        <v>1997</v>
      </c>
      <c r="H1589" s="973" t="s">
        <v>1998</v>
      </c>
      <c r="I1589" s="973" t="s">
        <v>1999</v>
      </c>
      <c r="J1589" s="973" t="s">
        <v>697</v>
      </c>
      <c r="K1589" s="973" t="s">
        <v>995</v>
      </c>
      <c r="L1589" s="973" t="s">
        <v>996</v>
      </c>
      <c r="M1589" s="973" t="s">
        <v>2000</v>
      </c>
      <c r="N1589" s="973" t="s">
        <v>2001</v>
      </c>
      <c r="O1589" s="973" t="s">
        <v>1971</v>
      </c>
      <c r="P1589" s="973" t="s">
        <v>999</v>
      </c>
      <c r="Q1589" s="973" t="s">
        <v>1000</v>
      </c>
      <c r="R1589" s="973" t="s">
        <v>1001</v>
      </c>
      <c r="S1589" s="973" t="s">
        <v>1002</v>
      </c>
      <c r="T1589" s="423">
        <v>300</v>
      </c>
      <c r="U1589" s="423" t="s">
        <v>1041</v>
      </c>
      <c r="V1589" s="423">
        <v>20</v>
      </c>
      <c r="W1589" s="423">
        <v>0.4</v>
      </c>
      <c r="X1589" s="423">
        <v>7</v>
      </c>
      <c r="Y1589" s="423" t="s">
        <v>1041</v>
      </c>
      <c r="Z1589" s="423" t="s">
        <v>1058</v>
      </c>
      <c r="AD1589" s="423">
        <f>IF(ISNUMBER(MATCH(B1589,'FICHA SOLIC'!$AB$26:$AB$376,0)),1,0)</f>
        <v>0</v>
      </c>
      <c r="AE1589" s="423" t="str">
        <f t="shared" si="24"/>
        <v>VentanasZ8</v>
      </c>
    </row>
    <row r="1590" spans="1:31" x14ac:dyDescent="0.25">
      <c r="A1590" s="423">
        <v>1589</v>
      </c>
      <c r="B1590" s="423" t="s">
        <v>813</v>
      </c>
      <c r="C1590" s="423" t="s">
        <v>2030</v>
      </c>
      <c r="D1590" s="973" t="s">
        <v>990</v>
      </c>
      <c r="E1590" s="973" t="s">
        <v>991</v>
      </c>
      <c r="F1590" s="973" t="s">
        <v>992</v>
      </c>
      <c r="G1590" s="973" t="s">
        <v>1997</v>
      </c>
      <c r="H1590" s="973" t="s">
        <v>1998</v>
      </c>
      <c r="I1590" s="973" t="s">
        <v>1999</v>
      </c>
      <c r="J1590" s="973" t="s">
        <v>697</v>
      </c>
      <c r="K1590" s="973" t="s">
        <v>995</v>
      </c>
      <c r="L1590" s="973" t="s">
        <v>996</v>
      </c>
      <c r="M1590" s="973" t="s">
        <v>2000</v>
      </c>
      <c r="N1590" s="973" t="s">
        <v>2001</v>
      </c>
      <c r="O1590" s="973" t="s">
        <v>1971</v>
      </c>
      <c r="P1590" s="973" t="s">
        <v>999</v>
      </c>
      <c r="Q1590" s="973" t="s">
        <v>1000</v>
      </c>
      <c r="R1590" s="973" t="s">
        <v>1001</v>
      </c>
      <c r="S1590" s="973" t="s">
        <v>1002</v>
      </c>
      <c r="T1590" s="423">
        <v>350</v>
      </c>
      <c r="U1590" s="423" t="s">
        <v>1041</v>
      </c>
      <c r="V1590" s="423">
        <v>50</v>
      </c>
      <c r="W1590" s="423">
        <v>1</v>
      </c>
      <c r="X1590" s="423">
        <v>7</v>
      </c>
      <c r="Y1590" s="423" t="s">
        <v>1041</v>
      </c>
      <c r="Z1590" s="423" t="s">
        <v>1057</v>
      </c>
      <c r="AD1590" s="423">
        <f>IF(ISNUMBER(MATCH(B1590,'FICHA SOLIC'!$AB$26:$AB$376,0)),1,0)</f>
        <v>0</v>
      </c>
      <c r="AE1590" s="423" t="str">
        <f t="shared" si="24"/>
        <v>VentanasZ9</v>
      </c>
    </row>
    <row r="1591" spans="1:31" x14ac:dyDescent="0.25">
      <c r="A1591" s="423">
        <v>1590</v>
      </c>
      <c r="B1591" s="423" t="s">
        <v>813</v>
      </c>
      <c r="C1591" s="423" t="s">
        <v>2040</v>
      </c>
      <c r="D1591" s="973" t="s">
        <v>990</v>
      </c>
      <c r="E1591" s="973" t="s">
        <v>991</v>
      </c>
      <c r="F1591" s="973" t="s">
        <v>992</v>
      </c>
      <c r="G1591" s="973" t="s">
        <v>1997</v>
      </c>
      <c r="H1591" s="973" t="s">
        <v>1998</v>
      </c>
      <c r="I1591" s="973" t="s">
        <v>1999</v>
      </c>
      <c r="J1591" s="973" t="s">
        <v>697</v>
      </c>
      <c r="K1591" s="973" t="s">
        <v>995</v>
      </c>
      <c r="L1591" s="973" t="s">
        <v>996</v>
      </c>
      <c r="M1591" s="973" t="s">
        <v>2000</v>
      </c>
      <c r="N1591" s="973" t="s">
        <v>2001</v>
      </c>
      <c r="O1591" s="973" t="s">
        <v>1971</v>
      </c>
      <c r="P1591" s="973" t="s">
        <v>999</v>
      </c>
      <c r="Q1591" s="973" t="s">
        <v>1000</v>
      </c>
      <c r="R1591" s="973" t="s">
        <v>1001</v>
      </c>
      <c r="S1591" s="973" t="s">
        <v>1002</v>
      </c>
      <c r="T1591" s="423">
        <v>1000</v>
      </c>
      <c r="U1591" s="423" t="s">
        <v>1041</v>
      </c>
      <c r="V1591" s="423">
        <v>20</v>
      </c>
      <c r="W1591" s="423">
        <v>0.2</v>
      </c>
      <c r="X1591" s="423">
        <v>14</v>
      </c>
      <c r="Y1591" s="423" t="s">
        <v>1041</v>
      </c>
      <c r="Z1591" s="423" t="s">
        <v>1058</v>
      </c>
      <c r="AD1591" s="423">
        <f>IF(ISNUMBER(MATCH(B1591,'FICHA SOLIC'!$AB$26:$AB$376,0)),1,0)</f>
        <v>0</v>
      </c>
      <c r="AE1591" s="423" t="str">
        <f t="shared" si="24"/>
        <v>VentanasZED</v>
      </c>
    </row>
    <row r="1592" spans="1:31" x14ac:dyDescent="0.25">
      <c r="A1592" s="423">
        <v>1591</v>
      </c>
      <c r="B1592" s="423" t="s">
        <v>813</v>
      </c>
      <c r="C1592" s="423" t="s">
        <v>2298</v>
      </c>
      <c r="D1592" s="973" t="s">
        <v>990</v>
      </c>
      <c r="E1592" s="973" t="s">
        <v>991</v>
      </c>
      <c r="F1592" s="973" t="s">
        <v>992</v>
      </c>
      <c r="G1592" s="973" t="s">
        <v>1997</v>
      </c>
      <c r="H1592" s="973" t="s">
        <v>1998</v>
      </c>
      <c r="I1592" s="973" t="s">
        <v>1999</v>
      </c>
      <c r="J1592" s="973" t="s">
        <v>697</v>
      </c>
      <c r="K1592" s="973" t="s">
        <v>995</v>
      </c>
      <c r="L1592" s="973" t="s">
        <v>996</v>
      </c>
      <c r="M1592" s="973" t="s">
        <v>2000</v>
      </c>
      <c r="N1592" s="973" t="s">
        <v>2001</v>
      </c>
      <c r="O1592" s="973" t="s">
        <v>1971</v>
      </c>
      <c r="P1592" s="973" t="s">
        <v>999</v>
      </c>
      <c r="Q1592" s="973" t="s">
        <v>1000</v>
      </c>
      <c r="R1592" s="973" t="s">
        <v>1001</v>
      </c>
      <c r="S1592" s="973" t="s">
        <v>1002</v>
      </c>
      <c r="T1592" s="423">
        <v>5000</v>
      </c>
      <c r="U1592" s="423" t="s">
        <v>1041</v>
      </c>
      <c r="V1592" s="423">
        <v>40</v>
      </c>
      <c r="W1592" s="423">
        <v>4</v>
      </c>
      <c r="X1592" s="423">
        <v>28</v>
      </c>
      <c r="Y1592" s="423" t="s">
        <v>1041</v>
      </c>
      <c r="Z1592" s="423" t="s">
        <v>1058</v>
      </c>
      <c r="AD1592" s="423">
        <f>IF(ISNUMBER(MATCH(B1592,'FICHA SOLIC'!$AB$26:$AB$376,0)),1,0)</f>
        <v>0</v>
      </c>
      <c r="AE1592" s="423" t="str">
        <f t="shared" si="24"/>
        <v>VentanasZEH</v>
      </c>
    </row>
    <row r="1593" spans="1:31" x14ac:dyDescent="0.25">
      <c r="A1593" s="423">
        <v>1592</v>
      </c>
      <c r="B1593" s="423" t="s">
        <v>813</v>
      </c>
      <c r="C1593" s="423" t="s">
        <v>2299</v>
      </c>
      <c r="D1593" s="973" t="s">
        <v>990</v>
      </c>
      <c r="E1593" s="973" t="s">
        <v>991</v>
      </c>
      <c r="F1593" s="973" t="s">
        <v>992</v>
      </c>
      <c r="G1593" s="973" t="s">
        <v>1997</v>
      </c>
      <c r="H1593" s="973" t="s">
        <v>1998</v>
      </c>
      <c r="I1593" s="973" t="s">
        <v>1999</v>
      </c>
      <c r="J1593" s="973" t="s">
        <v>697</v>
      </c>
      <c r="K1593" s="973" t="s">
        <v>995</v>
      </c>
      <c r="L1593" s="973" t="s">
        <v>996</v>
      </c>
      <c r="M1593" s="973" t="s">
        <v>2000</v>
      </c>
      <c r="N1593" s="973" t="s">
        <v>2001</v>
      </c>
      <c r="O1593" s="973" t="s">
        <v>1971</v>
      </c>
      <c r="P1593" s="973" t="s">
        <v>999</v>
      </c>
      <c r="Q1593" s="973" t="s">
        <v>1000</v>
      </c>
      <c r="R1593" s="973" t="s">
        <v>1001</v>
      </c>
      <c r="S1593" s="973" t="s">
        <v>1002</v>
      </c>
      <c r="T1593" s="423">
        <v>500</v>
      </c>
      <c r="U1593" s="423" t="s">
        <v>1041</v>
      </c>
      <c r="V1593" s="423">
        <v>40</v>
      </c>
      <c r="W1593" s="423">
        <v>0.8</v>
      </c>
      <c r="X1593" s="423">
        <v>7</v>
      </c>
      <c r="Y1593" s="423" t="s">
        <v>1041</v>
      </c>
      <c r="Z1593" s="423" t="s">
        <v>1058</v>
      </c>
      <c r="AD1593" s="423">
        <f>IF(ISNUMBER(MATCH(B1593,'FICHA SOLIC'!$AB$26:$AB$376,0)),1,0)</f>
        <v>0</v>
      </c>
      <c r="AE1593" s="423" t="str">
        <f t="shared" si="24"/>
        <v>VentanasZEM</v>
      </c>
    </row>
    <row r="1594" spans="1:31" x14ac:dyDescent="0.25">
      <c r="A1594" s="423">
        <v>1593</v>
      </c>
      <c r="B1594" s="423" t="s">
        <v>813</v>
      </c>
      <c r="C1594" s="423" t="s">
        <v>2300</v>
      </c>
      <c r="D1594" s="973" t="s">
        <v>990</v>
      </c>
      <c r="E1594" s="973" t="s">
        <v>991</v>
      </c>
      <c r="F1594" s="973" t="s">
        <v>992</v>
      </c>
      <c r="G1594" s="973" t="s">
        <v>1997</v>
      </c>
      <c r="H1594" s="973" t="s">
        <v>1998</v>
      </c>
      <c r="I1594" s="973" t="s">
        <v>1999</v>
      </c>
      <c r="J1594" s="973" t="s">
        <v>697</v>
      </c>
      <c r="K1594" s="973" t="s">
        <v>995</v>
      </c>
      <c r="L1594" s="973" t="s">
        <v>996</v>
      </c>
      <c r="M1594" s="973" t="s">
        <v>2000</v>
      </c>
      <c r="N1594" s="973" t="s">
        <v>2001</v>
      </c>
      <c r="O1594" s="973" t="s">
        <v>1971</v>
      </c>
      <c r="P1594" s="973" t="s">
        <v>999</v>
      </c>
      <c r="Q1594" s="973" t="s">
        <v>1000</v>
      </c>
      <c r="R1594" s="973" t="s">
        <v>1001</v>
      </c>
      <c r="S1594" s="973" t="s">
        <v>1002</v>
      </c>
      <c r="T1594" s="423">
        <v>5000</v>
      </c>
      <c r="U1594" s="423" t="s">
        <v>1041</v>
      </c>
      <c r="V1594" s="423">
        <v>15</v>
      </c>
      <c r="W1594" s="423">
        <v>0.15</v>
      </c>
      <c r="X1594" s="423">
        <v>5.6</v>
      </c>
      <c r="Y1594" s="423" t="s">
        <v>1041</v>
      </c>
      <c r="Z1594" s="423" t="s">
        <v>1058</v>
      </c>
      <c r="AD1594" s="423">
        <f>IF(ISNUMBER(MATCH(B1594,'FICHA SOLIC'!$AB$26:$AB$376,0)),1,0)</f>
        <v>0</v>
      </c>
      <c r="AE1594" s="423" t="str">
        <f t="shared" si="24"/>
        <v>VentanasZEQC</v>
      </c>
    </row>
    <row r="1595" spans="1:31" x14ac:dyDescent="0.25">
      <c r="A1595" s="423">
        <v>1594</v>
      </c>
      <c r="B1595" s="423" t="s">
        <v>153</v>
      </c>
      <c r="C1595" s="423" t="s">
        <v>1426</v>
      </c>
      <c r="D1595" s="973" t="s">
        <v>990</v>
      </c>
      <c r="E1595" s="973" t="s">
        <v>991</v>
      </c>
      <c r="F1595" s="973" t="s">
        <v>992</v>
      </c>
      <c r="G1595" s="973" t="s">
        <v>1997</v>
      </c>
      <c r="H1595" s="973" t="s">
        <v>1998</v>
      </c>
      <c r="I1595" s="973" t="s">
        <v>1999</v>
      </c>
      <c r="J1595" s="973" t="s">
        <v>697</v>
      </c>
      <c r="K1595" s="973" t="s">
        <v>995</v>
      </c>
      <c r="L1595" s="973" t="s">
        <v>996</v>
      </c>
      <c r="M1595" s="973" t="s">
        <v>2000</v>
      </c>
      <c r="N1595" s="973" t="s">
        <v>2001</v>
      </c>
      <c r="O1595" s="973" t="s">
        <v>1971</v>
      </c>
      <c r="P1595" s="973" t="s">
        <v>999</v>
      </c>
      <c r="Q1595" s="973" t="s">
        <v>1000</v>
      </c>
      <c r="R1595" s="973" t="s">
        <v>1001</v>
      </c>
      <c r="S1595" s="973" t="s">
        <v>1002</v>
      </c>
      <c r="T1595" s="423">
        <v>640</v>
      </c>
      <c r="U1595" s="423">
        <v>20</v>
      </c>
      <c r="V1595" s="423">
        <v>50</v>
      </c>
      <c r="W1595" s="423">
        <v>3</v>
      </c>
      <c r="X1595" s="423" t="s">
        <v>1041</v>
      </c>
      <c r="Y1595" s="423" t="s">
        <v>1041</v>
      </c>
      <c r="Z1595" s="423" t="s">
        <v>1058</v>
      </c>
      <c r="AD1595" s="423">
        <f>IF(ISNUMBER(MATCH(B1595,'FICHA SOLIC'!$AB$26:$AB$376,0)),1,0)</f>
        <v>1</v>
      </c>
      <c r="AE1595" s="423" t="str">
        <f t="shared" si="24"/>
        <v>Viña del MarE1</v>
      </c>
    </row>
    <row r="1596" spans="1:31" x14ac:dyDescent="0.25">
      <c r="A1596" s="423">
        <v>1595</v>
      </c>
      <c r="B1596" s="423" t="s">
        <v>153</v>
      </c>
      <c r="C1596" s="423" t="s">
        <v>1565</v>
      </c>
      <c r="D1596" s="973" t="s">
        <v>990</v>
      </c>
      <c r="E1596" s="973" t="s">
        <v>991</v>
      </c>
      <c r="F1596" s="973" t="s">
        <v>992</v>
      </c>
      <c r="G1596" s="973" t="s">
        <v>1997</v>
      </c>
      <c r="H1596" s="973" t="s">
        <v>1998</v>
      </c>
      <c r="I1596" s="973" t="s">
        <v>1999</v>
      </c>
      <c r="J1596" s="973" t="s">
        <v>697</v>
      </c>
      <c r="K1596" s="973" t="s">
        <v>995</v>
      </c>
      <c r="L1596" s="973" t="s">
        <v>996</v>
      </c>
      <c r="M1596" s="973" t="s">
        <v>2000</v>
      </c>
      <c r="N1596" s="973" t="s">
        <v>2001</v>
      </c>
      <c r="O1596" s="973" t="s">
        <v>1971</v>
      </c>
      <c r="P1596" s="973" t="s">
        <v>999</v>
      </c>
      <c r="Q1596" s="973" t="s">
        <v>1000</v>
      </c>
      <c r="R1596" s="973" t="s">
        <v>1001</v>
      </c>
      <c r="S1596" s="973" t="s">
        <v>1002</v>
      </c>
      <c r="T1596" s="423">
        <v>500</v>
      </c>
      <c r="U1596" s="423">
        <v>20</v>
      </c>
      <c r="V1596" s="423">
        <v>50</v>
      </c>
      <c r="W1596" s="423" t="s">
        <v>1041</v>
      </c>
      <c r="X1596" s="423">
        <v>10.5</v>
      </c>
      <c r="Y1596" s="423" t="s">
        <v>1041</v>
      </c>
      <c r="Z1596" s="423" t="s">
        <v>1096</v>
      </c>
      <c r="AD1596" s="423">
        <f>IF(ISNUMBER(MATCH(B1596,'FICHA SOLIC'!$AB$26:$AB$376,0)),1,0)</f>
        <v>1</v>
      </c>
      <c r="AE1596" s="423" t="str">
        <f t="shared" si="24"/>
        <v>Viña del MarE2</v>
      </c>
    </row>
    <row r="1597" spans="1:31" x14ac:dyDescent="0.25">
      <c r="A1597" s="423">
        <v>1596</v>
      </c>
      <c r="B1597" s="423" t="s">
        <v>153</v>
      </c>
      <c r="C1597" s="423" t="s">
        <v>1432</v>
      </c>
      <c r="D1597" s="973" t="s">
        <v>990</v>
      </c>
      <c r="E1597" s="973" t="s">
        <v>991</v>
      </c>
      <c r="F1597" s="973" t="s">
        <v>992</v>
      </c>
      <c r="G1597" s="973" t="s">
        <v>1997</v>
      </c>
      <c r="H1597" s="973" t="s">
        <v>1998</v>
      </c>
      <c r="I1597" s="973" t="s">
        <v>1999</v>
      </c>
      <c r="J1597" s="973" t="s">
        <v>697</v>
      </c>
      <c r="K1597" s="973" t="s">
        <v>995</v>
      </c>
      <c r="L1597" s="973" t="s">
        <v>996</v>
      </c>
      <c r="M1597" s="973" t="s">
        <v>2000</v>
      </c>
      <c r="N1597" s="973" t="s">
        <v>2001</v>
      </c>
      <c r="O1597" s="973" t="s">
        <v>1971</v>
      </c>
      <c r="P1597" s="973" t="s">
        <v>999</v>
      </c>
      <c r="Q1597" s="973" t="s">
        <v>1000</v>
      </c>
      <c r="R1597" s="973" t="s">
        <v>1001</v>
      </c>
      <c r="S1597" s="973" t="s">
        <v>1002</v>
      </c>
      <c r="T1597" s="423">
        <v>480</v>
      </c>
      <c r="U1597" s="423">
        <v>16</v>
      </c>
      <c r="V1597" s="423">
        <v>75</v>
      </c>
      <c r="W1597" s="423" t="s">
        <v>1041</v>
      </c>
      <c r="X1597" s="423" t="s">
        <v>1041</v>
      </c>
      <c r="Y1597" s="423" t="s">
        <v>1041</v>
      </c>
      <c r="Z1597" s="423" t="s">
        <v>2553</v>
      </c>
      <c r="AD1597" s="423">
        <f>IF(ISNUMBER(MATCH(B1597,'FICHA SOLIC'!$AB$26:$AB$376,0)),1,0)</f>
        <v>1</v>
      </c>
      <c r="AE1597" s="423" t="str">
        <f t="shared" si="24"/>
        <v>Viña del MarE3</v>
      </c>
    </row>
    <row r="1598" spans="1:31" x14ac:dyDescent="0.25">
      <c r="A1598" s="423">
        <v>1597</v>
      </c>
      <c r="B1598" s="423" t="s">
        <v>153</v>
      </c>
      <c r="C1598" s="423" t="s">
        <v>2554</v>
      </c>
      <c r="D1598" s="973" t="s">
        <v>990</v>
      </c>
      <c r="E1598" s="973" t="s">
        <v>991</v>
      </c>
      <c r="F1598" s="973" t="s">
        <v>992</v>
      </c>
      <c r="G1598" s="973" t="s">
        <v>1997</v>
      </c>
      <c r="H1598" s="973" t="s">
        <v>1998</v>
      </c>
      <c r="I1598" s="973" t="s">
        <v>1999</v>
      </c>
      <c r="J1598" s="973" t="s">
        <v>697</v>
      </c>
      <c r="K1598" s="973" t="s">
        <v>995</v>
      </c>
      <c r="L1598" s="973" t="s">
        <v>996</v>
      </c>
      <c r="M1598" s="973" t="s">
        <v>2000</v>
      </c>
      <c r="N1598" s="973" t="s">
        <v>2001</v>
      </c>
      <c r="O1598" s="973" t="s">
        <v>1971</v>
      </c>
      <c r="P1598" s="973" t="s">
        <v>999</v>
      </c>
      <c r="Q1598" s="973" t="s">
        <v>1000</v>
      </c>
      <c r="R1598" s="973" t="s">
        <v>1001</v>
      </c>
      <c r="S1598" s="973" t="s">
        <v>1002</v>
      </c>
      <c r="T1598" s="423">
        <v>480</v>
      </c>
      <c r="U1598" s="423">
        <v>16</v>
      </c>
      <c r="V1598" s="423">
        <v>50</v>
      </c>
      <c r="W1598" s="423" t="s">
        <v>1041</v>
      </c>
      <c r="X1598" s="423">
        <v>12</v>
      </c>
      <c r="Y1598" s="423" t="s">
        <v>1041</v>
      </c>
      <c r="Z1598" s="423" t="s">
        <v>1058</v>
      </c>
      <c r="AD1598" s="423">
        <f>IF(ISNUMBER(MATCH(B1598,'FICHA SOLIC'!$AB$26:$AB$376,0)),1,0)</f>
        <v>1</v>
      </c>
      <c r="AE1598" s="423" t="str">
        <f t="shared" si="24"/>
        <v>Viña del MarE3-a</v>
      </c>
    </row>
    <row r="1599" spans="1:31" x14ac:dyDescent="0.25">
      <c r="A1599" s="423">
        <v>1598</v>
      </c>
      <c r="B1599" s="423" t="s">
        <v>153</v>
      </c>
      <c r="C1599" s="423" t="s">
        <v>2555</v>
      </c>
      <c r="D1599" s="973" t="s">
        <v>990</v>
      </c>
      <c r="E1599" s="973" t="s">
        <v>991</v>
      </c>
      <c r="F1599" s="973" t="s">
        <v>992</v>
      </c>
      <c r="G1599" s="973" t="s">
        <v>1997</v>
      </c>
      <c r="H1599" s="973" t="s">
        <v>1998</v>
      </c>
      <c r="I1599" s="973" t="s">
        <v>1999</v>
      </c>
      <c r="J1599" s="973" t="s">
        <v>697</v>
      </c>
      <c r="K1599" s="973" t="s">
        <v>995</v>
      </c>
      <c r="L1599" s="973" t="s">
        <v>996</v>
      </c>
      <c r="M1599" s="973" t="s">
        <v>2000</v>
      </c>
      <c r="N1599" s="973" t="s">
        <v>2001</v>
      </c>
      <c r="O1599" s="973" t="s">
        <v>1971</v>
      </c>
      <c r="P1599" s="973" t="s">
        <v>999</v>
      </c>
      <c r="Q1599" s="973" t="s">
        <v>1000</v>
      </c>
      <c r="R1599" s="973" t="s">
        <v>1001</v>
      </c>
      <c r="S1599" s="973" t="s">
        <v>1002</v>
      </c>
      <c r="T1599" s="423">
        <v>480</v>
      </c>
      <c r="U1599" s="423">
        <v>16</v>
      </c>
      <c r="V1599" s="423">
        <v>75</v>
      </c>
      <c r="W1599" s="423" t="s">
        <v>1041</v>
      </c>
      <c r="X1599" s="423">
        <v>12</v>
      </c>
      <c r="Y1599" s="423" t="s">
        <v>1041</v>
      </c>
      <c r="Z1599" s="423" t="s">
        <v>2553</v>
      </c>
      <c r="AD1599" s="423">
        <f>IF(ISNUMBER(MATCH(B1599,'FICHA SOLIC'!$AB$26:$AB$376,0)),1,0)</f>
        <v>1</v>
      </c>
      <c r="AE1599" s="423" t="str">
        <f t="shared" si="24"/>
        <v>Viña del MarE3-b</v>
      </c>
    </row>
    <row r="1600" spans="1:31" x14ac:dyDescent="0.25">
      <c r="A1600" s="423">
        <v>1599</v>
      </c>
      <c r="B1600" s="423" t="s">
        <v>153</v>
      </c>
      <c r="C1600" s="423" t="s">
        <v>1433</v>
      </c>
      <c r="D1600" s="973" t="s">
        <v>990</v>
      </c>
      <c r="E1600" s="973" t="s">
        <v>991</v>
      </c>
      <c r="F1600" s="973" t="s">
        <v>992</v>
      </c>
      <c r="G1600" s="973" t="s">
        <v>1997</v>
      </c>
      <c r="H1600" s="973" t="s">
        <v>1998</v>
      </c>
      <c r="I1600" s="973" t="s">
        <v>1999</v>
      </c>
      <c r="J1600" s="973" t="s">
        <v>697</v>
      </c>
      <c r="K1600" s="973" t="s">
        <v>995</v>
      </c>
      <c r="L1600" s="973" t="s">
        <v>996</v>
      </c>
      <c r="M1600" s="973" t="s">
        <v>2000</v>
      </c>
      <c r="N1600" s="973" t="s">
        <v>2001</v>
      </c>
      <c r="O1600" s="973" t="s">
        <v>1971</v>
      </c>
      <c r="P1600" s="973" t="s">
        <v>999</v>
      </c>
      <c r="Q1600" s="973" t="s">
        <v>1000</v>
      </c>
      <c r="R1600" s="973" t="s">
        <v>1001</v>
      </c>
      <c r="S1600" s="973" t="s">
        <v>1002</v>
      </c>
      <c r="T1600" s="423">
        <v>500</v>
      </c>
      <c r="U1600" s="423">
        <v>16</v>
      </c>
      <c r="V1600" s="423">
        <v>50</v>
      </c>
      <c r="W1600" s="423">
        <v>1</v>
      </c>
      <c r="X1600" s="423">
        <v>9</v>
      </c>
      <c r="Y1600" s="423" t="s">
        <v>1041</v>
      </c>
      <c r="Z1600" s="423" t="s">
        <v>1058</v>
      </c>
      <c r="AD1600" s="423">
        <f>IF(ISNUMBER(MATCH(B1600,'FICHA SOLIC'!$AB$26:$AB$376,0)),1,0)</f>
        <v>1</v>
      </c>
      <c r="AE1600" s="423" t="str">
        <f t="shared" si="24"/>
        <v>Viña del MarE4</v>
      </c>
    </row>
    <row r="1601" spans="1:31" x14ac:dyDescent="0.25">
      <c r="A1601" s="423">
        <v>1600</v>
      </c>
      <c r="B1601" s="423" t="s">
        <v>153</v>
      </c>
      <c r="C1601" s="423" t="s">
        <v>2556</v>
      </c>
      <c r="D1601" s="973" t="s">
        <v>990</v>
      </c>
      <c r="E1601" s="973" t="s">
        <v>991</v>
      </c>
      <c r="F1601" s="973" t="s">
        <v>992</v>
      </c>
      <c r="G1601" s="973" t="s">
        <v>1997</v>
      </c>
      <c r="H1601" s="973" t="s">
        <v>1998</v>
      </c>
      <c r="I1601" s="973" t="s">
        <v>1999</v>
      </c>
      <c r="J1601" s="973" t="s">
        <v>697</v>
      </c>
      <c r="K1601" s="973" t="s">
        <v>995</v>
      </c>
      <c r="L1601" s="973" t="s">
        <v>996</v>
      </c>
      <c r="M1601" s="973" t="s">
        <v>2000</v>
      </c>
      <c r="N1601" s="973" t="s">
        <v>2001</v>
      </c>
      <c r="O1601" s="973" t="s">
        <v>1971</v>
      </c>
      <c r="P1601" s="973" t="s">
        <v>999</v>
      </c>
      <c r="Q1601" s="973" t="s">
        <v>1000</v>
      </c>
      <c r="R1601" s="973" t="s">
        <v>1001</v>
      </c>
      <c r="S1601" s="973" t="s">
        <v>1002</v>
      </c>
      <c r="T1601" s="423">
        <v>240</v>
      </c>
      <c r="U1601" s="423">
        <v>12</v>
      </c>
      <c r="V1601" s="423">
        <v>75</v>
      </c>
      <c r="W1601" s="423" t="s">
        <v>1041</v>
      </c>
      <c r="X1601" s="423">
        <v>7</v>
      </c>
      <c r="Y1601" s="423" t="s">
        <v>1041</v>
      </c>
      <c r="Z1601" s="423" t="s">
        <v>2553</v>
      </c>
      <c r="AD1601" s="423">
        <f>IF(ISNUMBER(MATCH(B1601,'FICHA SOLIC'!$AB$26:$AB$376,0)),1,0)</f>
        <v>1</v>
      </c>
      <c r="AE1601" s="423" t="str">
        <f t="shared" si="24"/>
        <v>Viña del MarE5</v>
      </c>
    </row>
    <row r="1602" spans="1:31" x14ac:dyDescent="0.25">
      <c r="A1602" s="423">
        <v>1601</v>
      </c>
      <c r="B1602" s="423" t="s">
        <v>153</v>
      </c>
      <c r="C1602" s="423" t="s">
        <v>1183</v>
      </c>
      <c r="D1602" s="973" t="s">
        <v>990</v>
      </c>
      <c r="E1602" s="973" t="s">
        <v>991</v>
      </c>
      <c r="F1602" s="973" t="s">
        <v>992</v>
      </c>
      <c r="G1602" s="973" t="s">
        <v>1997</v>
      </c>
      <c r="H1602" s="973" t="s">
        <v>1998</v>
      </c>
      <c r="I1602" s="973" t="s">
        <v>1999</v>
      </c>
      <c r="J1602" s="973" t="s">
        <v>697</v>
      </c>
      <c r="K1602" s="973" t="s">
        <v>995</v>
      </c>
      <c r="L1602" s="973" t="s">
        <v>996</v>
      </c>
      <c r="M1602" s="973" t="s">
        <v>2000</v>
      </c>
      <c r="N1602" s="973" t="s">
        <v>2001</v>
      </c>
      <c r="O1602" s="973" t="s">
        <v>1971</v>
      </c>
      <c r="P1602" s="973" t="s">
        <v>999</v>
      </c>
      <c r="Q1602" s="973" t="s">
        <v>1000</v>
      </c>
      <c r="R1602" s="973" t="s">
        <v>1001</v>
      </c>
      <c r="S1602" s="973" t="s">
        <v>1002</v>
      </c>
      <c r="T1602" s="423">
        <v>400</v>
      </c>
      <c r="U1602" s="423">
        <v>16</v>
      </c>
      <c r="V1602" s="423">
        <v>75</v>
      </c>
      <c r="W1602" s="423" t="s">
        <v>1041</v>
      </c>
      <c r="X1602" s="423">
        <v>7</v>
      </c>
      <c r="Y1602" s="423" t="s">
        <v>1041</v>
      </c>
      <c r="Z1602" s="423" t="s">
        <v>2553</v>
      </c>
      <c r="AD1602" s="423">
        <f>IF(ISNUMBER(MATCH(B1602,'FICHA SOLIC'!$AB$26:$AB$376,0)),1,0)</f>
        <v>1</v>
      </c>
      <c r="AE1602" s="423" t="str">
        <f t="shared" si="24"/>
        <v>Viña del MarI</v>
      </c>
    </row>
    <row r="1603" spans="1:31" x14ac:dyDescent="0.25">
      <c r="A1603" s="423">
        <v>1602</v>
      </c>
      <c r="B1603" s="423" t="s">
        <v>153</v>
      </c>
      <c r="C1603" s="423" t="s">
        <v>2557</v>
      </c>
      <c r="D1603" s="973" t="s">
        <v>990</v>
      </c>
      <c r="E1603" s="973" t="s">
        <v>991</v>
      </c>
      <c r="F1603" s="973" t="s">
        <v>992</v>
      </c>
      <c r="G1603" s="973" t="s">
        <v>1997</v>
      </c>
      <c r="H1603" s="973" t="s">
        <v>1998</v>
      </c>
      <c r="I1603" s="973" t="s">
        <v>1999</v>
      </c>
      <c r="J1603" s="973" t="s">
        <v>697</v>
      </c>
      <c r="K1603" s="973" t="s">
        <v>995</v>
      </c>
      <c r="L1603" s="973" t="s">
        <v>996</v>
      </c>
      <c r="M1603" s="973" t="s">
        <v>2000</v>
      </c>
      <c r="N1603" s="973" t="s">
        <v>2001</v>
      </c>
      <c r="O1603" s="973" t="s">
        <v>1971</v>
      </c>
      <c r="P1603" s="973" t="s">
        <v>999</v>
      </c>
      <c r="Q1603" s="973" t="s">
        <v>1000</v>
      </c>
      <c r="R1603" s="973" t="s">
        <v>1001</v>
      </c>
      <c r="S1603" s="973" t="s">
        <v>1002</v>
      </c>
      <c r="T1603" s="423">
        <v>2000</v>
      </c>
      <c r="U1603" s="423">
        <v>35</v>
      </c>
      <c r="V1603" s="423">
        <v>30</v>
      </c>
      <c r="W1603" s="423">
        <v>2</v>
      </c>
      <c r="X1603" s="423">
        <v>7</v>
      </c>
      <c r="Y1603" s="423" t="s">
        <v>1041</v>
      </c>
      <c r="Z1603" s="423" t="s">
        <v>1058</v>
      </c>
      <c r="AD1603" s="423">
        <f>IF(ISNUMBER(MATCH(B1603,'FICHA SOLIC'!$AB$26:$AB$376,0)),1,0)</f>
        <v>1</v>
      </c>
      <c r="AE1603" s="423" t="str">
        <f t="shared" ref="AE1603:AE1666" si="25">B1603&amp;C1603</f>
        <v>Viña del MarV3</v>
      </c>
    </row>
    <row r="1604" spans="1:31" x14ac:dyDescent="0.25">
      <c r="A1604" s="423">
        <v>1603</v>
      </c>
      <c r="B1604" s="423" t="s">
        <v>153</v>
      </c>
      <c r="C1604" s="423" t="s">
        <v>2558</v>
      </c>
      <c r="D1604" s="973" t="s">
        <v>990</v>
      </c>
      <c r="E1604" s="973" t="s">
        <v>991</v>
      </c>
      <c r="F1604" s="973" t="s">
        <v>992</v>
      </c>
      <c r="G1604" s="973" t="s">
        <v>1997</v>
      </c>
      <c r="H1604" s="973" t="s">
        <v>1998</v>
      </c>
      <c r="I1604" s="973" t="s">
        <v>1999</v>
      </c>
      <c r="J1604" s="973" t="s">
        <v>697</v>
      </c>
      <c r="K1604" s="973" t="s">
        <v>995</v>
      </c>
      <c r="L1604" s="973" t="s">
        <v>996</v>
      </c>
      <c r="M1604" s="973" t="s">
        <v>2000</v>
      </c>
      <c r="N1604" s="973" t="s">
        <v>2001</v>
      </c>
      <c r="O1604" s="973" t="s">
        <v>1971</v>
      </c>
      <c r="P1604" s="973" t="s">
        <v>999</v>
      </c>
      <c r="Q1604" s="973" t="s">
        <v>1000</v>
      </c>
      <c r="R1604" s="973" t="s">
        <v>1001</v>
      </c>
      <c r="S1604" s="973" t="s">
        <v>1002</v>
      </c>
      <c r="T1604" s="423">
        <v>450</v>
      </c>
      <c r="U1604" s="423">
        <v>15</v>
      </c>
      <c r="V1604" s="423">
        <v>50</v>
      </c>
      <c r="W1604" s="423">
        <v>1</v>
      </c>
      <c r="X1604" s="423">
        <v>9</v>
      </c>
      <c r="Y1604" s="423" t="s">
        <v>1041</v>
      </c>
      <c r="Z1604" s="423" t="s">
        <v>1057</v>
      </c>
      <c r="AD1604" s="423">
        <f>IF(ISNUMBER(MATCH(B1604,'FICHA SOLIC'!$AB$26:$AB$376,0)),1,0)</f>
        <v>1</v>
      </c>
      <c r="AE1604" s="423" t="str">
        <f t="shared" si="25"/>
        <v>Viña del MarV4</v>
      </c>
    </row>
    <row r="1605" spans="1:31" x14ac:dyDescent="0.25">
      <c r="A1605" s="423">
        <v>1604</v>
      </c>
      <c r="B1605" s="423" t="s">
        <v>153</v>
      </c>
      <c r="C1605" s="423" t="s">
        <v>2559</v>
      </c>
      <c r="D1605" s="973" t="s">
        <v>990</v>
      </c>
      <c r="E1605" s="973" t="s">
        <v>991</v>
      </c>
      <c r="F1605" s="973" t="s">
        <v>992</v>
      </c>
      <c r="G1605" s="973" t="s">
        <v>1997</v>
      </c>
      <c r="H1605" s="973" t="s">
        <v>1998</v>
      </c>
      <c r="I1605" s="973" t="s">
        <v>1999</v>
      </c>
      <c r="J1605" s="973" t="s">
        <v>697</v>
      </c>
      <c r="K1605" s="973" t="s">
        <v>995</v>
      </c>
      <c r="L1605" s="973" t="s">
        <v>996</v>
      </c>
      <c r="M1605" s="973" t="s">
        <v>2000</v>
      </c>
      <c r="N1605" s="973" t="s">
        <v>2001</v>
      </c>
      <c r="O1605" s="973" t="s">
        <v>1971</v>
      </c>
      <c r="P1605" s="973" t="s">
        <v>999</v>
      </c>
      <c r="Q1605" s="973" t="s">
        <v>1000</v>
      </c>
      <c r="R1605" s="973" t="s">
        <v>1001</v>
      </c>
      <c r="S1605" s="973" t="s">
        <v>1002</v>
      </c>
      <c r="T1605" s="423">
        <v>480</v>
      </c>
      <c r="U1605" s="423">
        <v>16</v>
      </c>
      <c r="V1605" s="423">
        <v>50</v>
      </c>
      <c r="W1605" s="423">
        <v>1</v>
      </c>
      <c r="X1605" s="423">
        <v>12</v>
      </c>
      <c r="Y1605" s="423" t="s">
        <v>1041</v>
      </c>
      <c r="Z1605" s="423" t="s">
        <v>1057</v>
      </c>
      <c r="AD1605" s="423">
        <f>IF(ISNUMBER(MATCH(B1605,'FICHA SOLIC'!$AB$26:$AB$376,0)),1,0)</f>
        <v>1</v>
      </c>
      <c r="AE1605" s="423" t="str">
        <f t="shared" si="25"/>
        <v>Viña del MarV5</v>
      </c>
    </row>
    <row r="1606" spans="1:31" x14ac:dyDescent="0.25">
      <c r="A1606" s="423">
        <v>1605</v>
      </c>
      <c r="B1606" s="423" t="s">
        <v>153</v>
      </c>
      <c r="C1606" s="423" t="s">
        <v>2199</v>
      </c>
      <c r="D1606" s="973" t="s">
        <v>990</v>
      </c>
      <c r="E1606" s="973" t="s">
        <v>991</v>
      </c>
      <c r="F1606" s="973" t="s">
        <v>992</v>
      </c>
      <c r="G1606" s="973" t="s">
        <v>1997</v>
      </c>
      <c r="H1606" s="973" t="s">
        <v>1998</v>
      </c>
      <c r="I1606" s="973" t="s">
        <v>1999</v>
      </c>
      <c r="J1606" s="973" t="s">
        <v>697</v>
      </c>
      <c r="K1606" s="973" t="s">
        <v>995</v>
      </c>
      <c r="L1606" s="973" t="s">
        <v>996</v>
      </c>
      <c r="M1606" s="973" t="s">
        <v>2000</v>
      </c>
      <c r="N1606" s="973" t="s">
        <v>2001</v>
      </c>
      <c r="O1606" s="973" t="s">
        <v>1971</v>
      </c>
      <c r="P1606" s="973" t="s">
        <v>999</v>
      </c>
      <c r="Q1606" s="973" t="s">
        <v>1000</v>
      </c>
      <c r="R1606" s="973" t="s">
        <v>1001</v>
      </c>
      <c r="S1606" s="973" t="s">
        <v>1002</v>
      </c>
      <c r="T1606" s="423" t="s">
        <v>1041</v>
      </c>
      <c r="U1606" s="423" t="s">
        <v>1041</v>
      </c>
      <c r="V1606" s="423" t="s">
        <v>1041</v>
      </c>
      <c r="W1606" s="423" t="s">
        <v>1041</v>
      </c>
      <c r="X1606" s="423" t="s">
        <v>1041</v>
      </c>
      <c r="Y1606" s="423" t="s">
        <v>1041</v>
      </c>
      <c r="Z1606" s="423" t="s">
        <v>1041</v>
      </c>
      <c r="AD1606" s="423">
        <f>IF(ISNUMBER(MATCH(B1606,'FICHA SOLIC'!$AB$26:$AB$376,0)),1,0)</f>
        <v>1</v>
      </c>
      <c r="AE1606" s="423" t="str">
        <f t="shared" si="25"/>
        <v>Viña del MarV6</v>
      </c>
    </row>
    <row r="1607" spans="1:31" x14ac:dyDescent="0.25">
      <c r="A1607" s="423">
        <v>1606</v>
      </c>
      <c r="B1607" s="423" t="s">
        <v>153</v>
      </c>
      <c r="C1607" s="423" t="s">
        <v>2560</v>
      </c>
      <c r="D1607" s="973" t="s">
        <v>990</v>
      </c>
      <c r="E1607" s="973" t="s">
        <v>991</v>
      </c>
      <c r="F1607" s="973" t="s">
        <v>992</v>
      </c>
      <c r="G1607" s="973" t="s">
        <v>1997</v>
      </c>
      <c r="H1607" s="973" t="s">
        <v>1998</v>
      </c>
      <c r="I1607" s="973" t="s">
        <v>1999</v>
      </c>
      <c r="J1607" s="973" t="s">
        <v>697</v>
      </c>
      <c r="K1607" s="973" t="s">
        <v>995</v>
      </c>
      <c r="L1607" s="973" t="s">
        <v>996</v>
      </c>
      <c r="M1607" s="973" t="s">
        <v>2000</v>
      </c>
      <c r="N1607" s="973" t="s">
        <v>2001</v>
      </c>
      <c r="O1607" s="973" t="s">
        <v>1971</v>
      </c>
      <c r="P1607" s="973" t="s">
        <v>999</v>
      </c>
      <c r="Q1607" s="973" t="s">
        <v>1000</v>
      </c>
      <c r="R1607" s="973" t="s">
        <v>1001</v>
      </c>
      <c r="S1607" s="973" t="s">
        <v>1002</v>
      </c>
      <c r="T1607" s="423">
        <v>500</v>
      </c>
      <c r="U1607" s="423">
        <v>16</v>
      </c>
      <c r="V1607" s="423">
        <v>50</v>
      </c>
      <c r="W1607" s="423" t="s">
        <v>1041</v>
      </c>
      <c r="X1607" s="423">
        <v>9</v>
      </c>
      <c r="Y1607" s="423" t="s">
        <v>1041</v>
      </c>
      <c r="Z1607" s="423" t="s">
        <v>1058</v>
      </c>
      <c r="AD1607" s="423">
        <f>IF(ISNUMBER(MATCH(B1607,'FICHA SOLIC'!$AB$26:$AB$376,0)),1,0)</f>
        <v>1</v>
      </c>
      <c r="AE1607" s="423" t="str">
        <f t="shared" si="25"/>
        <v>Viña del MarV6-a</v>
      </c>
    </row>
    <row r="1608" spans="1:31" x14ac:dyDescent="0.25">
      <c r="A1608" s="423">
        <v>1607</v>
      </c>
      <c r="B1608" s="423" t="s">
        <v>153</v>
      </c>
      <c r="C1608" s="423" t="s">
        <v>2561</v>
      </c>
      <c r="D1608" s="973" t="s">
        <v>990</v>
      </c>
      <c r="E1608" s="973" t="s">
        <v>991</v>
      </c>
      <c r="F1608" s="973" t="s">
        <v>992</v>
      </c>
      <c r="G1608" s="973" t="s">
        <v>1997</v>
      </c>
      <c r="H1608" s="973" t="s">
        <v>1998</v>
      </c>
      <c r="I1608" s="973" t="s">
        <v>1999</v>
      </c>
      <c r="J1608" s="973" t="s">
        <v>697</v>
      </c>
      <c r="K1608" s="973" t="s">
        <v>995</v>
      </c>
      <c r="L1608" s="973" t="s">
        <v>996</v>
      </c>
      <c r="M1608" s="973" t="s">
        <v>2000</v>
      </c>
      <c r="N1608" s="973" t="s">
        <v>2001</v>
      </c>
      <c r="O1608" s="973" t="s">
        <v>1971</v>
      </c>
      <c r="P1608" s="973" t="s">
        <v>999</v>
      </c>
      <c r="Q1608" s="973" t="s">
        <v>1000</v>
      </c>
      <c r="R1608" s="973" t="s">
        <v>1001</v>
      </c>
      <c r="S1608" s="973" t="s">
        <v>1002</v>
      </c>
      <c r="T1608" s="423">
        <v>500</v>
      </c>
      <c r="U1608" s="423">
        <v>16</v>
      </c>
      <c r="V1608" s="423">
        <v>50</v>
      </c>
      <c r="W1608" s="423" t="s">
        <v>1041</v>
      </c>
      <c r="X1608" s="423" t="s">
        <v>1041</v>
      </c>
      <c r="Y1608" s="423" t="s">
        <v>1041</v>
      </c>
      <c r="Z1608" s="423" t="s">
        <v>1057</v>
      </c>
      <c r="AD1608" s="423">
        <f>IF(ISNUMBER(MATCH(B1608,'FICHA SOLIC'!$AB$26:$AB$376,0)),1,0)</f>
        <v>1</v>
      </c>
      <c r="AE1608" s="423" t="str">
        <f t="shared" si="25"/>
        <v>Viña del MarV6-b</v>
      </c>
    </row>
    <row r="1609" spans="1:31" x14ac:dyDescent="0.25">
      <c r="A1609" s="423">
        <v>1608</v>
      </c>
      <c r="B1609" s="423" t="s">
        <v>153</v>
      </c>
      <c r="C1609" s="423" t="s">
        <v>2200</v>
      </c>
      <c r="D1609" s="973" t="s">
        <v>990</v>
      </c>
      <c r="E1609" s="973" t="s">
        <v>991</v>
      </c>
      <c r="F1609" s="973" t="s">
        <v>992</v>
      </c>
      <c r="G1609" s="973" t="s">
        <v>1997</v>
      </c>
      <c r="H1609" s="973" t="s">
        <v>1998</v>
      </c>
      <c r="I1609" s="973" t="s">
        <v>1999</v>
      </c>
      <c r="J1609" s="973" t="s">
        <v>697</v>
      </c>
      <c r="K1609" s="973" t="s">
        <v>995</v>
      </c>
      <c r="L1609" s="973" t="s">
        <v>996</v>
      </c>
      <c r="M1609" s="973" t="s">
        <v>2000</v>
      </c>
      <c r="N1609" s="973" t="s">
        <v>2001</v>
      </c>
      <c r="O1609" s="973" t="s">
        <v>1971</v>
      </c>
      <c r="P1609" s="973" t="s">
        <v>999</v>
      </c>
      <c r="Q1609" s="973" t="s">
        <v>1000</v>
      </c>
      <c r="R1609" s="973" t="s">
        <v>1001</v>
      </c>
      <c r="S1609" s="973" t="s">
        <v>1002</v>
      </c>
      <c r="T1609" s="423">
        <v>240</v>
      </c>
      <c r="U1609" s="423">
        <v>12</v>
      </c>
      <c r="V1609" s="423">
        <v>60</v>
      </c>
      <c r="W1609" s="423" t="s">
        <v>1041</v>
      </c>
      <c r="X1609" s="423" t="s">
        <v>1041</v>
      </c>
      <c r="Y1609" s="423" t="s">
        <v>1041</v>
      </c>
      <c r="Z1609" s="423" t="s">
        <v>1057</v>
      </c>
      <c r="AD1609" s="423">
        <f>IF(ISNUMBER(MATCH(B1609,'FICHA SOLIC'!$AB$26:$AB$376,0)),1,0)</f>
        <v>1</v>
      </c>
      <c r="AE1609" s="423" t="str">
        <f t="shared" si="25"/>
        <v>Viña del MarV7</v>
      </c>
    </row>
    <row r="1610" spans="1:31" x14ac:dyDescent="0.25">
      <c r="A1610" s="423">
        <v>1609</v>
      </c>
      <c r="B1610" s="423" t="s">
        <v>434</v>
      </c>
      <c r="C1610" s="423" t="s">
        <v>1082</v>
      </c>
      <c r="D1610" s="425" t="s">
        <v>990</v>
      </c>
      <c r="E1610" s="425" t="s">
        <v>991</v>
      </c>
      <c r="F1610" s="425" t="s">
        <v>992</v>
      </c>
      <c r="G1610" s="425" t="s">
        <v>993</v>
      </c>
      <c r="H1610" s="426" t="s">
        <v>489</v>
      </c>
      <c r="I1610" s="425" t="s">
        <v>994</v>
      </c>
      <c r="J1610" s="425" t="s">
        <v>697</v>
      </c>
      <c r="K1610" s="425" t="s">
        <v>995</v>
      </c>
      <c r="L1610" s="425" t="s">
        <v>996</v>
      </c>
      <c r="M1610" s="425" t="s">
        <v>997</v>
      </c>
      <c r="N1610" s="425" t="s">
        <v>558</v>
      </c>
      <c r="O1610" s="425" t="s">
        <v>998</v>
      </c>
      <c r="P1610" s="425" t="s">
        <v>999</v>
      </c>
      <c r="Q1610" s="425" t="s">
        <v>1000</v>
      </c>
      <c r="R1610" s="425" t="s">
        <v>1001</v>
      </c>
      <c r="S1610" s="425" t="s">
        <v>1002</v>
      </c>
      <c r="T1610" s="423" t="s">
        <v>1025</v>
      </c>
      <c r="U1610" s="423" t="s">
        <v>1041</v>
      </c>
      <c r="V1610" s="423">
        <v>40</v>
      </c>
      <c r="W1610" s="423">
        <v>0.8</v>
      </c>
      <c r="X1610" s="423">
        <v>8.5</v>
      </c>
      <c r="Z1610" s="423" t="s">
        <v>1004</v>
      </c>
      <c r="AD1610" s="423">
        <f>IF(ISNUMBER(MATCH(B1610,'FICHA SOLIC'!$AB$26:$AB$376,0)),1,0)</f>
        <v>1</v>
      </c>
      <c r="AE1610" s="423" t="str">
        <f t="shared" si="25"/>
        <v>VitacuraE-Aa1</v>
      </c>
    </row>
    <row r="1611" spans="1:31" x14ac:dyDescent="0.25">
      <c r="A1611" s="423">
        <v>1610</v>
      </c>
      <c r="B1611" s="423" t="s">
        <v>434</v>
      </c>
      <c r="C1611" s="423" t="s">
        <v>1013</v>
      </c>
      <c r="D1611" s="425" t="s">
        <v>990</v>
      </c>
      <c r="E1611" s="425" t="s">
        <v>991</v>
      </c>
      <c r="F1611" s="425" t="s">
        <v>992</v>
      </c>
      <c r="G1611" s="425" t="s">
        <v>993</v>
      </c>
      <c r="H1611" s="426" t="s">
        <v>489</v>
      </c>
      <c r="I1611" s="425" t="s">
        <v>994</v>
      </c>
      <c r="J1611" s="425" t="s">
        <v>697</v>
      </c>
      <c r="K1611" s="425" t="s">
        <v>995</v>
      </c>
      <c r="L1611" s="425" t="s">
        <v>996</v>
      </c>
      <c r="M1611" s="425" t="s">
        <v>997</v>
      </c>
      <c r="N1611" s="425" t="s">
        <v>558</v>
      </c>
      <c r="O1611" s="425" t="s">
        <v>998</v>
      </c>
      <c r="P1611" s="425" t="s">
        <v>999</v>
      </c>
      <c r="Q1611" s="425" t="s">
        <v>1000</v>
      </c>
      <c r="R1611" s="425" t="s">
        <v>1001</v>
      </c>
      <c r="S1611" s="425" t="s">
        <v>1002</v>
      </c>
      <c r="T1611" s="423" t="s">
        <v>1025</v>
      </c>
      <c r="U1611" s="423" t="s">
        <v>1041</v>
      </c>
      <c r="V1611" s="423">
        <v>40</v>
      </c>
      <c r="W1611" s="423">
        <v>1.6</v>
      </c>
      <c r="X1611" s="423">
        <v>10.5</v>
      </c>
      <c r="Z1611" s="423" t="s">
        <v>1004</v>
      </c>
      <c r="AD1611" s="423">
        <f>IF(ISNUMBER(MATCH(B1611,'FICHA SOLIC'!$AB$26:$AB$376,0)),1,0)</f>
        <v>1</v>
      </c>
      <c r="AE1611" s="423" t="str">
        <f t="shared" si="25"/>
        <v>VitacuraE-Aa2</v>
      </c>
    </row>
    <row r="1612" spans="1:31" x14ac:dyDescent="0.25">
      <c r="A1612" s="423">
        <v>1611</v>
      </c>
      <c r="B1612" s="423" t="s">
        <v>434</v>
      </c>
      <c r="C1612" s="423" t="s">
        <v>989</v>
      </c>
      <c r="D1612" s="425" t="s">
        <v>990</v>
      </c>
      <c r="E1612" s="425" t="s">
        <v>991</v>
      </c>
      <c r="F1612" s="425" t="s">
        <v>992</v>
      </c>
      <c r="G1612" s="425" t="s">
        <v>993</v>
      </c>
      <c r="H1612" s="426" t="s">
        <v>489</v>
      </c>
      <c r="I1612" s="425" t="s">
        <v>994</v>
      </c>
      <c r="J1612" s="425" t="s">
        <v>697</v>
      </c>
      <c r="K1612" s="425" t="s">
        <v>995</v>
      </c>
      <c r="L1612" s="425" t="s">
        <v>996</v>
      </c>
      <c r="M1612" s="425" t="s">
        <v>997</v>
      </c>
      <c r="N1612" s="425" t="s">
        <v>558</v>
      </c>
      <c r="O1612" s="425" t="s">
        <v>998</v>
      </c>
      <c r="P1612" s="425" t="s">
        <v>999</v>
      </c>
      <c r="Q1612" s="425" t="s">
        <v>1000</v>
      </c>
      <c r="R1612" s="425" t="s">
        <v>1001</v>
      </c>
      <c r="S1612" s="425" t="s">
        <v>1002</v>
      </c>
      <c r="T1612" s="423">
        <v>4000</v>
      </c>
      <c r="U1612" s="423" t="s">
        <v>1041</v>
      </c>
      <c r="V1612" s="423">
        <v>20</v>
      </c>
      <c r="W1612" s="423">
        <v>0.4</v>
      </c>
      <c r="X1612" s="423">
        <v>8.5</v>
      </c>
      <c r="Z1612" s="423" t="s">
        <v>1004</v>
      </c>
      <c r="AD1612" s="423">
        <f>IF(ISNUMBER(MATCH(B1612,'FICHA SOLIC'!$AB$26:$AB$376,0)),1,0)</f>
        <v>1</v>
      </c>
      <c r="AE1612" s="423" t="str">
        <f t="shared" si="25"/>
        <v>VitacuraE-Ab1</v>
      </c>
    </row>
    <row r="1613" spans="1:31" x14ac:dyDescent="0.25">
      <c r="A1613" s="423">
        <v>1612</v>
      </c>
      <c r="B1613" s="423" t="s">
        <v>434</v>
      </c>
      <c r="C1613" s="423" t="s">
        <v>1006</v>
      </c>
      <c r="D1613" s="425" t="s">
        <v>990</v>
      </c>
      <c r="E1613" s="425" t="s">
        <v>991</v>
      </c>
      <c r="F1613" s="425" t="s">
        <v>992</v>
      </c>
      <c r="G1613" s="425" t="s">
        <v>993</v>
      </c>
      <c r="H1613" s="426" t="s">
        <v>489</v>
      </c>
      <c r="I1613" s="425" t="s">
        <v>994</v>
      </c>
      <c r="J1613" s="425" t="s">
        <v>697</v>
      </c>
      <c r="K1613" s="425" t="s">
        <v>995</v>
      </c>
      <c r="L1613" s="425" t="s">
        <v>996</v>
      </c>
      <c r="M1613" s="425" t="s">
        <v>997</v>
      </c>
      <c r="N1613" s="425" t="s">
        <v>558</v>
      </c>
      <c r="O1613" s="425" t="s">
        <v>998</v>
      </c>
      <c r="P1613" s="425" t="s">
        <v>999</v>
      </c>
      <c r="Q1613" s="425" t="s">
        <v>1000</v>
      </c>
      <c r="R1613" s="425" t="s">
        <v>1001</v>
      </c>
      <c r="S1613" s="425" t="s">
        <v>1002</v>
      </c>
      <c r="T1613" s="423">
        <v>1000</v>
      </c>
      <c r="U1613" s="423" t="s">
        <v>1041</v>
      </c>
      <c r="V1613" s="423">
        <v>30</v>
      </c>
      <c r="W1613" s="423">
        <v>0.5</v>
      </c>
      <c r="X1613" s="423">
        <v>8.5</v>
      </c>
      <c r="Z1613" s="423" t="s">
        <v>1004</v>
      </c>
      <c r="AD1613" s="423">
        <f>IF(ISNUMBER(MATCH(B1613,'FICHA SOLIC'!$AB$26:$AB$376,0)),1,0)</f>
        <v>1</v>
      </c>
      <c r="AE1613" s="423" t="str">
        <f t="shared" si="25"/>
        <v>VitacuraE-Ab2</v>
      </c>
    </row>
    <row r="1614" spans="1:31" x14ac:dyDescent="0.25">
      <c r="A1614" s="423">
        <v>1613</v>
      </c>
      <c r="B1614" s="423" t="s">
        <v>434</v>
      </c>
      <c r="C1614" s="423" t="s">
        <v>1007</v>
      </c>
      <c r="D1614" s="425" t="s">
        <v>990</v>
      </c>
      <c r="E1614" s="425" t="s">
        <v>991</v>
      </c>
      <c r="F1614" s="425" t="s">
        <v>992</v>
      </c>
      <c r="G1614" s="425" t="s">
        <v>993</v>
      </c>
      <c r="H1614" s="426" t="s">
        <v>489</v>
      </c>
      <c r="I1614" s="425" t="s">
        <v>994</v>
      </c>
      <c r="J1614" s="425" t="s">
        <v>697</v>
      </c>
      <c r="K1614" s="425" t="s">
        <v>995</v>
      </c>
      <c r="L1614" s="425" t="s">
        <v>996</v>
      </c>
      <c r="M1614" s="425" t="s">
        <v>997</v>
      </c>
      <c r="N1614" s="425" t="s">
        <v>558</v>
      </c>
      <c r="O1614" s="425" t="s">
        <v>998</v>
      </c>
      <c r="P1614" s="425" t="s">
        <v>999</v>
      </c>
      <c r="Q1614" s="425" t="s">
        <v>1000</v>
      </c>
      <c r="R1614" s="425" t="s">
        <v>1001</v>
      </c>
      <c r="S1614" s="425" t="s">
        <v>1002</v>
      </c>
      <c r="T1614" s="423">
        <v>500</v>
      </c>
      <c r="U1614" s="423" t="s">
        <v>1041</v>
      </c>
      <c r="V1614" s="423">
        <v>40</v>
      </c>
      <c r="W1614" s="423">
        <v>0.8</v>
      </c>
      <c r="X1614" s="423">
        <v>8.5</v>
      </c>
      <c r="Z1614" s="423" t="s">
        <v>1004</v>
      </c>
      <c r="AD1614" s="423">
        <f>IF(ISNUMBER(MATCH(B1614,'FICHA SOLIC'!$AB$26:$AB$376,0)),1,0)</f>
        <v>1</v>
      </c>
      <c r="AE1614" s="423" t="str">
        <f t="shared" si="25"/>
        <v>VitacuraE-Ab3</v>
      </c>
    </row>
    <row r="1615" spans="1:31" x14ac:dyDescent="0.25">
      <c r="A1615" s="423">
        <v>1614</v>
      </c>
      <c r="B1615" s="423" t="s">
        <v>434</v>
      </c>
      <c r="C1615" s="423" t="s">
        <v>1024</v>
      </c>
      <c r="D1615" s="425" t="s">
        <v>990</v>
      </c>
      <c r="E1615" s="425" t="s">
        <v>991</v>
      </c>
      <c r="F1615" s="425" t="s">
        <v>992</v>
      </c>
      <c r="G1615" s="425" t="s">
        <v>993</v>
      </c>
      <c r="H1615" s="426" t="s">
        <v>489</v>
      </c>
      <c r="I1615" s="425" t="s">
        <v>994</v>
      </c>
      <c r="J1615" s="425" t="s">
        <v>697</v>
      </c>
      <c r="K1615" s="425" t="s">
        <v>995</v>
      </c>
      <c r="L1615" s="425" t="s">
        <v>996</v>
      </c>
      <c r="M1615" s="425" t="s">
        <v>997</v>
      </c>
      <c r="N1615" s="425" t="s">
        <v>558</v>
      </c>
      <c r="O1615" s="425" t="s">
        <v>998</v>
      </c>
      <c r="P1615" s="425" t="s">
        <v>999</v>
      </c>
      <c r="Q1615" s="425" t="s">
        <v>1000</v>
      </c>
      <c r="R1615" s="425" t="s">
        <v>1001</v>
      </c>
      <c r="S1615" s="425" t="s">
        <v>1002</v>
      </c>
      <c r="T1615" s="423">
        <v>250</v>
      </c>
      <c r="U1615" s="423" t="s">
        <v>1041</v>
      </c>
      <c r="V1615" s="423">
        <v>40</v>
      </c>
      <c r="W1615" s="423">
        <v>0.8</v>
      </c>
      <c r="X1615" s="423">
        <v>8.5</v>
      </c>
      <c r="Z1615" s="423" t="s">
        <v>1004</v>
      </c>
      <c r="AD1615" s="423">
        <f>IF(ISNUMBER(MATCH(B1615,'FICHA SOLIC'!$AB$26:$AB$376,0)),1,0)</f>
        <v>1</v>
      </c>
      <c r="AE1615" s="423" t="str">
        <f t="shared" si="25"/>
        <v>VitacuraE-Ab4</v>
      </c>
    </row>
    <row r="1616" spans="1:31" x14ac:dyDescent="0.25">
      <c r="A1616" s="423">
        <v>1615</v>
      </c>
      <c r="B1616" s="423" t="s">
        <v>434</v>
      </c>
      <c r="C1616" s="423" t="s">
        <v>1083</v>
      </c>
      <c r="D1616" s="425" t="s">
        <v>990</v>
      </c>
      <c r="E1616" s="425" t="s">
        <v>991</v>
      </c>
      <c r="F1616" s="425" t="s">
        <v>992</v>
      </c>
      <c r="G1616" s="425" t="s">
        <v>993</v>
      </c>
      <c r="H1616" s="426" t="s">
        <v>489</v>
      </c>
      <c r="I1616" s="425" t="s">
        <v>994</v>
      </c>
      <c r="J1616" s="425" t="s">
        <v>697</v>
      </c>
      <c r="K1616" s="425" t="s">
        <v>995</v>
      </c>
      <c r="L1616" s="425" t="s">
        <v>996</v>
      </c>
      <c r="M1616" s="425" t="s">
        <v>997</v>
      </c>
      <c r="N1616" s="425" t="s">
        <v>558</v>
      </c>
      <c r="O1616" s="425" t="s">
        <v>998</v>
      </c>
      <c r="P1616" s="425" t="s">
        <v>999</v>
      </c>
      <c r="Q1616" s="425" t="s">
        <v>1000</v>
      </c>
      <c r="R1616" s="425" t="s">
        <v>1001</v>
      </c>
      <c r="S1616" s="425" t="s">
        <v>1002</v>
      </c>
      <c r="T1616" s="423">
        <v>2000</v>
      </c>
      <c r="U1616" s="423" t="s">
        <v>1041</v>
      </c>
      <c r="V1616" s="423">
        <v>0.2</v>
      </c>
      <c r="W1616" s="423">
        <v>0.6</v>
      </c>
      <c r="X1616" s="423" t="s">
        <v>2562</v>
      </c>
      <c r="Y1616" s="423">
        <v>10</v>
      </c>
      <c r="Z1616" s="423" t="s">
        <v>1004</v>
      </c>
      <c r="AD1616" s="423">
        <f>IF(ISNUMBER(MATCH(B1616,'FICHA SOLIC'!$AB$26:$AB$376,0)),1,0)</f>
        <v>1</v>
      </c>
      <c r="AE1616" s="423" t="str">
        <f t="shared" si="25"/>
        <v>VitacuraE-Ae1</v>
      </c>
    </row>
    <row r="1617" spans="1:31" x14ac:dyDescent="0.25">
      <c r="A1617" s="423">
        <v>1616</v>
      </c>
      <c r="B1617" s="423" t="s">
        <v>434</v>
      </c>
      <c r="C1617" s="423" t="s">
        <v>2563</v>
      </c>
      <c r="D1617" s="425" t="s">
        <v>990</v>
      </c>
      <c r="E1617" s="425" t="s">
        <v>991</v>
      </c>
      <c r="F1617" s="425" t="s">
        <v>992</v>
      </c>
      <c r="G1617" s="425" t="s">
        <v>993</v>
      </c>
      <c r="H1617" s="426" t="s">
        <v>489</v>
      </c>
      <c r="I1617" s="425" t="s">
        <v>994</v>
      </c>
      <c r="J1617" s="425" t="s">
        <v>697</v>
      </c>
      <c r="K1617" s="425" t="s">
        <v>995</v>
      </c>
      <c r="L1617" s="425" t="s">
        <v>996</v>
      </c>
      <c r="M1617" s="425" t="s">
        <v>997</v>
      </c>
      <c r="N1617" s="425" t="s">
        <v>558</v>
      </c>
      <c r="O1617" s="425" t="s">
        <v>998</v>
      </c>
      <c r="P1617" s="425" t="s">
        <v>999</v>
      </c>
      <c r="Q1617" s="425" t="s">
        <v>1000</v>
      </c>
      <c r="R1617" s="425" t="s">
        <v>1001</v>
      </c>
      <c r="S1617" s="425" t="s">
        <v>1002</v>
      </c>
      <c r="T1617" s="423">
        <v>2000</v>
      </c>
      <c r="U1617" s="423" t="s">
        <v>1041</v>
      </c>
      <c r="V1617" s="423">
        <v>0.2</v>
      </c>
      <c r="W1617" s="423">
        <v>0.8</v>
      </c>
      <c r="X1617" s="423" t="s">
        <v>2119</v>
      </c>
      <c r="Y1617" s="423">
        <v>10</v>
      </c>
      <c r="Z1617" s="423" t="s">
        <v>1004</v>
      </c>
      <c r="AD1617" s="423">
        <f>IF(ISNUMBER(MATCH(B1617,'FICHA SOLIC'!$AB$26:$AB$376,0)),1,0)</f>
        <v>1</v>
      </c>
      <c r="AE1617" s="423" t="str">
        <f t="shared" si="25"/>
        <v>VitacuraE-Ae10</v>
      </c>
    </row>
    <row r="1618" spans="1:31" x14ac:dyDescent="0.25">
      <c r="A1618" s="423">
        <v>1617</v>
      </c>
      <c r="B1618" s="423" t="s">
        <v>434</v>
      </c>
      <c r="C1618" s="423" t="s">
        <v>1084</v>
      </c>
      <c r="D1618" s="425" t="s">
        <v>990</v>
      </c>
      <c r="E1618" s="425" t="s">
        <v>991</v>
      </c>
      <c r="F1618" s="425" t="s">
        <v>992</v>
      </c>
      <c r="G1618" s="425" t="s">
        <v>993</v>
      </c>
      <c r="H1618" s="426" t="s">
        <v>489</v>
      </c>
      <c r="I1618" s="425" t="s">
        <v>994</v>
      </c>
      <c r="J1618" s="425" t="s">
        <v>697</v>
      </c>
      <c r="K1618" s="425" t="s">
        <v>995</v>
      </c>
      <c r="L1618" s="425" t="s">
        <v>996</v>
      </c>
      <c r="M1618" s="425" t="s">
        <v>997</v>
      </c>
      <c r="N1618" s="425" t="s">
        <v>558</v>
      </c>
      <c r="O1618" s="425" t="s">
        <v>998</v>
      </c>
      <c r="P1618" s="425" t="s">
        <v>999</v>
      </c>
      <c r="Q1618" s="425" t="s">
        <v>1000</v>
      </c>
      <c r="R1618" s="425" t="s">
        <v>1001</v>
      </c>
      <c r="S1618" s="425" t="s">
        <v>1002</v>
      </c>
      <c r="T1618" s="423">
        <v>800</v>
      </c>
      <c r="U1618" s="423" t="s">
        <v>1041</v>
      </c>
      <c r="V1618" s="423">
        <v>0.35</v>
      </c>
      <c r="W1618" s="423">
        <v>1.6</v>
      </c>
      <c r="X1618" s="423" t="s">
        <v>1438</v>
      </c>
      <c r="Y1618" s="423">
        <v>4</v>
      </c>
      <c r="Z1618" s="423" t="s">
        <v>1004</v>
      </c>
      <c r="AD1618" s="423">
        <f>IF(ISNUMBER(MATCH(B1618,'FICHA SOLIC'!$AB$26:$AB$376,0)),1,0)</f>
        <v>1</v>
      </c>
      <c r="AE1618" s="423" t="str">
        <f t="shared" si="25"/>
        <v>VitacuraE-Ae2</v>
      </c>
    </row>
    <row r="1619" spans="1:31" x14ac:dyDescent="0.25">
      <c r="A1619" s="423">
        <v>1618</v>
      </c>
      <c r="B1619" s="423" t="s">
        <v>434</v>
      </c>
      <c r="C1619" s="423" t="s">
        <v>1085</v>
      </c>
      <c r="D1619" s="425" t="s">
        <v>990</v>
      </c>
      <c r="E1619" s="425" t="s">
        <v>991</v>
      </c>
      <c r="F1619" s="425" t="s">
        <v>992</v>
      </c>
      <c r="G1619" s="425" t="s">
        <v>993</v>
      </c>
      <c r="H1619" s="426" t="s">
        <v>489</v>
      </c>
      <c r="I1619" s="425" t="s">
        <v>994</v>
      </c>
      <c r="J1619" s="425" t="s">
        <v>697</v>
      </c>
      <c r="K1619" s="425" t="s">
        <v>995</v>
      </c>
      <c r="L1619" s="425" t="s">
        <v>996</v>
      </c>
      <c r="M1619" s="425" t="s">
        <v>997</v>
      </c>
      <c r="N1619" s="425" t="s">
        <v>558</v>
      </c>
      <c r="O1619" s="425" t="s">
        <v>998</v>
      </c>
      <c r="P1619" s="425" t="s">
        <v>999</v>
      </c>
      <c r="Q1619" s="425" t="s">
        <v>1000</v>
      </c>
      <c r="R1619" s="425" t="s">
        <v>1001</v>
      </c>
      <c r="S1619" s="425" t="s">
        <v>1002</v>
      </c>
      <c r="T1619" s="423">
        <v>2500</v>
      </c>
      <c r="U1619" s="423" t="s">
        <v>1041</v>
      </c>
      <c r="V1619" s="423">
        <v>0.2</v>
      </c>
      <c r="W1619" s="423">
        <v>0.4</v>
      </c>
      <c r="X1619" s="423" t="s">
        <v>2562</v>
      </c>
      <c r="Y1619" s="423">
        <v>8</v>
      </c>
      <c r="Z1619" s="423" t="s">
        <v>1004</v>
      </c>
      <c r="AD1619" s="423">
        <f>IF(ISNUMBER(MATCH(B1619,'FICHA SOLIC'!$AB$26:$AB$376,0)),1,0)</f>
        <v>1</v>
      </c>
      <c r="AE1619" s="423" t="str">
        <f t="shared" si="25"/>
        <v>VitacuraE-Ae3</v>
      </c>
    </row>
    <row r="1620" spans="1:31" x14ac:dyDescent="0.25">
      <c r="A1620" s="423">
        <v>1619</v>
      </c>
      <c r="B1620" s="423" t="s">
        <v>434</v>
      </c>
      <c r="C1620" s="423" t="s">
        <v>1086</v>
      </c>
      <c r="D1620" s="425" t="s">
        <v>990</v>
      </c>
      <c r="E1620" s="425" t="s">
        <v>991</v>
      </c>
      <c r="F1620" s="425" t="s">
        <v>992</v>
      </c>
      <c r="G1620" s="425" t="s">
        <v>993</v>
      </c>
      <c r="H1620" s="426" t="s">
        <v>489</v>
      </c>
      <c r="I1620" s="425" t="s">
        <v>994</v>
      </c>
      <c r="J1620" s="425" t="s">
        <v>697</v>
      </c>
      <c r="K1620" s="425" t="s">
        <v>995</v>
      </c>
      <c r="L1620" s="425" t="s">
        <v>996</v>
      </c>
      <c r="M1620" s="425" t="s">
        <v>997</v>
      </c>
      <c r="N1620" s="425" t="s">
        <v>558</v>
      </c>
      <c r="O1620" s="425" t="s">
        <v>998</v>
      </c>
      <c r="P1620" s="425" t="s">
        <v>999</v>
      </c>
      <c r="Q1620" s="425" t="s">
        <v>1000</v>
      </c>
      <c r="R1620" s="425" t="s">
        <v>1001</v>
      </c>
      <c r="S1620" s="425" t="s">
        <v>1002</v>
      </c>
      <c r="T1620" s="423">
        <v>2000</v>
      </c>
      <c r="U1620" s="423" t="s">
        <v>1041</v>
      </c>
      <c r="V1620" s="423">
        <v>0.2</v>
      </c>
      <c r="W1620" s="423">
        <v>1</v>
      </c>
      <c r="X1620" s="423" t="s">
        <v>1438</v>
      </c>
      <c r="Y1620" s="423">
        <v>10</v>
      </c>
      <c r="Z1620" s="423" t="s">
        <v>1004</v>
      </c>
      <c r="AD1620" s="423">
        <f>IF(ISNUMBER(MATCH(B1620,'FICHA SOLIC'!$AB$26:$AB$376,0)),1,0)</f>
        <v>1</v>
      </c>
      <c r="AE1620" s="423" t="str">
        <f t="shared" si="25"/>
        <v>VitacuraE-Ae4</v>
      </c>
    </row>
    <row r="1621" spans="1:31" x14ac:dyDescent="0.25">
      <c r="A1621" s="423">
        <v>1620</v>
      </c>
      <c r="B1621" s="423" t="s">
        <v>434</v>
      </c>
      <c r="C1621" s="423" t="s">
        <v>1087</v>
      </c>
      <c r="D1621" s="425" t="s">
        <v>990</v>
      </c>
      <c r="E1621" s="425" t="s">
        <v>991</v>
      </c>
      <c r="F1621" s="425" t="s">
        <v>992</v>
      </c>
      <c r="G1621" s="425" t="s">
        <v>993</v>
      </c>
      <c r="H1621" s="426" t="s">
        <v>489</v>
      </c>
      <c r="I1621" s="425" t="s">
        <v>994</v>
      </c>
      <c r="J1621" s="425" t="s">
        <v>697</v>
      </c>
      <c r="K1621" s="425" t="s">
        <v>995</v>
      </c>
      <c r="L1621" s="425" t="s">
        <v>996</v>
      </c>
      <c r="M1621" s="425" t="s">
        <v>997</v>
      </c>
      <c r="N1621" s="425" t="s">
        <v>558</v>
      </c>
      <c r="O1621" s="425" t="s">
        <v>998</v>
      </c>
      <c r="P1621" s="425" t="s">
        <v>999</v>
      </c>
      <c r="Q1621" s="425" t="s">
        <v>1000</v>
      </c>
      <c r="R1621" s="425" t="s">
        <v>1001</v>
      </c>
      <c r="S1621" s="425" t="s">
        <v>1002</v>
      </c>
      <c r="T1621" s="423">
        <v>1500</v>
      </c>
      <c r="U1621" s="423" t="s">
        <v>1041</v>
      </c>
      <c r="V1621" s="423">
        <v>0.6</v>
      </c>
      <c r="W1621" s="423">
        <v>1.8</v>
      </c>
      <c r="X1621" s="423" t="s">
        <v>2564</v>
      </c>
      <c r="Y1621" s="423">
        <v>8</v>
      </c>
      <c r="Z1621" s="423" t="s">
        <v>1004</v>
      </c>
      <c r="AD1621" s="423">
        <f>IF(ISNUMBER(MATCH(B1621,'FICHA SOLIC'!$AB$26:$AB$376,0)),1,0)</f>
        <v>1</v>
      </c>
      <c r="AE1621" s="423" t="str">
        <f t="shared" si="25"/>
        <v>VitacuraE-Ae5</v>
      </c>
    </row>
    <row r="1622" spans="1:31" x14ac:dyDescent="0.25">
      <c r="A1622" s="423">
        <v>1621</v>
      </c>
      <c r="B1622" s="423" t="s">
        <v>434</v>
      </c>
      <c r="C1622" s="423" t="s">
        <v>1088</v>
      </c>
      <c r="D1622" s="425" t="s">
        <v>990</v>
      </c>
      <c r="E1622" s="425" t="s">
        <v>991</v>
      </c>
      <c r="F1622" s="425" t="s">
        <v>992</v>
      </c>
      <c r="G1622" s="425" t="s">
        <v>993</v>
      </c>
      <c r="H1622" s="426" t="s">
        <v>489</v>
      </c>
      <c r="I1622" s="425" t="s">
        <v>994</v>
      </c>
      <c r="J1622" s="425" t="s">
        <v>697</v>
      </c>
      <c r="K1622" s="425" t="s">
        <v>995</v>
      </c>
      <c r="L1622" s="425" t="s">
        <v>996</v>
      </c>
      <c r="M1622" s="425" t="s">
        <v>997</v>
      </c>
      <c r="N1622" s="425" t="s">
        <v>558</v>
      </c>
      <c r="O1622" s="425" t="s">
        <v>998</v>
      </c>
      <c r="P1622" s="425" t="s">
        <v>999</v>
      </c>
      <c r="Q1622" s="425" t="s">
        <v>1000</v>
      </c>
      <c r="R1622" s="425" t="s">
        <v>1001</v>
      </c>
      <c r="S1622" s="425" t="s">
        <v>1002</v>
      </c>
      <c r="T1622" s="423">
        <v>1500</v>
      </c>
      <c r="U1622" s="423" t="s">
        <v>1041</v>
      </c>
      <c r="V1622" s="423">
        <v>0.6</v>
      </c>
      <c r="W1622" s="423">
        <v>2.4</v>
      </c>
      <c r="X1622" s="423" t="s">
        <v>1026</v>
      </c>
      <c r="Y1622" s="423">
        <v>8</v>
      </c>
      <c r="Z1622" s="423" t="s">
        <v>1004</v>
      </c>
      <c r="AD1622" s="423">
        <f>IF(ISNUMBER(MATCH(B1622,'FICHA SOLIC'!$AB$26:$AB$376,0)),1,0)</f>
        <v>1</v>
      </c>
      <c r="AE1622" s="423" t="str">
        <f t="shared" si="25"/>
        <v>VitacuraE-Ae6</v>
      </c>
    </row>
    <row r="1623" spans="1:31" x14ac:dyDescent="0.25">
      <c r="A1623" s="423">
        <v>1622</v>
      </c>
      <c r="B1623" s="423" t="s">
        <v>434</v>
      </c>
      <c r="C1623" s="423" t="s">
        <v>2565</v>
      </c>
      <c r="D1623" s="425" t="s">
        <v>990</v>
      </c>
      <c r="E1623" s="425" t="s">
        <v>991</v>
      </c>
      <c r="F1623" s="425" t="s">
        <v>992</v>
      </c>
      <c r="G1623" s="425" t="s">
        <v>993</v>
      </c>
      <c r="H1623" s="426" t="s">
        <v>489</v>
      </c>
      <c r="I1623" s="425" t="s">
        <v>994</v>
      </c>
      <c r="J1623" s="425" t="s">
        <v>697</v>
      </c>
      <c r="K1623" s="425" t="s">
        <v>995</v>
      </c>
      <c r="L1623" s="425" t="s">
        <v>996</v>
      </c>
      <c r="M1623" s="425" t="s">
        <v>997</v>
      </c>
      <c r="N1623" s="425" t="s">
        <v>558</v>
      </c>
      <c r="O1623" s="425" t="s">
        <v>998</v>
      </c>
      <c r="P1623" s="425" t="s">
        <v>999</v>
      </c>
      <c r="Q1623" s="425" t="s">
        <v>1000</v>
      </c>
      <c r="R1623" s="425" t="s">
        <v>1001</v>
      </c>
      <c r="S1623" s="425" t="s">
        <v>1002</v>
      </c>
      <c r="T1623" s="423">
        <v>2000</v>
      </c>
      <c r="U1623" s="423" t="s">
        <v>1041</v>
      </c>
      <c r="V1623" s="423">
        <v>0.15</v>
      </c>
      <c r="W1623" s="423">
        <v>2</v>
      </c>
      <c r="X1623" s="423" t="s">
        <v>1175</v>
      </c>
      <c r="Y1623" s="423">
        <v>10</v>
      </c>
      <c r="Z1623" s="423" t="s">
        <v>1004</v>
      </c>
      <c r="AD1623" s="423">
        <f>IF(ISNUMBER(MATCH(B1623,'FICHA SOLIC'!$AB$26:$AB$376,0)),1,0)</f>
        <v>1</v>
      </c>
      <c r="AE1623" s="423" t="str">
        <f t="shared" si="25"/>
        <v>VitacuraE-Ae7</v>
      </c>
    </row>
    <row r="1624" spans="1:31" x14ac:dyDescent="0.25">
      <c r="A1624" s="423">
        <v>1623</v>
      </c>
      <c r="B1624" s="423" t="s">
        <v>434</v>
      </c>
      <c r="C1624" s="423" t="s">
        <v>2566</v>
      </c>
      <c r="D1624" s="425" t="s">
        <v>990</v>
      </c>
      <c r="E1624" s="425" t="s">
        <v>991</v>
      </c>
      <c r="F1624" s="425" t="s">
        <v>992</v>
      </c>
      <c r="G1624" s="425" t="s">
        <v>993</v>
      </c>
      <c r="H1624" s="426" t="s">
        <v>489</v>
      </c>
      <c r="I1624" s="425" t="s">
        <v>994</v>
      </c>
      <c r="J1624" s="425" t="s">
        <v>697</v>
      </c>
      <c r="K1624" s="425" t="s">
        <v>995</v>
      </c>
      <c r="L1624" s="425" t="s">
        <v>996</v>
      </c>
      <c r="M1624" s="425" t="s">
        <v>997</v>
      </c>
      <c r="N1624" s="425" t="s">
        <v>558</v>
      </c>
      <c r="O1624" s="425" t="s">
        <v>998</v>
      </c>
      <c r="P1624" s="425" t="s">
        <v>999</v>
      </c>
      <c r="Q1624" s="425" t="s">
        <v>1000</v>
      </c>
      <c r="R1624" s="425" t="s">
        <v>1001</v>
      </c>
      <c r="S1624" s="425" t="s">
        <v>1002</v>
      </c>
      <c r="T1624" s="423">
        <v>2500</v>
      </c>
      <c r="U1624" s="423" t="s">
        <v>1041</v>
      </c>
      <c r="V1624" s="423">
        <v>0.2</v>
      </c>
      <c r="W1624" s="423">
        <v>2</v>
      </c>
      <c r="X1624" s="423" t="s">
        <v>2567</v>
      </c>
      <c r="Y1624" s="423">
        <v>10</v>
      </c>
      <c r="Z1624" s="423" t="s">
        <v>1004</v>
      </c>
      <c r="AD1624" s="423">
        <f>IF(ISNUMBER(MATCH(B1624,'FICHA SOLIC'!$AB$26:$AB$376,0)),1,0)</f>
        <v>1</v>
      </c>
      <c r="AE1624" s="423" t="str">
        <f t="shared" si="25"/>
        <v>VitacuraE-Ae8</v>
      </c>
    </row>
    <row r="1625" spans="1:31" x14ac:dyDescent="0.25">
      <c r="A1625" s="423">
        <v>1624</v>
      </c>
      <c r="B1625" s="423" t="s">
        <v>434</v>
      </c>
      <c r="C1625" s="423" t="s">
        <v>2568</v>
      </c>
      <c r="D1625" s="425" t="s">
        <v>990</v>
      </c>
      <c r="E1625" s="425" t="s">
        <v>991</v>
      </c>
      <c r="F1625" s="425" t="s">
        <v>992</v>
      </c>
      <c r="G1625" s="425" t="s">
        <v>993</v>
      </c>
      <c r="H1625" s="426" t="s">
        <v>489</v>
      </c>
      <c r="I1625" s="425" t="s">
        <v>994</v>
      </c>
      <c r="J1625" s="425" t="s">
        <v>697</v>
      </c>
      <c r="K1625" s="425" t="s">
        <v>995</v>
      </c>
      <c r="L1625" s="425" t="s">
        <v>996</v>
      </c>
      <c r="M1625" s="425" t="s">
        <v>997</v>
      </c>
      <c r="N1625" s="425" t="s">
        <v>558</v>
      </c>
      <c r="O1625" s="425" t="s">
        <v>998</v>
      </c>
      <c r="P1625" s="425" t="s">
        <v>999</v>
      </c>
      <c r="Q1625" s="425" t="s">
        <v>1000</v>
      </c>
      <c r="R1625" s="425" t="s">
        <v>1001</v>
      </c>
      <c r="S1625" s="425" t="s">
        <v>1002</v>
      </c>
      <c r="T1625" s="423">
        <v>2000</v>
      </c>
      <c r="U1625" s="423" t="s">
        <v>1041</v>
      </c>
      <c r="V1625" s="423">
        <v>0.15</v>
      </c>
      <c r="W1625" s="423">
        <v>1</v>
      </c>
      <c r="X1625" s="423" t="s">
        <v>1170</v>
      </c>
      <c r="Y1625" s="423">
        <v>10</v>
      </c>
      <c r="Z1625" s="423" t="s">
        <v>1004</v>
      </c>
      <c r="AD1625" s="423">
        <f>IF(ISNUMBER(MATCH(B1625,'FICHA SOLIC'!$AB$26:$AB$376,0)),1,0)</f>
        <v>1</v>
      </c>
      <c r="AE1625" s="423" t="str">
        <f t="shared" si="25"/>
        <v>VitacuraE-Ae9</v>
      </c>
    </row>
    <row r="1626" spans="1:31" x14ac:dyDescent="0.25">
      <c r="A1626" s="423">
        <v>1625</v>
      </c>
      <c r="B1626" s="423" t="s">
        <v>434</v>
      </c>
      <c r="C1626" s="423" t="s">
        <v>1009</v>
      </c>
      <c r="D1626" s="425" t="s">
        <v>990</v>
      </c>
      <c r="E1626" s="425" t="s">
        <v>991</v>
      </c>
      <c r="F1626" s="425" t="s">
        <v>992</v>
      </c>
      <c r="G1626" s="425" t="s">
        <v>993</v>
      </c>
      <c r="H1626" s="426" t="s">
        <v>489</v>
      </c>
      <c r="I1626" s="425" t="s">
        <v>994</v>
      </c>
      <c r="J1626" s="425" t="s">
        <v>697</v>
      </c>
      <c r="K1626" s="425" t="s">
        <v>995</v>
      </c>
      <c r="L1626" s="425" t="s">
        <v>996</v>
      </c>
      <c r="M1626" s="425" t="s">
        <v>997</v>
      </c>
      <c r="N1626" s="425" t="s">
        <v>558</v>
      </c>
      <c r="O1626" s="425" t="s">
        <v>998</v>
      </c>
      <c r="P1626" s="425" t="s">
        <v>999</v>
      </c>
      <c r="Q1626" s="425" t="s">
        <v>1000</v>
      </c>
      <c r="R1626" s="425" t="s">
        <v>1001</v>
      </c>
      <c r="S1626" s="425" t="s">
        <v>1002</v>
      </c>
      <c r="T1626" s="423" t="s">
        <v>1025</v>
      </c>
      <c r="U1626" s="423" t="s">
        <v>1041</v>
      </c>
      <c r="V1626" s="423">
        <v>30</v>
      </c>
      <c r="W1626" s="423">
        <v>0.5</v>
      </c>
      <c r="X1626" s="423">
        <v>8.5</v>
      </c>
      <c r="Z1626" s="423" t="s">
        <v>1004</v>
      </c>
      <c r="AD1626" s="423">
        <f>IF(ISNUMBER(MATCH(B1626,'FICHA SOLIC'!$AB$26:$AB$376,0)),1,0)</f>
        <v>1</v>
      </c>
      <c r="AE1626" s="423" t="str">
        <f t="shared" si="25"/>
        <v>VitacuraE-Am1</v>
      </c>
    </row>
    <row r="1627" spans="1:31" x14ac:dyDescent="0.25">
      <c r="A1627" s="423">
        <v>1626</v>
      </c>
      <c r="B1627" s="423" t="s">
        <v>434</v>
      </c>
      <c r="C1627" s="423" t="s">
        <v>1010</v>
      </c>
      <c r="D1627" s="425" t="s">
        <v>990</v>
      </c>
      <c r="E1627" s="425" t="s">
        <v>991</v>
      </c>
      <c r="F1627" s="425" t="s">
        <v>992</v>
      </c>
      <c r="G1627" s="425" t="s">
        <v>993</v>
      </c>
      <c r="H1627" s="426" t="s">
        <v>489</v>
      </c>
      <c r="I1627" s="425" t="s">
        <v>994</v>
      </c>
      <c r="J1627" s="425" t="s">
        <v>697</v>
      </c>
      <c r="K1627" s="425" t="s">
        <v>995</v>
      </c>
      <c r="L1627" s="425" t="s">
        <v>996</v>
      </c>
      <c r="M1627" s="425" t="s">
        <v>997</v>
      </c>
      <c r="N1627" s="425" t="s">
        <v>558</v>
      </c>
      <c r="O1627" s="425" t="s">
        <v>998</v>
      </c>
      <c r="P1627" s="425" t="s">
        <v>999</v>
      </c>
      <c r="Q1627" s="425" t="s">
        <v>1000</v>
      </c>
      <c r="R1627" s="425" t="s">
        <v>1001</v>
      </c>
      <c r="S1627" s="425" t="s">
        <v>1002</v>
      </c>
      <c r="T1627" s="423">
        <v>4000</v>
      </c>
      <c r="U1627" s="423" t="s">
        <v>1041</v>
      </c>
      <c r="V1627" s="423">
        <v>20</v>
      </c>
      <c r="W1627" s="423">
        <v>0.4</v>
      </c>
      <c r="X1627" s="423">
        <v>8.5</v>
      </c>
      <c r="Z1627" s="423" t="s">
        <v>1004</v>
      </c>
      <c r="AD1627" s="423">
        <f>IF(ISNUMBER(MATCH(B1627,'FICHA SOLIC'!$AB$26:$AB$376,0)),1,0)</f>
        <v>1</v>
      </c>
      <c r="AE1627" s="423" t="str">
        <f t="shared" si="25"/>
        <v>VitacuraE-Am2</v>
      </c>
    </row>
    <row r="1628" spans="1:31" x14ac:dyDescent="0.25">
      <c r="A1628" s="423">
        <v>1627</v>
      </c>
      <c r="B1628" s="423" t="s">
        <v>434</v>
      </c>
      <c r="C1628" s="423" t="s">
        <v>1079</v>
      </c>
      <c r="D1628" s="425" t="s">
        <v>990</v>
      </c>
      <c r="E1628" s="425" t="s">
        <v>991</v>
      </c>
      <c r="F1628" s="425" t="s">
        <v>992</v>
      </c>
      <c r="G1628" s="425" t="s">
        <v>993</v>
      </c>
      <c r="H1628" s="426" t="s">
        <v>489</v>
      </c>
      <c r="I1628" s="425" t="s">
        <v>994</v>
      </c>
      <c r="J1628" s="425" t="s">
        <v>697</v>
      </c>
      <c r="K1628" s="425" t="s">
        <v>995</v>
      </c>
      <c r="L1628" s="425" t="s">
        <v>996</v>
      </c>
      <c r="M1628" s="425" t="s">
        <v>997</v>
      </c>
      <c r="N1628" s="425" t="s">
        <v>558</v>
      </c>
      <c r="O1628" s="425" t="s">
        <v>998</v>
      </c>
      <c r="P1628" s="425" t="s">
        <v>999</v>
      </c>
      <c r="Q1628" s="425" t="s">
        <v>1000</v>
      </c>
      <c r="R1628" s="425" t="s">
        <v>1001</v>
      </c>
      <c r="S1628" s="425" t="s">
        <v>1002</v>
      </c>
      <c r="T1628" s="423">
        <v>1000</v>
      </c>
      <c r="U1628" s="423" t="s">
        <v>1041</v>
      </c>
      <c r="V1628" s="423">
        <v>30</v>
      </c>
      <c r="W1628" s="423">
        <v>0.5</v>
      </c>
      <c r="X1628" s="423">
        <v>8.5</v>
      </c>
      <c r="Z1628" s="423" t="s">
        <v>1004</v>
      </c>
      <c r="AD1628" s="423">
        <f>IF(ISNUMBER(MATCH(B1628,'FICHA SOLIC'!$AB$26:$AB$376,0)),1,0)</f>
        <v>1</v>
      </c>
      <c r="AE1628" s="423" t="str">
        <f t="shared" si="25"/>
        <v>VitacuraE-Am3</v>
      </c>
    </row>
    <row r="1629" spans="1:31" x14ac:dyDescent="0.25">
      <c r="A1629" s="423">
        <v>1628</v>
      </c>
      <c r="B1629" s="423" t="s">
        <v>434</v>
      </c>
      <c r="C1629" s="423" t="s">
        <v>1011</v>
      </c>
      <c r="D1629" s="425" t="s">
        <v>990</v>
      </c>
      <c r="E1629" s="425" t="s">
        <v>991</v>
      </c>
      <c r="F1629" s="425" t="s">
        <v>992</v>
      </c>
      <c r="G1629" s="425" t="s">
        <v>993</v>
      </c>
      <c r="H1629" s="426" t="s">
        <v>489</v>
      </c>
      <c r="I1629" s="425" t="s">
        <v>994</v>
      </c>
      <c r="J1629" s="425" t="s">
        <v>697</v>
      </c>
      <c r="K1629" s="425" t="s">
        <v>995</v>
      </c>
      <c r="L1629" s="425" t="s">
        <v>996</v>
      </c>
      <c r="M1629" s="425" t="s">
        <v>997</v>
      </c>
      <c r="N1629" s="425" t="s">
        <v>558</v>
      </c>
      <c r="O1629" s="425" t="s">
        <v>998</v>
      </c>
      <c r="P1629" s="425" t="s">
        <v>999</v>
      </c>
      <c r="Q1629" s="425" t="s">
        <v>1000</v>
      </c>
      <c r="R1629" s="425" t="s">
        <v>1001</v>
      </c>
      <c r="S1629" s="425" t="s">
        <v>1002</v>
      </c>
      <c r="T1629" s="423" t="s">
        <v>1025</v>
      </c>
      <c r="U1629" s="423" t="s">
        <v>1041</v>
      </c>
      <c r="V1629" s="423">
        <v>40</v>
      </c>
      <c r="W1629" s="423">
        <v>0.8</v>
      </c>
      <c r="X1629" s="423">
        <v>8.5</v>
      </c>
      <c r="Z1629" s="423" t="s">
        <v>1004</v>
      </c>
      <c r="AD1629" s="423">
        <f>IF(ISNUMBER(MATCH(B1629,'FICHA SOLIC'!$AB$26:$AB$376,0)),1,0)</f>
        <v>1</v>
      </c>
      <c r="AE1629" s="423" t="str">
        <f t="shared" si="25"/>
        <v>VitacuraE-Am4</v>
      </c>
    </row>
    <row r="1630" spans="1:31" x14ac:dyDescent="0.25">
      <c r="A1630" s="423">
        <v>1629</v>
      </c>
      <c r="B1630" s="423" t="s">
        <v>434</v>
      </c>
      <c r="C1630" s="423" t="s">
        <v>1080</v>
      </c>
      <c r="D1630" s="425" t="s">
        <v>990</v>
      </c>
      <c r="E1630" s="425" t="s">
        <v>991</v>
      </c>
      <c r="F1630" s="425" t="s">
        <v>992</v>
      </c>
      <c r="G1630" s="425" t="s">
        <v>993</v>
      </c>
      <c r="H1630" s="426" t="s">
        <v>489</v>
      </c>
      <c r="I1630" s="425" t="s">
        <v>994</v>
      </c>
      <c r="J1630" s="425" t="s">
        <v>697</v>
      </c>
      <c r="K1630" s="425" t="s">
        <v>995</v>
      </c>
      <c r="L1630" s="425" t="s">
        <v>996</v>
      </c>
      <c r="M1630" s="425" t="s">
        <v>997</v>
      </c>
      <c r="N1630" s="425" t="s">
        <v>558</v>
      </c>
      <c r="O1630" s="425" t="s">
        <v>998</v>
      </c>
      <c r="P1630" s="425" t="s">
        <v>999</v>
      </c>
      <c r="Q1630" s="425" t="s">
        <v>1000</v>
      </c>
      <c r="R1630" s="425" t="s">
        <v>1001</v>
      </c>
      <c r="S1630" s="425" t="s">
        <v>1002</v>
      </c>
      <c r="T1630" s="423" t="s">
        <v>1025</v>
      </c>
      <c r="U1630" s="423" t="s">
        <v>1041</v>
      </c>
      <c r="V1630" s="423">
        <v>40</v>
      </c>
      <c r="W1630" s="423">
        <v>0.8</v>
      </c>
      <c r="X1630" s="423">
        <v>8.5</v>
      </c>
      <c r="Z1630" s="423" t="s">
        <v>1004</v>
      </c>
      <c r="AD1630" s="423">
        <f>IF(ISNUMBER(MATCH(B1630,'FICHA SOLIC'!$AB$26:$AB$376,0)),1,0)</f>
        <v>1</v>
      </c>
      <c r="AE1630" s="423" t="str">
        <f t="shared" si="25"/>
        <v>VitacuraE-Am5</v>
      </c>
    </row>
    <row r="1631" spans="1:31" x14ac:dyDescent="0.25">
      <c r="A1631" s="423">
        <v>1630</v>
      </c>
      <c r="B1631" s="423" t="s">
        <v>434</v>
      </c>
      <c r="C1631" s="423" t="s">
        <v>1081</v>
      </c>
      <c r="D1631" s="425" t="s">
        <v>990</v>
      </c>
      <c r="E1631" s="425" t="s">
        <v>991</v>
      </c>
      <c r="F1631" s="425" t="s">
        <v>992</v>
      </c>
      <c r="G1631" s="425" t="s">
        <v>993</v>
      </c>
      <c r="H1631" s="426" t="s">
        <v>489</v>
      </c>
      <c r="I1631" s="425" t="s">
        <v>994</v>
      </c>
      <c r="J1631" s="425" t="s">
        <v>697</v>
      </c>
      <c r="K1631" s="425" t="s">
        <v>995</v>
      </c>
      <c r="L1631" s="425" t="s">
        <v>996</v>
      </c>
      <c r="M1631" s="425" t="s">
        <v>997</v>
      </c>
      <c r="N1631" s="425" t="s">
        <v>558</v>
      </c>
      <c r="O1631" s="425" t="s">
        <v>998</v>
      </c>
      <c r="P1631" s="425" t="s">
        <v>999</v>
      </c>
      <c r="Q1631" s="425" t="s">
        <v>1000</v>
      </c>
      <c r="R1631" s="425" t="s">
        <v>1001</v>
      </c>
      <c r="S1631" s="425" t="s">
        <v>1002</v>
      </c>
      <c r="T1631" s="423">
        <v>4000</v>
      </c>
      <c r="U1631" s="423" t="s">
        <v>1041</v>
      </c>
      <c r="V1631" s="423">
        <v>20</v>
      </c>
      <c r="W1631" s="423">
        <v>0.4</v>
      </c>
      <c r="X1631" s="423">
        <v>8.5</v>
      </c>
      <c r="Z1631" s="423" t="s">
        <v>1004</v>
      </c>
      <c r="AD1631" s="423">
        <f>IF(ISNUMBER(MATCH(B1631,'FICHA SOLIC'!$AB$26:$AB$376,0)),1,0)</f>
        <v>1</v>
      </c>
      <c r="AE1631" s="423" t="str">
        <f t="shared" si="25"/>
        <v>VitacuraE-Am6</v>
      </c>
    </row>
    <row r="1632" spans="1:31" x14ac:dyDescent="0.25">
      <c r="A1632" s="423">
        <v>1631</v>
      </c>
      <c r="B1632" s="423" t="s">
        <v>434</v>
      </c>
      <c r="C1632" s="423" t="s">
        <v>1017</v>
      </c>
      <c r="D1632" s="425" t="s">
        <v>990</v>
      </c>
      <c r="E1632" s="425" t="s">
        <v>991</v>
      </c>
      <c r="F1632" s="425" t="s">
        <v>992</v>
      </c>
      <c r="G1632" s="425" t="s">
        <v>993</v>
      </c>
      <c r="H1632" s="426" t="s">
        <v>489</v>
      </c>
      <c r="I1632" s="425" t="s">
        <v>994</v>
      </c>
      <c r="J1632" s="425" t="s">
        <v>697</v>
      </c>
      <c r="K1632" s="425" t="s">
        <v>995</v>
      </c>
      <c r="L1632" s="425" t="s">
        <v>996</v>
      </c>
      <c r="M1632" s="425" t="s">
        <v>997</v>
      </c>
      <c r="N1632" s="425" t="s">
        <v>558</v>
      </c>
      <c r="O1632" s="425" t="s">
        <v>998</v>
      </c>
      <c r="P1632" s="425" t="s">
        <v>999</v>
      </c>
      <c r="Q1632" s="425" t="s">
        <v>1000</v>
      </c>
      <c r="R1632" s="425" t="s">
        <v>1001</v>
      </c>
      <c r="S1632" s="425" t="s">
        <v>1002</v>
      </c>
      <c r="T1632" s="423" t="s">
        <v>1041</v>
      </c>
      <c r="U1632" s="423" t="s">
        <v>1041</v>
      </c>
      <c r="V1632" s="423" t="s">
        <v>1041</v>
      </c>
      <c r="W1632" s="423" t="s">
        <v>1041</v>
      </c>
      <c r="X1632" s="423">
        <v>9</v>
      </c>
      <c r="Y1632" s="423" t="s">
        <v>1041</v>
      </c>
      <c r="Z1632" s="423" t="s">
        <v>1041</v>
      </c>
      <c r="AD1632" s="423">
        <f>IF(ISNUMBER(MATCH(B1632,'FICHA SOLIC'!$AB$26:$AB$376,0)),1,0)</f>
        <v>1</v>
      </c>
      <c r="AE1632" s="423" t="str">
        <f t="shared" si="25"/>
        <v>VitacuraE-e2</v>
      </c>
    </row>
    <row r="1633" spans="1:31" x14ac:dyDescent="0.25">
      <c r="A1633" s="423">
        <v>1632</v>
      </c>
      <c r="B1633" s="423" t="s">
        <v>434</v>
      </c>
      <c r="C1633" s="423" t="s">
        <v>1018</v>
      </c>
      <c r="D1633" s="425" t="s">
        <v>990</v>
      </c>
      <c r="E1633" s="425" t="s">
        <v>991</v>
      </c>
      <c r="F1633" s="425" t="s">
        <v>992</v>
      </c>
      <c r="G1633" s="425" t="s">
        <v>993</v>
      </c>
      <c r="H1633" s="426" t="s">
        <v>489</v>
      </c>
      <c r="I1633" s="425" t="s">
        <v>994</v>
      </c>
      <c r="J1633" s="425" t="s">
        <v>697</v>
      </c>
      <c r="K1633" s="425" t="s">
        <v>995</v>
      </c>
      <c r="L1633" s="425" t="s">
        <v>996</v>
      </c>
      <c r="M1633" s="425" t="s">
        <v>997</v>
      </c>
      <c r="N1633" s="425" t="s">
        <v>558</v>
      </c>
      <c r="O1633" s="425" t="s">
        <v>998</v>
      </c>
      <c r="P1633" s="425" t="s">
        <v>999</v>
      </c>
      <c r="Q1633" s="425" t="s">
        <v>1000</v>
      </c>
      <c r="R1633" s="425" t="s">
        <v>1001</v>
      </c>
      <c r="S1633" s="425" t="s">
        <v>1002</v>
      </c>
      <c r="T1633" s="423" t="s">
        <v>1041</v>
      </c>
      <c r="U1633" s="423" t="s">
        <v>1041</v>
      </c>
      <c r="V1633" s="423" t="s">
        <v>1041</v>
      </c>
      <c r="W1633" s="423" t="s">
        <v>1041</v>
      </c>
      <c r="X1633" s="423">
        <v>3.5</v>
      </c>
      <c r="Y1633" s="423" t="s">
        <v>1041</v>
      </c>
      <c r="Z1633" s="423" t="s">
        <v>1041</v>
      </c>
      <c r="AD1633" s="423">
        <f>IF(ISNUMBER(MATCH(B1633,'FICHA SOLIC'!$AB$26:$AB$376,0)),1,0)</f>
        <v>1</v>
      </c>
      <c r="AE1633" s="423" t="str">
        <f t="shared" si="25"/>
        <v>VitacuraE-e3</v>
      </c>
    </row>
    <row r="1634" spans="1:31" x14ac:dyDescent="0.25">
      <c r="A1634" s="423">
        <v>1633</v>
      </c>
      <c r="B1634" s="423" t="s">
        <v>434</v>
      </c>
      <c r="C1634" s="423" t="s">
        <v>1019</v>
      </c>
      <c r="D1634" s="425" t="s">
        <v>990</v>
      </c>
      <c r="E1634" s="425" t="s">
        <v>991</v>
      </c>
      <c r="F1634" s="425" t="s">
        <v>992</v>
      </c>
      <c r="G1634" s="425" t="s">
        <v>993</v>
      </c>
      <c r="H1634" s="426" t="s">
        <v>489</v>
      </c>
      <c r="I1634" s="425" t="s">
        <v>994</v>
      </c>
      <c r="J1634" s="425" t="s">
        <v>697</v>
      </c>
      <c r="K1634" s="425" t="s">
        <v>995</v>
      </c>
      <c r="L1634" s="425" t="s">
        <v>996</v>
      </c>
      <c r="M1634" s="425" t="s">
        <v>997</v>
      </c>
      <c r="N1634" s="425" t="s">
        <v>558</v>
      </c>
      <c r="O1634" s="425" t="s">
        <v>998</v>
      </c>
      <c r="P1634" s="425" t="s">
        <v>999</v>
      </c>
      <c r="Q1634" s="425" t="s">
        <v>1000</v>
      </c>
      <c r="R1634" s="425" t="s">
        <v>1001</v>
      </c>
      <c r="S1634" s="425" t="s">
        <v>1002</v>
      </c>
      <c r="T1634" s="423" t="s">
        <v>1025</v>
      </c>
      <c r="U1634" s="423" t="s">
        <v>1041</v>
      </c>
      <c r="V1634" s="423">
        <v>0.15</v>
      </c>
      <c r="W1634" s="423">
        <v>0.3</v>
      </c>
      <c r="X1634" s="423" t="s">
        <v>2562</v>
      </c>
      <c r="Y1634" s="423" t="s">
        <v>1041</v>
      </c>
      <c r="Z1634" s="423" t="s">
        <v>1041</v>
      </c>
      <c r="AD1634" s="423">
        <f>IF(ISNUMBER(MATCH(B1634,'FICHA SOLIC'!$AB$26:$AB$376,0)),1,0)</f>
        <v>1</v>
      </c>
      <c r="AE1634" s="423" t="str">
        <f t="shared" si="25"/>
        <v>VitacuraE-e4</v>
      </c>
    </row>
    <row r="1635" spans="1:31" x14ac:dyDescent="0.25">
      <c r="A1635" s="423">
        <v>1634</v>
      </c>
      <c r="B1635" s="423" t="s">
        <v>434</v>
      </c>
      <c r="C1635" s="423" t="s">
        <v>1020</v>
      </c>
      <c r="D1635" s="425" t="s">
        <v>990</v>
      </c>
      <c r="E1635" s="425" t="s">
        <v>991</v>
      </c>
      <c r="F1635" s="425" t="s">
        <v>992</v>
      </c>
      <c r="G1635" s="425" t="s">
        <v>993</v>
      </c>
      <c r="H1635" s="426" t="s">
        <v>489</v>
      </c>
      <c r="I1635" s="425" t="s">
        <v>994</v>
      </c>
      <c r="J1635" s="425" t="s">
        <v>697</v>
      </c>
      <c r="K1635" s="425" t="s">
        <v>995</v>
      </c>
      <c r="L1635" s="425" t="s">
        <v>996</v>
      </c>
      <c r="M1635" s="425" t="s">
        <v>997</v>
      </c>
      <c r="N1635" s="425" t="s">
        <v>558</v>
      </c>
      <c r="O1635" s="425" t="s">
        <v>998</v>
      </c>
      <c r="P1635" s="425" t="s">
        <v>999</v>
      </c>
      <c r="Q1635" s="425" t="s">
        <v>1000</v>
      </c>
      <c r="R1635" s="425" t="s">
        <v>1001</v>
      </c>
      <c r="S1635" s="425" t="s">
        <v>1002</v>
      </c>
      <c r="T1635" s="423" t="s">
        <v>1041</v>
      </c>
      <c r="U1635" s="423" t="s">
        <v>1041</v>
      </c>
      <c r="V1635" s="423" t="s">
        <v>1041</v>
      </c>
      <c r="W1635" s="423" t="s">
        <v>1041</v>
      </c>
      <c r="X1635" s="423" t="s">
        <v>1041</v>
      </c>
      <c r="Y1635" s="423" t="s">
        <v>1041</v>
      </c>
      <c r="Z1635" s="423" t="s">
        <v>1041</v>
      </c>
      <c r="AD1635" s="423">
        <f>IF(ISNUMBER(MATCH(B1635,'FICHA SOLIC'!$AB$26:$AB$376,0)),1,0)</f>
        <v>1</v>
      </c>
      <c r="AE1635" s="423" t="str">
        <f t="shared" si="25"/>
        <v>VitacuraE-e5</v>
      </c>
    </row>
    <row r="1636" spans="1:31" x14ac:dyDescent="0.25">
      <c r="D1636" s="973" t="s">
        <v>990</v>
      </c>
      <c r="E1636" s="973" t="s">
        <v>991</v>
      </c>
      <c r="F1636" s="973" t="s">
        <v>992</v>
      </c>
      <c r="G1636" s="973" t="s">
        <v>1997</v>
      </c>
      <c r="H1636" s="973" t="s">
        <v>1998</v>
      </c>
      <c r="I1636" s="973" t="s">
        <v>1999</v>
      </c>
      <c r="J1636" s="973" t="s">
        <v>697</v>
      </c>
      <c r="K1636" s="973" t="s">
        <v>995</v>
      </c>
      <c r="L1636" s="973" t="s">
        <v>996</v>
      </c>
      <c r="M1636" s="973" t="s">
        <v>2000</v>
      </c>
      <c r="N1636" s="973" t="s">
        <v>2001</v>
      </c>
      <c r="O1636" s="973" t="s">
        <v>1971</v>
      </c>
      <c r="P1636" s="973" t="s">
        <v>999</v>
      </c>
      <c r="Q1636" s="973" t="s">
        <v>1000</v>
      </c>
      <c r="R1636" s="973" t="s">
        <v>1001</v>
      </c>
      <c r="S1636" s="973" t="s">
        <v>1002</v>
      </c>
      <c r="AE1636" s="423" t="str">
        <f t="shared" si="25"/>
        <v/>
      </c>
    </row>
    <row r="1637" spans="1:31" x14ac:dyDescent="0.25">
      <c r="D1637" s="973" t="s">
        <v>990</v>
      </c>
      <c r="E1637" s="973" t="s">
        <v>991</v>
      </c>
      <c r="F1637" s="973" t="s">
        <v>992</v>
      </c>
      <c r="G1637" s="973" t="s">
        <v>1997</v>
      </c>
      <c r="H1637" s="973" t="s">
        <v>1998</v>
      </c>
      <c r="I1637" s="973" t="s">
        <v>1999</v>
      </c>
      <c r="J1637" s="973" t="s">
        <v>697</v>
      </c>
      <c r="K1637" s="973" t="s">
        <v>995</v>
      </c>
      <c r="L1637" s="973" t="s">
        <v>996</v>
      </c>
      <c r="M1637" s="973" t="s">
        <v>2000</v>
      </c>
      <c r="N1637" s="973" t="s">
        <v>2001</v>
      </c>
      <c r="O1637" s="973" t="s">
        <v>1971</v>
      </c>
      <c r="P1637" s="973" t="s">
        <v>999</v>
      </c>
      <c r="Q1637" s="973" t="s">
        <v>1000</v>
      </c>
      <c r="R1637" s="973" t="s">
        <v>1001</v>
      </c>
      <c r="S1637" s="973" t="s">
        <v>1002</v>
      </c>
      <c r="AE1637" s="423" t="str">
        <f t="shared" si="25"/>
        <v/>
      </c>
    </row>
    <row r="1638" spans="1:31" x14ac:dyDescent="0.25">
      <c r="D1638" s="973" t="s">
        <v>990</v>
      </c>
      <c r="E1638" s="973" t="s">
        <v>991</v>
      </c>
      <c r="F1638" s="973" t="s">
        <v>992</v>
      </c>
      <c r="G1638" s="973" t="s">
        <v>1997</v>
      </c>
      <c r="H1638" s="973" t="s">
        <v>1998</v>
      </c>
      <c r="I1638" s="973" t="s">
        <v>1999</v>
      </c>
      <c r="J1638" s="973" t="s">
        <v>697</v>
      </c>
      <c r="K1638" s="973" t="s">
        <v>995</v>
      </c>
      <c r="L1638" s="973" t="s">
        <v>996</v>
      </c>
      <c r="M1638" s="973" t="s">
        <v>2000</v>
      </c>
      <c r="N1638" s="973" t="s">
        <v>2001</v>
      </c>
      <c r="O1638" s="973" t="s">
        <v>1971</v>
      </c>
      <c r="P1638" s="973" t="s">
        <v>999</v>
      </c>
      <c r="Q1638" s="973" t="s">
        <v>1000</v>
      </c>
      <c r="R1638" s="973" t="s">
        <v>1001</v>
      </c>
      <c r="S1638" s="973" t="s">
        <v>1002</v>
      </c>
      <c r="AE1638" s="423" t="str">
        <f t="shared" si="25"/>
        <v/>
      </c>
    </row>
    <row r="1639" spans="1:31" x14ac:dyDescent="0.25">
      <c r="D1639" s="973" t="s">
        <v>990</v>
      </c>
      <c r="E1639" s="973" t="s">
        <v>991</v>
      </c>
      <c r="F1639" s="973" t="s">
        <v>992</v>
      </c>
      <c r="G1639" s="973" t="s">
        <v>1997</v>
      </c>
      <c r="H1639" s="973" t="s">
        <v>1998</v>
      </c>
      <c r="I1639" s="973" t="s">
        <v>1999</v>
      </c>
      <c r="J1639" s="973" t="s">
        <v>697</v>
      </c>
      <c r="K1639" s="973" t="s">
        <v>995</v>
      </c>
      <c r="L1639" s="973" t="s">
        <v>996</v>
      </c>
      <c r="M1639" s="973" t="s">
        <v>2000</v>
      </c>
      <c r="N1639" s="973" t="s">
        <v>2001</v>
      </c>
      <c r="O1639" s="973" t="s">
        <v>1971</v>
      </c>
      <c r="P1639" s="973" t="s">
        <v>999</v>
      </c>
      <c r="Q1639" s="973" t="s">
        <v>1000</v>
      </c>
      <c r="R1639" s="973" t="s">
        <v>1001</v>
      </c>
      <c r="S1639" s="973" t="s">
        <v>1002</v>
      </c>
      <c r="AE1639" s="423" t="str">
        <f t="shared" si="25"/>
        <v/>
      </c>
    </row>
    <row r="1640" spans="1:31" x14ac:dyDescent="0.25">
      <c r="D1640" s="973" t="s">
        <v>990</v>
      </c>
      <c r="E1640" s="973" t="s">
        <v>991</v>
      </c>
      <c r="F1640" s="973" t="s">
        <v>992</v>
      </c>
      <c r="G1640" s="973" t="s">
        <v>1997</v>
      </c>
      <c r="H1640" s="973" t="s">
        <v>1998</v>
      </c>
      <c r="I1640" s="973" t="s">
        <v>1999</v>
      </c>
      <c r="J1640" s="973" t="s">
        <v>697</v>
      </c>
      <c r="K1640" s="973" t="s">
        <v>995</v>
      </c>
      <c r="L1640" s="973" t="s">
        <v>996</v>
      </c>
      <c r="M1640" s="973" t="s">
        <v>2000</v>
      </c>
      <c r="N1640" s="973" t="s">
        <v>2001</v>
      </c>
      <c r="O1640" s="973" t="s">
        <v>1971</v>
      </c>
      <c r="P1640" s="973" t="s">
        <v>999</v>
      </c>
      <c r="Q1640" s="973" t="s">
        <v>1000</v>
      </c>
      <c r="R1640" s="973" t="s">
        <v>1001</v>
      </c>
      <c r="S1640" s="973" t="s">
        <v>1002</v>
      </c>
      <c r="AE1640" s="423" t="str">
        <f t="shared" si="25"/>
        <v/>
      </c>
    </row>
    <row r="1641" spans="1:31" x14ac:dyDescent="0.25">
      <c r="D1641" s="973" t="s">
        <v>990</v>
      </c>
      <c r="E1641" s="973" t="s">
        <v>991</v>
      </c>
      <c r="F1641" s="973" t="s">
        <v>992</v>
      </c>
      <c r="G1641" s="973" t="s">
        <v>1997</v>
      </c>
      <c r="H1641" s="973" t="s">
        <v>1998</v>
      </c>
      <c r="I1641" s="973" t="s">
        <v>1999</v>
      </c>
      <c r="J1641" s="973" t="s">
        <v>697</v>
      </c>
      <c r="K1641" s="973" t="s">
        <v>995</v>
      </c>
      <c r="L1641" s="973" t="s">
        <v>996</v>
      </c>
      <c r="M1641" s="973" t="s">
        <v>2000</v>
      </c>
      <c r="N1641" s="973" t="s">
        <v>2001</v>
      </c>
      <c r="O1641" s="973" t="s">
        <v>1971</v>
      </c>
      <c r="P1641" s="973" t="s">
        <v>999</v>
      </c>
      <c r="Q1641" s="973" t="s">
        <v>1000</v>
      </c>
      <c r="R1641" s="973" t="s">
        <v>1001</v>
      </c>
      <c r="S1641" s="973" t="s">
        <v>1002</v>
      </c>
      <c r="AE1641" s="423" t="str">
        <f t="shared" si="25"/>
        <v/>
      </c>
    </row>
    <row r="1642" spans="1:31" x14ac:dyDescent="0.25">
      <c r="D1642" s="973" t="s">
        <v>990</v>
      </c>
      <c r="E1642" s="973" t="s">
        <v>991</v>
      </c>
      <c r="F1642" s="973" t="s">
        <v>992</v>
      </c>
      <c r="G1642" s="973" t="s">
        <v>1997</v>
      </c>
      <c r="H1642" s="973" t="s">
        <v>1998</v>
      </c>
      <c r="I1642" s="973" t="s">
        <v>1999</v>
      </c>
      <c r="J1642" s="973" t="s">
        <v>697</v>
      </c>
      <c r="K1642" s="973" t="s">
        <v>995</v>
      </c>
      <c r="L1642" s="973" t="s">
        <v>996</v>
      </c>
      <c r="M1642" s="973" t="s">
        <v>2000</v>
      </c>
      <c r="N1642" s="973" t="s">
        <v>2001</v>
      </c>
      <c r="O1642" s="973" t="s">
        <v>1971</v>
      </c>
      <c r="P1642" s="973" t="s">
        <v>999</v>
      </c>
      <c r="Q1642" s="973" t="s">
        <v>1000</v>
      </c>
      <c r="R1642" s="973" t="s">
        <v>1001</v>
      </c>
      <c r="S1642" s="973" t="s">
        <v>1002</v>
      </c>
      <c r="AE1642" s="423" t="str">
        <f t="shared" si="25"/>
        <v/>
      </c>
    </row>
    <row r="1643" spans="1:31" x14ac:dyDescent="0.25">
      <c r="D1643" s="973" t="s">
        <v>990</v>
      </c>
      <c r="E1643" s="973" t="s">
        <v>991</v>
      </c>
      <c r="F1643" s="973" t="s">
        <v>992</v>
      </c>
      <c r="G1643" s="973" t="s">
        <v>1997</v>
      </c>
      <c r="H1643" s="973" t="s">
        <v>1998</v>
      </c>
      <c r="I1643" s="973" t="s">
        <v>1999</v>
      </c>
      <c r="J1643" s="973" t="s">
        <v>697</v>
      </c>
      <c r="K1643" s="973" t="s">
        <v>995</v>
      </c>
      <c r="L1643" s="973" t="s">
        <v>996</v>
      </c>
      <c r="M1643" s="973" t="s">
        <v>2000</v>
      </c>
      <c r="N1643" s="973" t="s">
        <v>2001</v>
      </c>
      <c r="O1643" s="973" t="s">
        <v>1971</v>
      </c>
      <c r="P1643" s="973" t="s">
        <v>999</v>
      </c>
      <c r="Q1643" s="973" t="s">
        <v>1000</v>
      </c>
      <c r="R1643" s="973" t="s">
        <v>1001</v>
      </c>
      <c r="S1643" s="973" t="s">
        <v>1002</v>
      </c>
      <c r="AE1643" s="423" t="str">
        <f t="shared" si="25"/>
        <v/>
      </c>
    </row>
    <row r="1644" spans="1:31" x14ac:dyDescent="0.25">
      <c r="D1644" s="973" t="s">
        <v>990</v>
      </c>
      <c r="E1644" s="973" t="s">
        <v>991</v>
      </c>
      <c r="F1644" s="973" t="s">
        <v>992</v>
      </c>
      <c r="G1644" s="973" t="s">
        <v>1997</v>
      </c>
      <c r="H1644" s="973" t="s">
        <v>1998</v>
      </c>
      <c r="I1644" s="973" t="s">
        <v>1999</v>
      </c>
      <c r="J1644" s="973" t="s">
        <v>697</v>
      </c>
      <c r="K1644" s="973" t="s">
        <v>995</v>
      </c>
      <c r="L1644" s="973" t="s">
        <v>996</v>
      </c>
      <c r="M1644" s="973" t="s">
        <v>2000</v>
      </c>
      <c r="N1644" s="973" t="s">
        <v>2001</v>
      </c>
      <c r="O1644" s="973" t="s">
        <v>1971</v>
      </c>
      <c r="P1644" s="973" t="s">
        <v>999</v>
      </c>
      <c r="Q1644" s="973" t="s">
        <v>1000</v>
      </c>
      <c r="R1644" s="973" t="s">
        <v>1001</v>
      </c>
      <c r="S1644" s="973" t="s">
        <v>1002</v>
      </c>
      <c r="AE1644" s="423" t="str">
        <f t="shared" si="25"/>
        <v/>
      </c>
    </row>
    <row r="1645" spans="1:31" x14ac:dyDescent="0.25">
      <c r="D1645" s="973" t="s">
        <v>990</v>
      </c>
      <c r="E1645" s="973" t="s">
        <v>991</v>
      </c>
      <c r="F1645" s="973" t="s">
        <v>992</v>
      </c>
      <c r="G1645" s="973" t="s">
        <v>1997</v>
      </c>
      <c r="H1645" s="973" t="s">
        <v>1998</v>
      </c>
      <c r="I1645" s="973" t="s">
        <v>1999</v>
      </c>
      <c r="J1645" s="973" t="s">
        <v>697</v>
      </c>
      <c r="K1645" s="973" t="s">
        <v>995</v>
      </c>
      <c r="L1645" s="973" t="s">
        <v>996</v>
      </c>
      <c r="M1645" s="973" t="s">
        <v>2000</v>
      </c>
      <c r="N1645" s="973" t="s">
        <v>2001</v>
      </c>
      <c r="O1645" s="973" t="s">
        <v>1971</v>
      </c>
      <c r="P1645" s="973" t="s">
        <v>999</v>
      </c>
      <c r="Q1645" s="973" t="s">
        <v>1000</v>
      </c>
      <c r="R1645" s="973" t="s">
        <v>1001</v>
      </c>
      <c r="S1645" s="973" t="s">
        <v>1002</v>
      </c>
      <c r="AE1645" s="423" t="str">
        <f t="shared" si="25"/>
        <v/>
      </c>
    </row>
    <row r="1646" spans="1:31" x14ac:dyDescent="0.25">
      <c r="D1646" s="973" t="s">
        <v>990</v>
      </c>
      <c r="E1646" s="973" t="s">
        <v>991</v>
      </c>
      <c r="F1646" s="973" t="s">
        <v>992</v>
      </c>
      <c r="G1646" s="973" t="s">
        <v>1997</v>
      </c>
      <c r="H1646" s="973" t="s">
        <v>1998</v>
      </c>
      <c r="I1646" s="973" t="s">
        <v>1999</v>
      </c>
      <c r="J1646" s="973" t="s">
        <v>697</v>
      </c>
      <c r="K1646" s="973" t="s">
        <v>995</v>
      </c>
      <c r="L1646" s="973" t="s">
        <v>996</v>
      </c>
      <c r="M1646" s="973" t="s">
        <v>2000</v>
      </c>
      <c r="N1646" s="973" t="s">
        <v>2001</v>
      </c>
      <c r="O1646" s="973" t="s">
        <v>1971</v>
      </c>
      <c r="P1646" s="973" t="s">
        <v>999</v>
      </c>
      <c r="Q1646" s="973" t="s">
        <v>1000</v>
      </c>
      <c r="R1646" s="973" t="s">
        <v>1001</v>
      </c>
      <c r="S1646" s="973" t="s">
        <v>1002</v>
      </c>
      <c r="AE1646" s="423" t="str">
        <f t="shared" si="25"/>
        <v/>
      </c>
    </row>
    <row r="1647" spans="1:31" x14ac:dyDescent="0.25">
      <c r="D1647" s="973" t="s">
        <v>990</v>
      </c>
      <c r="E1647" s="973" t="s">
        <v>991</v>
      </c>
      <c r="F1647" s="973" t="s">
        <v>992</v>
      </c>
      <c r="G1647" s="973" t="s">
        <v>1997</v>
      </c>
      <c r="H1647" s="973" t="s">
        <v>1998</v>
      </c>
      <c r="I1647" s="973" t="s">
        <v>1999</v>
      </c>
      <c r="J1647" s="973" t="s">
        <v>697</v>
      </c>
      <c r="K1647" s="973" t="s">
        <v>995</v>
      </c>
      <c r="L1647" s="973" t="s">
        <v>996</v>
      </c>
      <c r="M1647" s="973" t="s">
        <v>2000</v>
      </c>
      <c r="N1647" s="973" t="s">
        <v>2001</v>
      </c>
      <c r="O1647" s="973" t="s">
        <v>1971</v>
      </c>
      <c r="P1647" s="973" t="s">
        <v>999</v>
      </c>
      <c r="Q1647" s="973" t="s">
        <v>1000</v>
      </c>
      <c r="R1647" s="973" t="s">
        <v>1001</v>
      </c>
      <c r="S1647" s="973" t="s">
        <v>1002</v>
      </c>
      <c r="AE1647" s="423" t="str">
        <f t="shared" si="25"/>
        <v/>
      </c>
    </row>
    <row r="1648" spans="1:31" x14ac:dyDescent="0.25">
      <c r="D1648" s="973" t="s">
        <v>990</v>
      </c>
      <c r="E1648" s="973" t="s">
        <v>991</v>
      </c>
      <c r="F1648" s="973" t="s">
        <v>992</v>
      </c>
      <c r="G1648" s="973" t="s">
        <v>1997</v>
      </c>
      <c r="H1648" s="973" t="s">
        <v>1998</v>
      </c>
      <c r="I1648" s="973" t="s">
        <v>1999</v>
      </c>
      <c r="J1648" s="973" t="s">
        <v>697</v>
      </c>
      <c r="K1648" s="973" t="s">
        <v>995</v>
      </c>
      <c r="L1648" s="973" t="s">
        <v>996</v>
      </c>
      <c r="M1648" s="973" t="s">
        <v>2000</v>
      </c>
      <c r="N1648" s="973" t="s">
        <v>2001</v>
      </c>
      <c r="O1648" s="973" t="s">
        <v>1971</v>
      </c>
      <c r="P1648" s="973" t="s">
        <v>999</v>
      </c>
      <c r="Q1648" s="973" t="s">
        <v>1000</v>
      </c>
      <c r="R1648" s="973" t="s">
        <v>1001</v>
      </c>
      <c r="S1648" s="973" t="s">
        <v>1002</v>
      </c>
      <c r="AE1648" s="423" t="str">
        <f t="shared" si="25"/>
        <v/>
      </c>
    </row>
    <row r="1649" spans="4:31" x14ac:dyDescent="0.25">
      <c r="D1649" s="973" t="s">
        <v>990</v>
      </c>
      <c r="E1649" s="973" t="s">
        <v>991</v>
      </c>
      <c r="F1649" s="973" t="s">
        <v>992</v>
      </c>
      <c r="G1649" s="973" t="s">
        <v>1997</v>
      </c>
      <c r="H1649" s="973" t="s">
        <v>1998</v>
      </c>
      <c r="I1649" s="973" t="s">
        <v>1999</v>
      </c>
      <c r="J1649" s="973" t="s">
        <v>697</v>
      </c>
      <c r="K1649" s="973" t="s">
        <v>995</v>
      </c>
      <c r="L1649" s="973" t="s">
        <v>996</v>
      </c>
      <c r="M1649" s="973" t="s">
        <v>2000</v>
      </c>
      <c r="N1649" s="973" t="s">
        <v>2001</v>
      </c>
      <c r="O1649" s="973" t="s">
        <v>1971</v>
      </c>
      <c r="P1649" s="973" t="s">
        <v>999</v>
      </c>
      <c r="Q1649" s="973" t="s">
        <v>1000</v>
      </c>
      <c r="R1649" s="973" t="s">
        <v>1001</v>
      </c>
      <c r="S1649" s="973" t="s">
        <v>1002</v>
      </c>
      <c r="AE1649" s="423" t="str">
        <f t="shared" si="25"/>
        <v/>
      </c>
    </row>
    <row r="1650" spans="4:31" x14ac:dyDescent="0.25">
      <c r="D1650" s="973" t="s">
        <v>990</v>
      </c>
      <c r="E1650" s="973" t="s">
        <v>991</v>
      </c>
      <c r="F1650" s="973" t="s">
        <v>992</v>
      </c>
      <c r="G1650" s="973" t="s">
        <v>1997</v>
      </c>
      <c r="H1650" s="973" t="s">
        <v>1998</v>
      </c>
      <c r="I1650" s="973" t="s">
        <v>1999</v>
      </c>
      <c r="J1650" s="973" t="s">
        <v>697</v>
      </c>
      <c r="K1650" s="973" t="s">
        <v>995</v>
      </c>
      <c r="L1650" s="973" t="s">
        <v>996</v>
      </c>
      <c r="M1650" s="973" t="s">
        <v>2000</v>
      </c>
      <c r="N1650" s="973" t="s">
        <v>2001</v>
      </c>
      <c r="O1650" s="973" t="s">
        <v>1971</v>
      </c>
      <c r="P1650" s="973" t="s">
        <v>999</v>
      </c>
      <c r="Q1650" s="973" t="s">
        <v>1000</v>
      </c>
      <c r="R1650" s="973" t="s">
        <v>1001</v>
      </c>
      <c r="S1650" s="973" t="s">
        <v>1002</v>
      </c>
      <c r="AE1650" s="423" t="str">
        <f t="shared" si="25"/>
        <v/>
      </c>
    </row>
    <row r="1651" spans="4:31" x14ac:dyDescent="0.25">
      <c r="D1651" s="973" t="s">
        <v>990</v>
      </c>
      <c r="E1651" s="973" t="s">
        <v>991</v>
      </c>
      <c r="F1651" s="973" t="s">
        <v>992</v>
      </c>
      <c r="G1651" s="973" t="s">
        <v>1997</v>
      </c>
      <c r="H1651" s="973" t="s">
        <v>1998</v>
      </c>
      <c r="I1651" s="973" t="s">
        <v>1999</v>
      </c>
      <c r="J1651" s="973" t="s">
        <v>697</v>
      </c>
      <c r="K1651" s="973" t="s">
        <v>995</v>
      </c>
      <c r="L1651" s="973" t="s">
        <v>996</v>
      </c>
      <c r="M1651" s="973" t="s">
        <v>2000</v>
      </c>
      <c r="N1651" s="973" t="s">
        <v>2001</v>
      </c>
      <c r="O1651" s="973" t="s">
        <v>1971</v>
      </c>
      <c r="P1651" s="973" t="s">
        <v>999</v>
      </c>
      <c r="Q1651" s="973" t="s">
        <v>1000</v>
      </c>
      <c r="R1651" s="973" t="s">
        <v>1001</v>
      </c>
      <c r="S1651" s="973" t="s">
        <v>1002</v>
      </c>
      <c r="AE1651" s="423" t="str">
        <f t="shared" si="25"/>
        <v/>
      </c>
    </row>
    <row r="1652" spans="4:31" x14ac:dyDescent="0.25">
      <c r="D1652" s="973" t="s">
        <v>990</v>
      </c>
      <c r="E1652" s="973" t="s">
        <v>991</v>
      </c>
      <c r="F1652" s="973" t="s">
        <v>992</v>
      </c>
      <c r="G1652" s="973" t="s">
        <v>1997</v>
      </c>
      <c r="H1652" s="973" t="s">
        <v>1998</v>
      </c>
      <c r="I1652" s="973" t="s">
        <v>1999</v>
      </c>
      <c r="J1652" s="973" t="s">
        <v>697</v>
      </c>
      <c r="K1652" s="973" t="s">
        <v>995</v>
      </c>
      <c r="L1652" s="973" t="s">
        <v>996</v>
      </c>
      <c r="M1652" s="973" t="s">
        <v>2000</v>
      </c>
      <c r="N1652" s="973" t="s">
        <v>2001</v>
      </c>
      <c r="O1652" s="973" t="s">
        <v>1971</v>
      </c>
      <c r="P1652" s="973" t="s">
        <v>999</v>
      </c>
      <c r="Q1652" s="973" t="s">
        <v>1000</v>
      </c>
      <c r="R1652" s="973" t="s">
        <v>1001</v>
      </c>
      <c r="S1652" s="973" t="s">
        <v>1002</v>
      </c>
      <c r="AE1652" s="423" t="str">
        <f t="shared" si="25"/>
        <v/>
      </c>
    </row>
    <row r="1653" spans="4:31" x14ac:dyDescent="0.25">
      <c r="D1653" s="973" t="s">
        <v>990</v>
      </c>
      <c r="E1653" s="973" t="s">
        <v>991</v>
      </c>
      <c r="F1653" s="973" t="s">
        <v>992</v>
      </c>
      <c r="G1653" s="973" t="s">
        <v>1997</v>
      </c>
      <c r="H1653" s="973" t="s">
        <v>1998</v>
      </c>
      <c r="I1653" s="973" t="s">
        <v>1999</v>
      </c>
      <c r="J1653" s="973" t="s">
        <v>697</v>
      </c>
      <c r="K1653" s="973" t="s">
        <v>995</v>
      </c>
      <c r="L1653" s="973" t="s">
        <v>996</v>
      </c>
      <c r="M1653" s="973" t="s">
        <v>2000</v>
      </c>
      <c r="N1653" s="973" t="s">
        <v>2001</v>
      </c>
      <c r="O1653" s="973" t="s">
        <v>1971</v>
      </c>
      <c r="P1653" s="973" t="s">
        <v>999</v>
      </c>
      <c r="Q1653" s="973" t="s">
        <v>1000</v>
      </c>
      <c r="R1653" s="973" t="s">
        <v>1001</v>
      </c>
      <c r="S1653" s="973" t="s">
        <v>1002</v>
      </c>
      <c r="AE1653" s="423" t="str">
        <f t="shared" si="25"/>
        <v/>
      </c>
    </row>
    <row r="1654" spans="4:31" x14ac:dyDescent="0.25">
      <c r="D1654" s="973" t="s">
        <v>990</v>
      </c>
      <c r="E1654" s="973" t="s">
        <v>991</v>
      </c>
      <c r="F1654" s="973" t="s">
        <v>992</v>
      </c>
      <c r="G1654" s="973" t="s">
        <v>1997</v>
      </c>
      <c r="H1654" s="973" t="s">
        <v>1998</v>
      </c>
      <c r="I1654" s="973" t="s">
        <v>1999</v>
      </c>
      <c r="J1654" s="973" t="s">
        <v>697</v>
      </c>
      <c r="K1654" s="973" t="s">
        <v>995</v>
      </c>
      <c r="L1654" s="973" t="s">
        <v>996</v>
      </c>
      <c r="M1654" s="973" t="s">
        <v>2000</v>
      </c>
      <c r="N1654" s="973" t="s">
        <v>2001</v>
      </c>
      <c r="O1654" s="973" t="s">
        <v>1971</v>
      </c>
      <c r="P1654" s="973" t="s">
        <v>999</v>
      </c>
      <c r="Q1654" s="973" t="s">
        <v>1000</v>
      </c>
      <c r="R1654" s="973" t="s">
        <v>1001</v>
      </c>
      <c r="S1654" s="973" t="s">
        <v>1002</v>
      </c>
      <c r="AE1654" s="423" t="str">
        <f t="shared" si="25"/>
        <v/>
      </c>
    </row>
    <row r="1655" spans="4:31" x14ac:dyDescent="0.25">
      <c r="D1655" s="973" t="s">
        <v>990</v>
      </c>
      <c r="E1655" s="973" t="s">
        <v>991</v>
      </c>
      <c r="F1655" s="973" t="s">
        <v>992</v>
      </c>
      <c r="G1655" s="973" t="s">
        <v>1997</v>
      </c>
      <c r="H1655" s="973" t="s">
        <v>1998</v>
      </c>
      <c r="I1655" s="973" t="s">
        <v>1999</v>
      </c>
      <c r="J1655" s="973" t="s">
        <v>697</v>
      </c>
      <c r="K1655" s="973" t="s">
        <v>995</v>
      </c>
      <c r="L1655" s="973" t="s">
        <v>996</v>
      </c>
      <c r="M1655" s="973" t="s">
        <v>2000</v>
      </c>
      <c r="N1655" s="973" t="s">
        <v>2001</v>
      </c>
      <c r="O1655" s="973" t="s">
        <v>1971</v>
      </c>
      <c r="P1655" s="973" t="s">
        <v>999</v>
      </c>
      <c r="Q1655" s="973" t="s">
        <v>1000</v>
      </c>
      <c r="R1655" s="973" t="s">
        <v>1001</v>
      </c>
      <c r="S1655" s="973" t="s">
        <v>1002</v>
      </c>
      <c r="AE1655" s="423" t="str">
        <f t="shared" si="25"/>
        <v/>
      </c>
    </row>
    <row r="1656" spans="4:31" x14ac:dyDescent="0.25">
      <c r="D1656" s="973" t="s">
        <v>990</v>
      </c>
      <c r="E1656" s="973" t="s">
        <v>991</v>
      </c>
      <c r="F1656" s="973" t="s">
        <v>992</v>
      </c>
      <c r="G1656" s="973" t="s">
        <v>1997</v>
      </c>
      <c r="H1656" s="973" t="s">
        <v>1998</v>
      </c>
      <c r="I1656" s="973" t="s">
        <v>1999</v>
      </c>
      <c r="J1656" s="973" t="s">
        <v>697</v>
      </c>
      <c r="K1656" s="973" t="s">
        <v>995</v>
      </c>
      <c r="L1656" s="973" t="s">
        <v>996</v>
      </c>
      <c r="M1656" s="973" t="s">
        <v>2000</v>
      </c>
      <c r="N1656" s="973" t="s">
        <v>2001</v>
      </c>
      <c r="O1656" s="973" t="s">
        <v>1971</v>
      </c>
      <c r="P1656" s="973" t="s">
        <v>999</v>
      </c>
      <c r="Q1656" s="973" t="s">
        <v>1000</v>
      </c>
      <c r="R1656" s="973" t="s">
        <v>1001</v>
      </c>
      <c r="S1656" s="973" t="s">
        <v>1002</v>
      </c>
      <c r="AE1656" s="423" t="str">
        <f t="shared" si="25"/>
        <v/>
      </c>
    </row>
    <row r="1657" spans="4:31" x14ac:dyDescent="0.25">
      <c r="D1657" s="973" t="s">
        <v>990</v>
      </c>
      <c r="E1657" s="973" t="s">
        <v>991</v>
      </c>
      <c r="F1657" s="973" t="s">
        <v>992</v>
      </c>
      <c r="G1657" s="973" t="s">
        <v>1997</v>
      </c>
      <c r="H1657" s="973" t="s">
        <v>1998</v>
      </c>
      <c r="I1657" s="973" t="s">
        <v>1999</v>
      </c>
      <c r="J1657" s="973" t="s">
        <v>697</v>
      </c>
      <c r="K1657" s="973" t="s">
        <v>995</v>
      </c>
      <c r="L1657" s="973" t="s">
        <v>996</v>
      </c>
      <c r="M1657" s="973" t="s">
        <v>2000</v>
      </c>
      <c r="N1657" s="973" t="s">
        <v>2001</v>
      </c>
      <c r="O1657" s="973" t="s">
        <v>1971</v>
      </c>
      <c r="P1657" s="973" t="s">
        <v>999</v>
      </c>
      <c r="Q1657" s="973" t="s">
        <v>1000</v>
      </c>
      <c r="R1657" s="973" t="s">
        <v>1001</v>
      </c>
      <c r="S1657" s="973" t="s">
        <v>1002</v>
      </c>
      <c r="AE1657" s="423" t="str">
        <f t="shared" si="25"/>
        <v/>
      </c>
    </row>
    <row r="1658" spans="4:31" x14ac:dyDescent="0.25">
      <c r="D1658" s="973" t="s">
        <v>990</v>
      </c>
      <c r="E1658" s="973" t="s">
        <v>991</v>
      </c>
      <c r="F1658" s="973" t="s">
        <v>992</v>
      </c>
      <c r="G1658" s="973" t="s">
        <v>1997</v>
      </c>
      <c r="H1658" s="973" t="s">
        <v>1998</v>
      </c>
      <c r="I1658" s="973" t="s">
        <v>1999</v>
      </c>
      <c r="J1658" s="973" t="s">
        <v>697</v>
      </c>
      <c r="K1658" s="973" t="s">
        <v>995</v>
      </c>
      <c r="L1658" s="973" t="s">
        <v>996</v>
      </c>
      <c r="M1658" s="973" t="s">
        <v>2000</v>
      </c>
      <c r="N1658" s="973" t="s">
        <v>2001</v>
      </c>
      <c r="O1658" s="973" t="s">
        <v>1971</v>
      </c>
      <c r="P1658" s="973" t="s">
        <v>999</v>
      </c>
      <c r="Q1658" s="973" t="s">
        <v>1000</v>
      </c>
      <c r="R1658" s="973" t="s">
        <v>1001</v>
      </c>
      <c r="S1658" s="973" t="s">
        <v>1002</v>
      </c>
      <c r="AE1658" s="423" t="str">
        <f t="shared" si="25"/>
        <v/>
      </c>
    </row>
    <row r="1659" spans="4:31" x14ac:dyDescent="0.25">
      <c r="D1659" s="973" t="s">
        <v>990</v>
      </c>
      <c r="E1659" s="973" t="s">
        <v>991</v>
      </c>
      <c r="F1659" s="973" t="s">
        <v>992</v>
      </c>
      <c r="G1659" s="973" t="s">
        <v>1997</v>
      </c>
      <c r="H1659" s="973" t="s">
        <v>1998</v>
      </c>
      <c r="I1659" s="973" t="s">
        <v>1999</v>
      </c>
      <c r="J1659" s="973" t="s">
        <v>697</v>
      </c>
      <c r="K1659" s="973" t="s">
        <v>995</v>
      </c>
      <c r="L1659" s="973" t="s">
        <v>996</v>
      </c>
      <c r="M1659" s="973" t="s">
        <v>2000</v>
      </c>
      <c r="N1659" s="973" t="s">
        <v>2001</v>
      </c>
      <c r="O1659" s="973" t="s">
        <v>1971</v>
      </c>
      <c r="P1659" s="973" t="s">
        <v>999</v>
      </c>
      <c r="Q1659" s="973" t="s">
        <v>1000</v>
      </c>
      <c r="R1659" s="973" t="s">
        <v>1001</v>
      </c>
      <c r="S1659" s="973" t="s">
        <v>1002</v>
      </c>
      <c r="AE1659" s="423" t="str">
        <f t="shared" si="25"/>
        <v/>
      </c>
    </row>
    <row r="1660" spans="4:31" x14ac:dyDescent="0.25">
      <c r="D1660" s="973" t="s">
        <v>990</v>
      </c>
      <c r="E1660" s="973" t="s">
        <v>991</v>
      </c>
      <c r="F1660" s="973" t="s">
        <v>992</v>
      </c>
      <c r="G1660" s="973" t="s">
        <v>1997</v>
      </c>
      <c r="H1660" s="973" t="s">
        <v>1998</v>
      </c>
      <c r="I1660" s="973" t="s">
        <v>1999</v>
      </c>
      <c r="J1660" s="973" t="s">
        <v>697</v>
      </c>
      <c r="K1660" s="973" t="s">
        <v>995</v>
      </c>
      <c r="L1660" s="973" t="s">
        <v>996</v>
      </c>
      <c r="M1660" s="973" t="s">
        <v>2000</v>
      </c>
      <c r="N1660" s="973" t="s">
        <v>2001</v>
      </c>
      <c r="O1660" s="973" t="s">
        <v>1971</v>
      </c>
      <c r="P1660" s="973" t="s">
        <v>999</v>
      </c>
      <c r="Q1660" s="973" t="s">
        <v>1000</v>
      </c>
      <c r="R1660" s="973" t="s">
        <v>1001</v>
      </c>
      <c r="S1660" s="973" t="s">
        <v>1002</v>
      </c>
      <c r="AE1660" s="423" t="str">
        <f t="shared" si="25"/>
        <v/>
      </c>
    </row>
    <row r="1661" spans="4:31" x14ac:dyDescent="0.25">
      <c r="D1661" s="973" t="s">
        <v>990</v>
      </c>
      <c r="E1661" s="973" t="s">
        <v>991</v>
      </c>
      <c r="F1661" s="973" t="s">
        <v>992</v>
      </c>
      <c r="G1661" s="973" t="s">
        <v>1997</v>
      </c>
      <c r="H1661" s="973" t="s">
        <v>1998</v>
      </c>
      <c r="I1661" s="973" t="s">
        <v>1999</v>
      </c>
      <c r="J1661" s="973" t="s">
        <v>697</v>
      </c>
      <c r="K1661" s="973" t="s">
        <v>995</v>
      </c>
      <c r="L1661" s="973" t="s">
        <v>996</v>
      </c>
      <c r="M1661" s="973" t="s">
        <v>2000</v>
      </c>
      <c r="N1661" s="973" t="s">
        <v>2001</v>
      </c>
      <c r="O1661" s="973" t="s">
        <v>1971</v>
      </c>
      <c r="P1661" s="973" t="s">
        <v>999</v>
      </c>
      <c r="Q1661" s="973" t="s">
        <v>1000</v>
      </c>
      <c r="R1661" s="973" t="s">
        <v>1001</v>
      </c>
      <c r="S1661" s="973" t="s">
        <v>1002</v>
      </c>
      <c r="AE1661" s="423" t="str">
        <f t="shared" si="25"/>
        <v/>
      </c>
    </row>
    <row r="1662" spans="4:31" x14ac:dyDescent="0.25">
      <c r="D1662" s="973" t="s">
        <v>990</v>
      </c>
      <c r="E1662" s="973" t="s">
        <v>991</v>
      </c>
      <c r="F1662" s="973" t="s">
        <v>992</v>
      </c>
      <c r="G1662" s="973" t="s">
        <v>1997</v>
      </c>
      <c r="H1662" s="973" t="s">
        <v>1998</v>
      </c>
      <c r="I1662" s="973" t="s">
        <v>1999</v>
      </c>
      <c r="J1662" s="973" t="s">
        <v>697</v>
      </c>
      <c r="K1662" s="973" t="s">
        <v>995</v>
      </c>
      <c r="L1662" s="973" t="s">
        <v>996</v>
      </c>
      <c r="M1662" s="973" t="s">
        <v>2000</v>
      </c>
      <c r="N1662" s="973" t="s">
        <v>2001</v>
      </c>
      <c r="O1662" s="973" t="s">
        <v>1971</v>
      </c>
      <c r="P1662" s="973" t="s">
        <v>999</v>
      </c>
      <c r="Q1662" s="973" t="s">
        <v>1000</v>
      </c>
      <c r="R1662" s="973" t="s">
        <v>1001</v>
      </c>
      <c r="S1662" s="973" t="s">
        <v>1002</v>
      </c>
      <c r="AE1662" s="423" t="str">
        <f t="shared" si="25"/>
        <v/>
      </c>
    </row>
    <row r="1663" spans="4:31" x14ac:dyDescent="0.25">
      <c r="D1663" s="973" t="s">
        <v>990</v>
      </c>
      <c r="E1663" s="973" t="s">
        <v>991</v>
      </c>
      <c r="F1663" s="973" t="s">
        <v>992</v>
      </c>
      <c r="G1663" s="973" t="s">
        <v>1997</v>
      </c>
      <c r="H1663" s="973" t="s">
        <v>1998</v>
      </c>
      <c r="I1663" s="973" t="s">
        <v>1999</v>
      </c>
      <c r="J1663" s="973" t="s">
        <v>697</v>
      </c>
      <c r="K1663" s="973" t="s">
        <v>995</v>
      </c>
      <c r="L1663" s="973" t="s">
        <v>996</v>
      </c>
      <c r="M1663" s="973" t="s">
        <v>2000</v>
      </c>
      <c r="N1663" s="973" t="s">
        <v>2001</v>
      </c>
      <c r="O1663" s="973" t="s">
        <v>1971</v>
      </c>
      <c r="P1663" s="973" t="s">
        <v>999</v>
      </c>
      <c r="Q1663" s="973" t="s">
        <v>1000</v>
      </c>
      <c r="R1663" s="973" t="s">
        <v>1001</v>
      </c>
      <c r="S1663" s="973" t="s">
        <v>1002</v>
      </c>
      <c r="AE1663" s="423" t="str">
        <f t="shared" si="25"/>
        <v/>
      </c>
    </row>
    <row r="1664" spans="4:31" x14ac:dyDescent="0.25">
      <c r="D1664" s="973" t="s">
        <v>990</v>
      </c>
      <c r="E1664" s="973" t="s">
        <v>991</v>
      </c>
      <c r="F1664" s="973" t="s">
        <v>992</v>
      </c>
      <c r="G1664" s="973" t="s">
        <v>1997</v>
      </c>
      <c r="H1664" s="973" t="s">
        <v>1998</v>
      </c>
      <c r="I1664" s="973" t="s">
        <v>1999</v>
      </c>
      <c r="J1664" s="973" t="s">
        <v>697</v>
      </c>
      <c r="K1664" s="973" t="s">
        <v>995</v>
      </c>
      <c r="L1664" s="973" t="s">
        <v>996</v>
      </c>
      <c r="M1664" s="973" t="s">
        <v>2000</v>
      </c>
      <c r="N1664" s="973" t="s">
        <v>2001</v>
      </c>
      <c r="O1664" s="973" t="s">
        <v>1971</v>
      </c>
      <c r="P1664" s="973" t="s">
        <v>999</v>
      </c>
      <c r="Q1664" s="973" t="s">
        <v>1000</v>
      </c>
      <c r="R1664" s="973" t="s">
        <v>1001</v>
      </c>
      <c r="S1664" s="973" t="s">
        <v>1002</v>
      </c>
      <c r="AE1664" s="423" t="str">
        <f t="shared" si="25"/>
        <v/>
      </c>
    </row>
    <row r="1665" spans="4:31" x14ac:dyDescent="0.25">
      <c r="D1665" s="973" t="s">
        <v>990</v>
      </c>
      <c r="E1665" s="973" t="s">
        <v>991</v>
      </c>
      <c r="F1665" s="973" t="s">
        <v>992</v>
      </c>
      <c r="G1665" s="973" t="s">
        <v>1997</v>
      </c>
      <c r="H1665" s="973" t="s">
        <v>1998</v>
      </c>
      <c r="I1665" s="973" t="s">
        <v>1999</v>
      </c>
      <c r="J1665" s="973" t="s">
        <v>697</v>
      </c>
      <c r="K1665" s="973" t="s">
        <v>995</v>
      </c>
      <c r="L1665" s="973" t="s">
        <v>996</v>
      </c>
      <c r="M1665" s="973" t="s">
        <v>2000</v>
      </c>
      <c r="N1665" s="973" t="s">
        <v>2001</v>
      </c>
      <c r="O1665" s="973" t="s">
        <v>1971</v>
      </c>
      <c r="P1665" s="973" t="s">
        <v>999</v>
      </c>
      <c r="Q1665" s="973" t="s">
        <v>1000</v>
      </c>
      <c r="R1665" s="973" t="s">
        <v>1001</v>
      </c>
      <c r="S1665" s="973" t="s">
        <v>1002</v>
      </c>
      <c r="AE1665" s="423" t="str">
        <f t="shared" si="25"/>
        <v/>
      </c>
    </row>
    <row r="1666" spans="4:31" x14ac:dyDescent="0.25">
      <c r="D1666" s="973" t="s">
        <v>990</v>
      </c>
      <c r="E1666" s="973" t="s">
        <v>991</v>
      </c>
      <c r="F1666" s="973" t="s">
        <v>992</v>
      </c>
      <c r="G1666" s="973" t="s">
        <v>1997</v>
      </c>
      <c r="H1666" s="973" t="s">
        <v>1998</v>
      </c>
      <c r="I1666" s="973" t="s">
        <v>1999</v>
      </c>
      <c r="J1666" s="973" t="s">
        <v>697</v>
      </c>
      <c r="K1666" s="973" t="s">
        <v>995</v>
      </c>
      <c r="L1666" s="973" t="s">
        <v>996</v>
      </c>
      <c r="M1666" s="973" t="s">
        <v>2000</v>
      </c>
      <c r="N1666" s="973" t="s">
        <v>2001</v>
      </c>
      <c r="O1666" s="973" t="s">
        <v>1971</v>
      </c>
      <c r="P1666" s="973" t="s">
        <v>999</v>
      </c>
      <c r="Q1666" s="973" t="s">
        <v>1000</v>
      </c>
      <c r="R1666" s="973" t="s">
        <v>1001</v>
      </c>
      <c r="S1666" s="973" t="s">
        <v>1002</v>
      </c>
      <c r="AE1666" s="423" t="str">
        <f t="shared" si="25"/>
        <v/>
      </c>
    </row>
    <row r="1667" spans="4:31" x14ac:dyDescent="0.25">
      <c r="D1667" s="973" t="s">
        <v>990</v>
      </c>
      <c r="E1667" s="973" t="s">
        <v>991</v>
      </c>
      <c r="F1667" s="973" t="s">
        <v>992</v>
      </c>
      <c r="G1667" s="973" t="s">
        <v>1997</v>
      </c>
      <c r="H1667" s="973" t="s">
        <v>1998</v>
      </c>
      <c r="I1667" s="973" t="s">
        <v>1999</v>
      </c>
      <c r="J1667" s="973" t="s">
        <v>697</v>
      </c>
      <c r="K1667" s="973" t="s">
        <v>995</v>
      </c>
      <c r="L1667" s="973" t="s">
        <v>996</v>
      </c>
      <c r="M1667" s="973" t="s">
        <v>2000</v>
      </c>
      <c r="N1667" s="973" t="s">
        <v>2001</v>
      </c>
      <c r="O1667" s="973" t="s">
        <v>1971</v>
      </c>
      <c r="P1667" s="973" t="s">
        <v>999</v>
      </c>
      <c r="Q1667" s="973" t="s">
        <v>1000</v>
      </c>
      <c r="R1667" s="973" t="s">
        <v>1001</v>
      </c>
      <c r="S1667" s="973" t="s">
        <v>1002</v>
      </c>
      <c r="AE1667" s="423" t="str">
        <f t="shared" ref="AE1667:AE1730" si="26">B1667&amp;C1667</f>
        <v/>
      </c>
    </row>
    <row r="1668" spans="4:31" x14ac:dyDescent="0.25">
      <c r="D1668" s="973" t="s">
        <v>990</v>
      </c>
      <c r="E1668" s="973" t="s">
        <v>991</v>
      </c>
      <c r="F1668" s="973" t="s">
        <v>992</v>
      </c>
      <c r="G1668" s="973" t="s">
        <v>1997</v>
      </c>
      <c r="H1668" s="973" t="s">
        <v>1998</v>
      </c>
      <c r="I1668" s="973" t="s">
        <v>1999</v>
      </c>
      <c r="J1668" s="973" t="s">
        <v>697</v>
      </c>
      <c r="K1668" s="973" t="s">
        <v>995</v>
      </c>
      <c r="L1668" s="973" t="s">
        <v>996</v>
      </c>
      <c r="M1668" s="973" t="s">
        <v>2000</v>
      </c>
      <c r="N1668" s="973" t="s">
        <v>2001</v>
      </c>
      <c r="O1668" s="973" t="s">
        <v>1971</v>
      </c>
      <c r="P1668" s="973" t="s">
        <v>999</v>
      </c>
      <c r="Q1668" s="973" t="s">
        <v>1000</v>
      </c>
      <c r="R1668" s="973" t="s">
        <v>1001</v>
      </c>
      <c r="S1668" s="973" t="s">
        <v>1002</v>
      </c>
      <c r="AE1668" s="423" t="str">
        <f t="shared" si="26"/>
        <v/>
      </c>
    </row>
    <row r="1669" spans="4:31" x14ac:dyDescent="0.25">
      <c r="D1669" s="973" t="s">
        <v>990</v>
      </c>
      <c r="E1669" s="973" t="s">
        <v>991</v>
      </c>
      <c r="F1669" s="973" t="s">
        <v>992</v>
      </c>
      <c r="G1669" s="973" t="s">
        <v>1997</v>
      </c>
      <c r="H1669" s="973" t="s">
        <v>1998</v>
      </c>
      <c r="I1669" s="973" t="s">
        <v>1999</v>
      </c>
      <c r="J1669" s="973" t="s">
        <v>697</v>
      </c>
      <c r="K1669" s="973" t="s">
        <v>995</v>
      </c>
      <c r="L1669" s="973" t="s">
        <v>996</v>
      </c>
      <c r="M1669" s="973" t="s">
        <v>2000</v>
      </c>
      <c r="N1669" s="973" t="s">
        <v>2001</v>
      </c>
      <c r="O1669" s="973" t="s">
        <v>1971</v>
      </c>
      <c r="P1669" s="973" t="s">
        <v>999</v>
      </c>
      <c r="Q1669" s="973" t="s">
        <v>1000</v>
      </c>
      <c r="R1669" s="973" t="s">
        <v>1001</v>
      </c>
      <c r="S1669" s="973" t="s">
        <v>1002</v>
      </c>
      <c r="AE1669" s="423" t="str">
        <f t="shared" si="26"/>
        <v/>
      </c>
    </row>
    <row r="1670" spans="4:31" x14ac:dyDescent="0.25">
      <c r="D1670" s="973" t="s">
        <v>990</v>
      </c>
      <c r="E1670" s="973" t="s">
        <v>991</v>
      </c>
      <c r="F1670" s="973" t="s">
        <v>992</v>
      </c>
      <c r="G1670" s="973" t="s">
        <v>1997</v>
      </c>
      <c r="H1670" s="973" t="s">
        <v>1998</v>
      </c>
      <c r="I1670" s="973" t="s">
        <v>1999</v>
      </c>
      <c r="J1670" s="973" t="s">
        <v>697</v>
      </c>
      <c r="K1670" s="973" t="s">
        <v>995</v>
      </c>
      <c r="L1670" s="973" t="s">
        <v>996</v>
      </c>
      <c r="M1670" s="973" t="s">
        <v>2000</v>
      </c>
      <c r="N1670" s="973" t="s">
        <v>2001</v>
      </c>
      <c r="O1670" s="973" t="s">
        <v>1971</v>
      </c>
      <c r="P1670" s="973" t="s">
        <v>999</v>
      </c>
      <c r="Q1670" s="973" t="s">
        <v>1000</v>
      </c>
      <c r="R1670" s="973" t="s">
        <v>1001</v>
      </c>
      <c r="S1670" s="973" t="s">
        <v>1002</v>
      </c>
      <c r="AE1670" s="423" t="str">
        <f t="shared" si="26"/>
        <v/>
      </c>
    </row>
    <row r="1671" spans="4:31" x14ac:dyDescent="0.25">
      <c r="D1671" s="973" t="s">
        <v>990</v>
      </c>
      <c r="E1671" s="973" t="s">
        <v>991</v>
      </c>
      <c r="F1671" s="973" t="s">
        <v>992</v>
      </c>
      <c r="G1671" s="973" t="s">
        <v>1997</v>
      </c>
      <c r="H1671" s="973" t="s">
        <v>1998</v>
      </c>
      <c r="I1671" s="973" t="s">
        <v>1999</v>
      </c>
      <c r="J1671" s="973" t="s">
        <v>697</v>
      </c>
      <c r="K1671" s="973" t="s">
        <v>995</v>
      </c>
      <c r="L1671" s="973" t="s">
        <v>996</v>
      </c>
      <c r="M1671" s="973" t="s">
        <v>2000</v>
      </c>
      <c r="N1671" s="973" t="s">
        <v>2001</v>
      </c>
      <c r="O1671" s="973" t="s">
        <v>1971</v>
      </c>
      <c r="P1671" s="973" t="s">
        <v>999</v>
      </c>
      <c r="Q1671" s="973" t="s">
        <v>1000</v>
      </c>
      <c r="R1671" s="973" t="s">
        <v>1001</v>
      </c>
      <c r="S1671" s="973" t="s">
        <v>1002</v>
      </c>
      <c r="AE1671" s="423" t="str">
        <f t="shared" si="26"/>
        <v/>
      </c>
    </row>
    <row r="1672" spans="4:31" x14ac:dyDescent="0.25">
      <c r="D1672" s="973" t="s">
        <v>990</v>
      </c>
      <c r="E1672" s="973" t="s">
        <v>991</v>
      </c>
      <c r="F1672" s="973" t="s">
        <v>992</v>
      </c>
      <c r="G1672" s="973" t="s">
        <v>1997</v>
      </c>
      <c r="H1672" s="973" t="s">
        <v>1998</v>
      </c>
      <c r="I1672" s="973" t="s">
        <v>1999</v>
      </c>
      <c r="J1672" s="973" t="s">
        <v>697</v>
      </c>
      <c r="K1672" s="973" t="s">
        <v>995</v>
      </c>
      <c r="L1672" s="973" t="s">
        <v>996</v>
      </c>
      <c r="M1672" s="973" t="s">
        <v>2000</v>
      </c>
      <c r="N1672" s="973" t="s">
        <v>2001</v>
      </c>
      <c r="O1672" s="973" t="s">
        <v>1971</v>
      </c>
      <c r="P1672" s="973" t="s">
        <v>999</v>
      </c>
      <c r="Q1672" s="973" t="s">
        <v>1000</v>
      </c>
      <c r="R1672" s="973" t="s">
        <v>1001</v>
      </c>
      <c r="S1672" s="973" t="s">
        <v>1002</v>
      </c>
      <c r="AE1672" s="423" t="str">
        <f t="shared" si="26"/>
        <v/>
      </c>
    </row>
    <row r="1673" spans="4:31" x14ac:dyDescent="0.25">
      <c r="D1673" s="973" t="s">
        <v>990</v>
      </c>
      <c r="E1673" s="973" t="s">
        <v>991</v>
      </c>
      <c r="F1673" s="973" t="s">
        <v>992</v>
      </c>
      <c r="G1673" s="973" t="s">
        <v>1997</v>
      </c>
      <c r="H1673" s="973" t="s">
        <v>1998</v>
      </c>
      <c r="I1673" s="973" t="s">
        <v>1999</v>
      </c>
      <c r="J1673" s="973" t="s">
        <v>697</v>
      </c>
      <c r="K1673" s="973" t="s">
        <v>995</v>
      </c>
      <c r="L1673" s="973" t="s">
        <v>996</v>
      </c>
      <c r="M1673" s="973" t="s">
        <v>2000</v>
      </c>
      <c r="N1673" s="973" t="s">
        <v>2001</v>
      </c>
      <c r="O1673" s="973" t="s">
        <v>1971</v>
      </c>
      <c r="P1673" s="973" t="s">
        <v>999</v>
      </c>
      <c r="Q1673" s="973" t="s">
        <v>1000</v>
      </c>
      <c r="R1673" s="973" t="s">
        <v>1001</v>
      </c>
      <c r="S1673" s="973" t="s">
        <v>1002</v>
      </c>
      <c r="AE1673" s="423" t="str">
        <f t="shared" si="26"/>
        <v/>
      </c>
    </row>
    <row r="1674" spans="4:31" x14ac:dyDescent="0.25">
      <c r="D1674" s="973" t="s">
        <v>990</v>
      </c>
      <c r="E1674" s="973" t="s">
        <v>991</v>
      </c>
      <c r="F1674" s="973" t="s">
        <v>992</v>
      </c>
      <c r="G1674" s="973" t="s">
        <v>1997</v>
      </c>
      <c r="H1674" s="973" t="s">
        <v>1998</v>
      </c>
      <c r="I1674" s="973" t="s">
        <v>1999</v>
      </c>
      <c r="J1674" s="973" t="s">
        <v>697</v>
      </c>
      <c r="K1674" s="973" t="s">
        <v>995</v>
      </c>
      <c r="L1674" s="973" t="s">
        <v>996</v>
      </c>
      <c r="M1674" s="973" t="s">
        <v>2000</v>
      </c>
      <c r="N1674" s="973" t="s">
        <v>2001</v>
      </c>
      <c r="O1674" s="973" t="s">
        <v>1971</v>
      </c>
      <c r="P1674" s="973" t="s">
        <v>999</v>
      </c>
      <c r="Q1674" s="973" t="s">
        <v>1000</v>
      </c>
      <c r="R1674" s="973" t="s">
        <v>1001</v>
      </c>
      <c r="S1674" s="973" t="s">
        <v>1002</v>
      </c>
      <c r="AE1674" s="423" t="str">
        <f t="shared" si="26"/>
        <v/>
      </c>
    </row>
    <row r="1675" spans="4:31" x14ac:dyDescent="0.25">
      <c r="D1675" s="973" t="s">
        <v>990</v>
      </c>
      <c r="E1675" s="973" t="s">
        <v>991</v>
      </c>
      <c r="F1675" s="973" t="s">
        <v>992</v>
      </c>
      <c r="G1675" s="973" t="s">
        <v>1997</v>
      </c>
      <c r="H1675" s="973" t="s">
        <v>1998</v>
      </c>
      <c r="I1675" s="973" t="s">
        <v>1999</v>
      </c>
      <c r="J1675" s="973" t="s">
        <v>697</v>
      </c>
      <c r="K1675" s="973" t="s">
        <v>995</v>
      </c>
      <c r="L1675" s="973" t="s">
        <v>996</v>
      </c>
      <c r="M1675" s="973" t="s">
        <v>2000</v>
      </c>
      <c r="N1675" s="973" t="s">
        <v>2001</v>
      </c>
      <c r="O1675" s="973" t="s">
        <v>1971</v>
      </c>
      <c r="P1675" s="973" t="s">
        <v>999</v>
      </c>
      <c r="Q1675" s="973" t="s">
        <v>1000</v>
      </c>
      <c r="R1675" s="973" t="s">
        <v>1001</v>
      </c>
      <c r="S1675" s="973" t="s">
        <v>1002</v>
      </c>
      <c r="AE1675" s="423" t="str">
        <f t="shared" si="26"/>
        <v/>
      </c>
    </row>
    <row r="1676" spans="4:31" x14ac:dyDescent="0.25">
      <c r="D1676" s="973" t="s">
        <v>990</v>
      </c>
      <c r="E1676" s="973" t="s">
        <v>991</v>
      </c>
      <c r="F1676" s="973" t="s">
        <v>992</v>
      </c>
      <c r="G1676" s="973" t="s">
        <v>1997</v>
      </c>
      <c r="H1676" s="973" t="s">
        <v>1998</v>
      </c>
      <c r="I1676" s="973" t="s">
        <v>1999</v>
      </c>
      <c r="J1676" s="973" t="s">
        <v>697</v>
      </c>
      <c r="K1676" s="973" t="s">
        <v>995</v>
      </c>
      <c r="L1676" s="973" t="s">
        <v>996</v>
      </c>
      <c r="M1676" s="973" t="s">
        <v>2000</v>
      </c>
      <c r="N1676" s="973" t="s">
        <v>2001</v>
      </c>
      <c r="O1676" s="973" t="s">
        <v>1971</v>
      </c>
      <c r="P1676" s="973" t="s">
        <v>999</v>
      </c>
      <c r="Q1676" s="973" t="s">
        <v>1000</v>
      </c>
      <c r="R1676" s="973" t="s">
        <v>1001</v>
      </c>
      <c r="S1676" s="973" t="s">
        <v>1002</v>
      </c>
      <c r="AE1676" s="423" t="str">
        <f t="shared" si="26"/>
        <v/>
      </c>
    </row>
    <row r="1677" spans="4:31" x14ac:dyDescent="0.25">
      <c r="D1677" s="973" t="s">
        <v>990</v>
      </c>
      <c r="E1677" s="973" t="s">
        <v>991</v>
      </c>
      <c r="F1677" s="973" t="s">
        <v>992</v>
      </c>
      <c r="G1677" s="973" t="s">
        <v>1997</v>
      </c>
      <c r="H1677" s="973" t="s">
        <v>1998</v>
      </c>
      <c r="I1677" s="973" t="s">
        <v>1999</v>
      </c>
      <c r="J1677" s="973" t="s">
        <v>697</v>
      </c>
      <c r="K1677" s="973" t="s">
        <v>995</v>
      </c>
      <c r="L1677" s="973" t="s">
        <v>996</v>
      </c>
      <c r="M1677" s="973" t="s">
        <v>2000</v>
      </c>
      <c r="N1677" s="973" t="s">
        <v>2001</v>
      </c>
      <c r="O1677" s="973" t="s">
        <v>1971</v>
      </c>
      <c r="P1677" s="973" t="s">
        <v>999</v>
      </c>
      <c r="Q1677" s="973" t="s">
        <v>1000</v>
      </c>
      <c r="R1677" s="973" t="s">
        <v>1001</v>
      </c>
      <c r="S1677" s="973" t="s">
        <v>1002</v>
      </c>
      <c r="AE1677" s="423" t="str">
        <f t="shared" si="26"/>
        <v/>
      </c>
    </row>
    <row r="1678" spans="4:31" x14ac:dyDescent="0.25">
      <c r="D1678" s="973" t="s">
        <v>990</v>
      </c>
      <c r="E1678" s="973" t="s">
        <v>991</v>
      </c>
      <c r="F1678" s="973" t="s">
        <v>992</v>
      </c>
      <c r="G1678" s="973" t="s">
        <v>1997</v>
      </c>
      <c r="H1678" s="973" t="s">
        <v>1998</v>
      </c>
      <c r="I1678" s="973" t="s">
        <v>1999</v>
      </c>
      <c r="J1678" s="973" t="s">
        <v>697</v>
      </c>
      <c r="K1678" s="973" t="s">
        <v>995</v>
      </c>
      <c r="L1678" s="973" t="s">
        <v>996</v>
      </c>
      <c r="M1678" s="973" t="s">
        <v>2000</v>
      </c>
      <c r="N1678" s="973" t="s">
        <v>2001</v>
      </c>
      <c r="O1678" s="973" t="s">
        <v>1971</v>
      </c>
      <c r="P1678" s="973" t="s">
        <v>999</v>
      </c>
      <c r="Q1678" s="973" t="s">
        <v>1000</v>
      </c>
      <c r="R1678" s="973" t="s">
        <v>1001</v>
      </c>
      <c r="S1678" s="973" t="s">
        <v>1002</v>
      </c>
      <c r="AE1678" s="423" t="str">
        <f t="shared" si="26"/>
        <v/>
      </c>
    </row>
    <row r="1679" spans="4:31" x14ac:dyDescent="0.25">
      <c r="D1679" s="973" t="s">
        <v>990</v>
      </c>
      <c r="E1679" s="973" t="s">
        <v>991</v>
      </c>
      <c r="F1679" s="973" t="s">
        <v>992</v>
      </c>
      <c r="G1679" s="973" t="s">
        <v>1997</v>
      </c>
      <c r="H1679" s="973" t="s">
        <v>1998</v>
      </c>
      <c r="I1679" s="973" t="s">
        <v>1999</v>
      </c>
      <c r="J1679" s="973" t="s">
        <v>697</v>
      </c>
      <c r="K1679" s="973" t="s">
        <v>995</v>
      </c>
      <c r="L1679" s="973" t="s">
        <v>996</v>
      </c>
      <c r="M1679" s="973" t="s">
        <v>2000</v>
      </c>
      <c r="N1679" s="973" t="s">
        <v>2001</v>
      </c>
      <c r="O1679" s="973" t="s">
        <v>1971</v>
      </c>
      <c r="P1679" s="973" t="s">
        <v>999</v>
      </c>
      <c r="Q1679" s="973" t="s">
        <v>1000</v>
      </c>
      <c r="R1679" s="973" t="s">
        <v>1001</v>
      </c>
      <c r="S1679" s="973" t="s">
        <v>1002</v>
      </c>
      <c r="AE1679" s="423" t="str">
        <f t="shared" si="26"/>
        <v/>
      </c>
    </row>
    <row r="1680" spans="4:31" x14ac:dyDescent="0.25">
      <c r="D1680" s="973" t="s">
        <v>990</v>
      </c>
      <c r="E1680" s="973" t="s">
        <v>991</v>
      </c>
      <c r="F1680" s="973" t="s">
        <v>992</v>
      </c>
      <c r="G1680" s="973" t="s">
        <v>1997</v>
      </c>
      <c r="H1680" s="973" t="s">
        <v>1998</v>
      </c>
      <c r="I1680" s="973" t="s">
        <v>1999</v>
      </c>
      <c r="J1680" s="973" t="s">
        <v>697</v>
      </c>
      <c r="K1680" s="973" t="s">
        <v>995</v>
      </c>
      <c r="L1680" s="973" t="s">
        <v>996</v>
      </c>
      <c r="M1680" s="973" t="s">
        <v>2000</v>
      </c>
      <c r="N1680" s="973" t="s">
        <v>2001</v>
      </c>
      <c r="O1680" s="973" t="s">
        <v>1971</v>
      </c>
      <c r="P1680" s="973" t="s">
        <v>999</v>
      </c>
      <c r="Q1680" s="973" t="s">
        <v>1000</v>
      </c>
      <c r="R1680" s="973" t="s">
        <v>1001</v>
      </c>
      <c r="S1680" s="973" t="s">
        <v>1002</v>
      </c>
      <c r="AE1680" s="423" t="str">
        <f t="shared" si="26"/>
        <v/>
      </c>
    </row>
    <row r="1681" spans="4:31" x14ac:dyDescent="0.25">
      <c r="D1681" s="973" t="s">
        <v>990</v>
      </c>
      <c r="E1681" s="973" t="s">
        <v>991</v>
      </c>
      <c r="F1681" s="973" t="s">
        <v>992</v>
      </c>
      <c r="G1681" s="973" t="s">
        <v>1997</v>
      </c>
      <c r="H1681" s="973" t="s">
        <v>1998</v>
      </c>
      <c r="I1681" s="973" t="s">
        <v>1999</v>
      </c>
      <c r="J1681" s="973" t="s">
        <v>697</v>
      </c>
      <c r="K1681" s="973" t="s">
        <v>995</v>
      </c>
      <c r="L1681" s="973" t="s">
        <v>996</v>
      </c>
      <c r="M1681" s="973" t="s">
        <v>2000</v>
      </c>
      <c r="N1681" s="973" t="s">
        <v>2001</v>
      </c>
      <c r="O1681" s="973" t="s">
        <v>1971</v>
      </c>
      <c r="P1681" s="973" t="s">
        <v>999</v>
      </c>
      <c r="Q1681" s="973" t="s">
        <v>1000</v>
      </c>
      <c r="R1681" s="973" t="s">
        <v>1001</v>
      </c>
      <c r="S1681" s="973" t="s">
        <v>1002</v>
      </c>
      <c r="AE1681" s="423" t="str">
        <f t="shared" si="26"/>
        <v/>
      </c>
    </row>
    <row r="1682" spans="4:31" x14ac:dyDescent="0.25">
      <c r="D1682" s="973" t="s">
        <v>990</v>
      </c>
      <c r="E1682" s="973" t="s">
        <v>991</v>
      </c>
      <c r="F1682" s="973" t="s">
        <v>992</v>
      </c>
      <c r="G1682" s="973" t="s">
        <v>1997</v>
      </c>
      <c r="H1682" s="973" t="s">
        <v>1998</v>
      </c>
      <c r="I1682" s="973" t="s">
        <v>1999</v>
      </c>
      <c r="J1682" s="973" t="s">
        <v>697</v>
      </c>
      <c r="K1682" s="973" t="s">
        <v>995</v>
      </c>
      <c r="L1682" s="973" t="s">
        <v>996</v>
      </c>
      <c r="M1682" s="973" t="s">
        <v>2000</v>
      </c>
      <c r="N1682" s="973" t="s">
        <v>2001</v>
      </c>
      <c r="O1682" s="973" t="s">
        <v>1971</v>
      </c>
      <c r="P1682" s="973" t="s">
        <v>999</v>
      </c>
      <c r="Q1682" s="973" t="s">
        <v>1000</v>
      </c>
      <c r="R1682" s="973" t="s">
        <v>1001</v>
      </c>
      <c r="S1682" s="973" t="s">
        <v>1002</v>
      </c>
      <c r="AE1682" s="423" t="str">
        <f t="shared" si="26"/>
        <v/>
      </c>
    </row>
    <row r="1683" spans="4:31" x14ac:dyDescent="0.25">
      <c r="D1683" s="973" t="s">
        <v>990</v>
      </c>
      <c r="E1683" s="973" t="s">
        <v>991</v>
      </c>
      <c r="F1683" s="973" t="s">
        <v>992</v>
      </c>
      <c r="G1683" s="973" t="s">
        <v>1997</v>
      </c>
      <c r="H1683" s="973" t="s">
        <v>1998</v>
      </c>
      <c r="I1683" s="973" t="s">
        <v>1999</v>
      </c>
      <c r="J1683" s="973" t="s">
        <v>697</v>
      </c>
      <c r="K1683" s="973" t="s">
        <v>995</v>
      </c>
      <c r="L1683" s="973" t="s">
        <v>996</v>
      </c>
      <c r="M1683" s="973" t="s">
        <v>2000</v>
      </c>
      <c r="N1683" s="973" t="s">
        <v>2001</v>
      </c>
      <c r="O1683" s="973" t="s">
        <v>1971</v>
      </c>
      <c r="P1683" s="973" t="s">
        <v>999</v>
      </c>
      <c r="Q1683" s="973" t="s">
        <v>1000</v>
      </c>
      <c r="R1683" s="973" t="s">
        <v>1001</v>
      </c>
      <c r="S1683" s="973" t="s">
        <v>1002</v>
      </c>
      <c r="AE1683" s="423" t="str">
        <f t="shared" si="26"/>
        <v/>
      </c>
    </row>
    <row r="1684" spans="4:31" x14ac:dyDescent="0.25">
      <c r="D1684" s="973" t="s">
        <v>990</v>
      </c>
      <c r="E1684" s="973" t="s">
        <v>991</v>
      </c>
      <c r="F1684" s="973" t="s">
        <v>992</v>
      </c>
      <c r="G1684" s="973" t="s">
        <v>1997</v>
      </c>
      <c r="H1684" s="973" t="s">
        <v>1998</v>
      </c>
      <c r="I1684" s="973" t="s">
        <v>1999</v>
      </c>
      <c r="J1684" s="973" t="s">
        <v>697</v>
      </c>
      <c r="K1684" s="973" t="s">
        <v>995</v>
      </c>
      <c r="L1684" s="973" t="s">
        <v>996</v>
      </c>
      <c r="M1684" s="973" t="s">
        <v>2000</v>
      </c>
      <c r="N1684" s="973" t="s">
        <v>2001</v>
      </c>
      <c r="O1684" s="973" t="s">
        <v>1971</v>
      </c>
      <c r="P1684" s="973" t="s">
        <v>999</v>
      </c>
      <c r="Q1684" s="973" t="s">
        <v>1000</v>
      </c>
      <c r="R1684" s="973" t="s">
        <v>1001</v>
      </c>
      <c r="S1684" s="973" t="s">
        <v>1002</v>
      </c>
      <c r="AE1684" s="423" t="str">
        <f t="shared" si="26"/>
        <v/>
      </c>
    </row>
    <row r="1685" spans="4:31" x14ac:dyDescent="0.25">
      <c r="D1685" s="973" t="s">
        <v>990</v>
      </c>
      <c r="E1685" s="973" t="s">
        <v>991</v>
      </c>
      <c r="F1685" s="973" t="s">
        <v>992</v>
      </c>
      <c r="G1685" s="973" t="s">
        <v>1997</v>
      </c>
      <c r="H1685" s="973" t="s">
        <v>1998</v>
      </c>
      <c r="I1685" s="973" t="s">
        <v>1999</v>
      </c>
      <c r="J1685" s="973" t="s">
        <v>697</v>
      </c>
      <c r="K1685" s="973" t="s">
        <v>995</v>
      </c>
      <c r="L1685" s="973" t="s">
        <v>996</v>
      </c>
      <c r="M1685" s="973" t="s">
        <v>2000</v>
      </c>
      <c r="N1685" s="973" t="s">
        <v>2001</v>
      </c>
      <c r="O1685" s="973" t="s">
        <v>1971</v>
      </c>
      <c r="P1685" s="973" t="s">
        <v>999</v>
      </c>
      <c r="Q1685" s="973" t="s">
        <v>1000</v>
      </c>
      <c r="R1685" s="973" t="s">
        <v>1001</v>
      </c>
      <c r="S1685" s="973" t="s">
        <v>1002</v>
      </c>
      <c r="AE1685" s="423" t="str">
        <f t="shared" si="26"/>
        <v/>
      </c>
    </row>
    <row r="1686" spans="4:31" x14ac:dyDescent="0.25">
      <c r="D1686" s="973" t="s">
        <v>990</v>
      </c>
      <c r="E1686" s="973" t="s">
        <v>991</v>
      </c>
      <c r="F1686" s="973" t="s">
        <v>992</v>
      </c>
      <c r="G1686" s="973" t="s">
        <v>1997</v>
      </c>
      <c r="H1686" s="973" t="s">
        <v>1998</v>
      </c>
      <c r="I1686" s="973" t="s">
        <v>1999</v>
      </c>
      <c r="J1686" s="973" t="s">
        <v>697</v>
      </c>
      <c r="K1686" s="973" t="s">
        <v>995</v>
      </c>
      <c r="L1686" s="973" t="s">
        <v>996</v>
      </c>
      <c r="M1686" s="973" t="s">
        <v>2000</v>
      </c>
      <c r="N1686" s="973" t="s">
        <v>2001</v>
      </c>
      <c r="O1686" s="973" t="s">
        <v>1971</v>
      </c>
      <c r="P1686" s="973" t="s">
        <v>999</v>
      </c>
      <c r="Q1686" s="973" t="s">
        <v>1000</v>
      </c>
      <c r="R1686" s="973" t="s">
        <v>1001</v>
      </c>
      <c r="S1686" s="973" t="s">
        <v>1002</v>
      </c>
      <c r="AE1686" s="423" t="str">
        <f t="shared" si="26"/>
        <v/>
      </c>
    </row>
    <row r="1687" spans="4:31" x14ac:dyDescent="0.25">
      <c r="D1687" s="973" t="s">
        <v>990</v>
      </c>
      <c r="E1687" s="973" t="s">
        <v>991</v>
      </c>
      <c r="F1687" s="973" t="s">
        <v>992</v>
      </c>
      <c r="G1687" s="973" t="s">
        <v>1997</v>
      </c>
      <c r="H1687" s="973" t="s">
        <v>1998</v>
      </c>
      <c r="I1687" s="973" t="s">
        <v>1999</v>
      </c>
      <c r="J1687" s="973" t="s">
        <v>697</v>
      </c>
      <c r="K1687" s="973" t="s">
        <v>995</v>
      </c>
      <c r="L1687" s="973" t="s">
        <v>996</v>
      </c>
      <c r="M1687" s="973" t="s">
        <v>2000</v>
      </c>
      <c r="N1687" s="973" t="s">
        <v>2001</v>
      </c>
      <c r="O1687" s="973" t="s">
        <v>1971</v>
      </c>
      <c r="P1687" s="973" t="s">
        <v>999</v>
      </c>
      <c r="Q1687" s="973" t="s">
        <v>1000</v>
      </c>
      <c r="R1687" s="973" t="s">
        <v>1001</v>
      </c>
      <c r="S1687" s="973" t="s">
        <v>1002</v>
      </c>
      <c r="AE1687" s="423" t="str">
        <f t="shared" si="26"/>
        <v/>
      </c>
    </row>
    <row r="1688" spans="4:31" x14ac:dyDescent="0.25">
      <c r="D1688" s="973" t="s">
        <v>990</v>
      </c>
      <c r="E1688" s="973" t="s">
        <v>991</v>
      </c>
      <c r="F1688" s="973" t="s">
        <v>992</v>
      </c>
      <c r="G1688" s="973" t="s">
        <v>1997</v>
      </c>
      <c r="H1688" s="973" t="s">
        <v>1998</v>
      </c>
      <c r="I1688" s="973" t="s">
        <v>1999</v>
      </c>
      <c r="J1688" s="973" t="s">
        <v>697</v>
      </c>
      <c r="K1688" s="973" t="s">
        <v>995</v>
      </c>
      <c r="L1688" s="973" t="s">
        <v>996</v>
      </c>
      <c r="M1688" s="973" t="s">
        <v>2000</v>
      </c>
      <c r="N1688" s="973" t="s">
        <v>2001</v>
      </c>
      <c r="O1688" s="973" t="s">
        <v>1971</v>
      </c>
      <c r="P1688" s="973" t="s">
        <v>999</v>
      </c>
      <c r="Q1688" s="973" t="s">
        <v>1000</v>
      </c>
      <c r="R1688" s="973" t="s">
        <v>1001</v>
      </c>
      <c r="S1688" s="973" t="s">
        <v>1002</v>
      </c>
      <c r="AE1688" s="423" t="str">
        <f t="shared" si="26"/>
        <v/>
      </c>
    </row>
    <row r="1689" spans="4:31" x14ac:dyDescent="0.25">
      <c r="D1689" s="973" t="s">
        <v>990</v>
      </c>
      <c r="E1689" s="973" t="s">
        <v>991</v>
      </c>
      <c r="F1689" s="973" t="s">
        <v>992</v>
      </c>
      <c r="G1689" s="973" t="s">
        <v>1997</v>
      </c>
      <c r="H1689" s="973" t="s">
        <v>1998</v>
      </c>
      <c r="I1689" s="973" t="s">
        <v>1999</v>
      </c>
      <c r="J1689" s="973" t="s">
        <v>697</v>
      </c>
      <c r="K1689" s="973" t="s">
        <v>995</v>
      </c>
      <c r="L1689" s="973" t="s">
        <v>996</v>
      </c>
      <c r="M1689" s="973" t="s">
        <v>2000</v>
      </c>
      <c r="N1689" s="973" t="s">
        <v>2001</v>
      </c>
      <c r="O1689" s="973" t="s">
        <v>1971</v>
      </c>
      <c r="P1689" s="973" t="s">
        <v>999</v>
      </c>
      <c r="Q1689" s="973" t="s">
        <v>1000</v>
      </c>
      <c r="R1689" s="973" t="s">
        <v>1001</v>
      </c>
      <c r="S1689" s="973" t="s">
        <v>1002</v>
      </c>
      <c r="AE1689" s="423" t="str">
        <f t="shared" si="26"/>
        <v/>
      </c>
    </row>
    <row r="1690" spans="4:31" x14ac:dyDescent="0.25">
      <c r="D1690" s="973" t="s">
        <v>990</v>
      </c>
      <c r="E1690" s="973" t="s">
        <v>991</v>
      </c>
      <c r="F1690" s="973" t="s">
        <v>992</v>
      </c>
      <c r="G1690" s="973" t="s">
        <v>1997</v>
      </c>
      <c r="H1690" s="973" t="s">
        <v>1998</v>
      </c>
      <c r="I1690" s="973" t="s">
        <v>1999</v>
      </c>
      <c r="J1690" s="973" t="s">
        <v>697</v>
      </c>
      <c r="K1690" s="973" t="s">
        <v>995</v>
      </c>
      <c r="L1690" s="973" t="s">
        <v>996</v>
      </c>
      <c r="M1690" s="973" t="s">
        <v>2000</v>
      </c>
      <c r="N1690" s="973" t="s">
        <v>2001</v>
      </c>
      <c r="O1690" s="973" t="s">
        <v>1971</v>
      </c>
      <c r="P1690" s="973" t="s">
        <v>999</v>
      </c>
      <c r="Q1690" s="973" t="s">
        <v>1000</v>
      </c>
      <c r="R1690" s="973" t="s">
        <v>1001</v>
      </c>
      <c r="S1690" s="973" t="s">
        <v>1002</v>
      </c>
      <c r="AE1690" s="423" t="str">
        <f t="shared" si="26"/>
        <v/>
      </c>
    </row>
    <row r="1691" spans="4:31" x14ac:dyDescent="0.25">
      <c r="D1691" s="973" t="s">
        <v>990</v>
      </c>
      <c r="E1691" s="973" t="s">
        <v>991</v>
      </c>
      <c r="F1691" s="973" t="s">
        <v>992</v>
      </c>
      <c r="G1691" s="973" t="s">
        <v>1997</v>
      </c>
      <c r="H1691" s="973" t="s">
        <v>1998</v>
      </c>
      <c r="I1691" s="973" t="s">
        <v>1999</v>
      </c>
      <c r="J1691" s="973" t="s">
        <v>697</v>
      </c>
      <c r="K1691" s="973" t="s">
        <v>995</v>
      </c>
      <c r="L1691" s="973" t="s">
        <v>996</v>
      </c>
      <c r="M1691" s="973" t="s">
        <v>2000</v>
      </c>
      <c r="N1691" s="973" t="s">
        <v>2001</v>
      </c>
      <c r="O1691" s="973" t="s">
        <v>1971</v>
      </c>
      <c r="P1691" s="973" t="s">
        <v>999</v>
      </c>
      <c r="Q1691" s="973" t="s">
        <v>1000</v>
      </c>
      <c r="R1691" s="973" t="s">
        <v>1001</v>
      </c>
      <c r="S1691" s="973" t="s">
        <v>1002</v>
      </c>
      <c r="AE1691" s="423" t="str">
        <f t="shared" si="26"/>
        <v/>
      </c>
    </row>
    <row r="1692" spans="4:31" x14ac:dyDescent="0.25">
      <c r="D1692" s="973" t="s">
        <v>990</v>
      </c>
      <c r="E1692" s="973" t="s">
        <v>991</v>
      </c>
      <c r="F1692" s="973" t="s">
        <v>992</v>
      </c>
      <c r="G1692" s="973" t="s">
        <v>1997</v>
      </c>
      <c r="H1692" s="973" t="s">
        <v>1998</v>
      </c>
      <c r="I1692" s="973" t="s">
        <v>1999</v>
      </c>
      <c r="J1692" s="973" t="s">
        <v>697</v>
      </c>
      <c r="K1692" s="973" t="s">
        <v>995</v>
      </c>
      <c r="L1692" s="973" t="s">
        <v>996</v>
      </c>
      <c r="M1692" s="973" t="s">
        <v>2000</v>
      </c>
      <c r="N1692" s="973" t="s">
        <v>2001</v>
      </c>
      <c r="O1692" s="973" t="s">
        <v>1971</v>
      </c>
      <c r="P1692" s="973" t="s">
        <v>999</v>
      </c>
      <c r="Q1692" s="973" t="s">
        <v>1000</v>
      </c>
      <c r="R1692" s="973" t="s">
        <v>1001</v>
      </c>
      <c r="S1692" s="973" t="s">
        <v>1002</v>
      </c>
      <c r="AE1692" s="423" t="str">
        <f t="shared" si="26"/>
        <v/>
      </c>
    </row>
    <row r="1693" spans="4:31" x14ac:dyDescent="0.25">
      <c r="D1693" s="973" t="s">
        <v>990</v>
      </c>
      <c r="E1693" s="973" t="s">
        <v>991</v>
      </c>
      <c r="F1693" s="973" t="s">
        <v>992</v>
      </c>
      <c r="G1693" s="973" t="s">
        <v>1997</v>
      </c>
      <c r="H1693" s="973" t="s">
        <v>1998</v>
      </c>
      <c r="I1693" s="973" t="s">
        <v>1999</v>
      </c>
      <c r="J1693" s="973" t="s">
        <v>697</v>
      </c>
      <c r="K1693" s="973" t="s">
        <v>995</v>
      </c>
      <c r="L1693" s="973" t="s">
        <v>996</v>
      </c>
      <c r="M1693" s="973" t="s">
        <v>2000</v>
      </c>
      <c r="N1693" s="973" t="s">
        <v>2001</v>
      </c>
      <c r="O1693" s="973" t="s">
        <v>1971</v>
      </c>
      <c r="P1693" s="973" t="s">
        <v>999</v>
      </c>
      <c r="Q1693" s="973" t="s">
        <v>1000</v>
      </c>
      <c r="R1693" s="973" t="s">
        <v>1001</v>
      </c>
      <c r="S1693" s="973" t="s">
        <v>1002</v>
      </c>
      <c r="AE1693" s="423" t="str">
        <f t="shared" si="26"/>
        <v/>
      </c>
    </row>
    <row r="1694" spans="4:31" x14ac:dyDescent="0.25">
      <c r="D1694" s="973" t="s">
        <v>990</v>
      </c>
      <c r="E1694" s="973" t="s">
        <v>991</v>
      </c>
      <c r="F1694" s="973" t="s">
        <v>992</v>
      </c>
      <c r="G1694" s="973" t="s">
        <v>1997</v>
      </c>
      <c r="H1694" s="973" t="s">
        <v>1998</v>
      </c>
      <c r="I1694" s="973" t="s">
        <v>1999</v>
      </c>
      <c r="J1694" s="973" t="s">
        <v>697</v>
      </c>
      <c r="K1694" s="973" t="s">
        <v>995</v>
      </c>
      <c r="L1694" s="973" t="s">
        <v>996</v>
      </c>
      <c r="M1694" s="973" t="s">
        <v>2000</v>
      </c>
      <c r="N1694" s="973" t="s">
        <v>2001</v>
      </c>
      <c r="O1694" s="973" t="s">
        <v>1971</v>
      </c>
      <c r="P1694" s="973" t="s">
        <v>999</v>
      </c>
      <c r="Q1694" s="973" t="s">
        <v>1000</v>
      </c>
      <c r="R1694" s="973" t="s">
        <v>1001</v>
      </c>
      <c r="S1694" s="973" t="s">
        <v>1002</v>
      </c>
      <c r="AE1694" s="423" t="str">
        <f t="shared" si="26"/>
        <v/>
      </c>
    </row>
    <row r="1695" spans="4:31" x14ac:dyDescent="0.25">
      <c r="D1695" s="973" t="s">
        <v>990</v>
      </c>
      <c r="E1695" s="973" t="s">
        <v>991</v>
      </c>
      <c r="F1695" s="973" t="s">
        <v>992</v>
      </c>
      <c r="G1695" s="973" t="s">
        <v>1997</v>
      </c>
      <c r="H1695" s="973" t="s">
        <v>1998</v>
      </c>
      <c r="I1695" s="973" t="s">
        <v>1999</v>
      </c>
      <c r="J1695" s="973" t="s">
        <v>697</v>
      </c>
      <c r="K1695" s="973" t="s">
        <v>995</v>
      </c>
      <c r="L1695" s="973" t="s">
        <v>996</v>
      </c>
      <c r="M1695" s="973" t="s">
        <v>2000</v>
      </c>
      <c r="N1695" s="973" t="s">
        <v>2001</v>
      </c>
      <c r="O1695" s="973" t="s">
        <v>1971</v>
      </c>
      <c r="P1695" s="973" t="s">
        <v>999</v>
      </c>
      <c r="Q1695" s="973" t="s">
        <v>1000</v>
      </c>
      <c r="R1695" s="973" t="s">
        <v>1001</v>
      </c>
      <c r="S1695" s="973" t="s">
        <v>1002</v>
      </c>
      <c r="AE1695" s="423" t="str">
        <f t="shared" si="26"/>
        <v/>
      </c>
    </row>
    <row r="1696" spans="4:31" x14ac:dyDescent="0.25">
      <c r="D1696" s="973" t="s">
        <v>990</v>
      </c>
      <c r="E1696" s="973" t="s">
        <v>991</v>
      </c>
      <c r="F1696" s="973" t="s">
        <v>992</v>
      </c>
      <c r="G1696" s="973" t="s">
        <v>1997</v>
      </c>
      <c r="H1696" s="973" t="s">
        <v>1998</v>
      </c>
      <c r="I1696" s="973" t="s">
        <v>1999</v>
      </c>
      <c r="J1696" s="973" t="s">
        <v>697</v>
      </c>
      <c r="K1696" s="973" t="s">
        <v>995</v>
      </c>
      <c r="L1696" s="973" t="s">
        <v>996</v>
      </c>
      <c r="M1696" s="973" t="s">
        <v>2000</v>
      </c>
      <c r="N1696" s="973" t="s">
        <v>2001</v>
      </c>
      <c r="O1696" s="973" t="s">
        <v>1971</v>
      </c>
      <c r="P1696" s="973" t="s">
        <v>999</v>
      </c>
      <c r="Q1696" s="973" t="s">
        <v>1000</v>
      </c>
      <c r="R1696" s="973" t="s">
        <v>1001</v>
      </c>
      <c r="S1696" s="973" t="s">
        <v>1002</v>
      </c>
      <c r="AE1696" s="423" t="str">
        <f t="shared" si="26"/>
        <v/>
      </c>
    </row>
    <row r="1697" spans="4:31" x14ac:dyDescent="0.25">
      <c r="D1697" s="973" t="s">
        <v>990</v>
      </c>
      <c r="E1697" s="973" t="s">
        <v>991</v>
      </c>
      <c r="F1697" s="973" t="s">
        <v>992</v>
      </c>
      <c r="G1697" s="973" t="s">
        <v>1997</v>
      </c>
      <c r="H1697" s="973" t="s">
        <v>1998</v>
      </c>
      <c r="I1697" s="973" t="s">
        <v>1999</v>
      </c>
      <c r="J1697" s="973" t="s">
        <v>697</v>
      </c>
      <c r="K1697" s="973" t="s">
        <v>995</v>
      </c>
      <c r="L1697" s="973" t="s">
        <v>996</v>
      </c>
      <c r="M1697" s="973" t="s">
        <v>2000</v>
      </c>
      <c r="N1697" s="973" t="s">
        <v>2001</v>
      </c>
      <c r="O1697" s="973" t="s">
        <v>1971</v>
      </c>
      <c r="P1697" s="973" t="s">
        <v>999</v>
      </c>
      <c r="Q1697" s="973" t="s">
        <v>1000</v>
      </c>
      <c r="R1697" s="973" t="s">
        <v>1001</v>
      </c>
      <c r="S1697" s="973" t="s">
        <v>1002</v>
      </c>
      <c r="AE1697" s="423" t="str">
        <f t="shared" si="26"/>
        <v/>
      </c>
    </row>
    <row r="1698" spans="4:31" x14ac:dyDescent="0.25">
      <c r="D1698" s="973" t="s">
        <v>990</v>
      </c>
      <c r="E1698" s="973" t="s">
        <v>991</v>
      </c>
      <c r="F1698" s="973" t="s">
        <v>992</v>
      </c>
      <c r="G1698" s="973" t="s">
        <v>1997</v>
      </c>
      <c r="H1698" s="973" t="s">
        <v>1998</v>
      </c>
      <c r="I1698" s="973" t="s">
        <v>1999</v>
      </c>
      <c r="J1698" s="973" t="s">
        <v>697</v>
      </c>
      <c r="K1698" s="973" t="s">
        <v>995</v>
      </c>
      <c r="L1698" s="973" t="s">
        <v>996</v>
      </c>
      <c r="M1698" s="973" t="s">
        <v>2000</v>
      </c>
      <c r="N1698" s="973" t="s">
        <v>2001</v>
      </c>
      <c r="O1698" s="973" t="s">
        <v>1971</v>
      </c>
      <c r="P1698" s="973" t="s">
        <v>999</v>
      </c>
      <c r="Q1698" s="973" t="s">
        <v>1000</v>
      </c>
      <c r="R1698" s="973" t="s">
        <v>1001</v>
      </c>
      <c r="S1698" s="973" t="s">
        <v>1002</v>
      </c>
      <c r="AE1698" s="423" t="str">
        <f t="shared" si="26"/>
        <v/>
      </c>
    </row>
    <row r="1699" spans="4:31" x14ac:dyDescent="0.25">
      <c r="D1699" s="973" t="s">
        <v>990</v>
      </c>
      <c r="E1699" s="973" t="s">
        <v>991</v>
      </c>
      <c r="F1699" s="973" t="s">
        <v>992</v>
      </c>
      <c r="G1699" s="973" t="s">
        <v>1997</v>
      </c>
      <c r="H1699" s="973" t="s">
        <v>1998</v>
      </c>
      <c r="I1699" s="973" t="s">
        <v>1999</v>
      </c>
      <c r="J1699" s="973" t="s">
        <v>697</v>
      </c>
      <c r="K1699" s="973" t="s">
        <v>995</v>
      </c>
      <c r="L1699" s="973" t="s">
        <v>996</v>
      </c>
      <c r="M1699" s="973" t="s">
        <v>2000</v>
      </c>
      <c r="N1699" s="973" t="s">
        <v>2001</v>
      </c>
      <c r="O1699" s="973" t="s">
        <v>1971</v>
      </c>
      <c r="P1699" s="973" t="s">
        <v>999</v>
      </c>
      <c r="Q1699" s="973" t="s">
        <v>1000</v>
      </c>
      <c r="R1699" s="973" t="s">
        <v>1001</v>
      </c>
      <c r="S1699" s="973" t="s">
        <v>1002</v>
      </c>
      <c r="AE1699" s="423" t="str">
        <f t="shared" si="26"/>
        <v/>
      </c>
    </row>
    <row r="1700" spans="4:31" x14ac:dyDescent="0.25">
      <c r="D1700" s="973" t="s">
        <v>990</v>
      </c>
      <c r="E1700" s="973" t="s">
        <v>991</v>
      </c>
      <c r="F1700" s="973" t="s">
        <v>992</v>
      </c>
      <c r="G1700" s="973" t="s">
        <v>1997</v>
      </c>
      <c r="H1700" s="973" t="s">
        <v>1998</v>
      </c>
      <c r="I1700" s="973" t="s">
        <v>1999</v>
      </c>
      <c r="J1700" s="973" t="s">
        <v>697</v>
      </c>
      <c r="K1700" s="973" t="s">
        <v>995</v>
      </c>
      <c r="L1700" s="973" t="s">
        <v>996</v>
      </c>
      <c r="M1700" s="973" t="s">
        <v>2000</v>
      </c>
      <c r="N1700" s="973" t="s">
        <v>2001</v>
      </c>
      <c r="O1700" s="973" t="s">
        <v>1971</v>
      </c>
      <c r="P1700" s="973" t="s">
        <v>999</v>
      </c>
      <c r="Q1700" s="973" t="s">
        <v>1000</v>
      </c>
      <c r="R1700" s="973" t="s">
        <v>1001</v>
      </c>
      <c r="S1700" s="973" t="s">
        <v>1002</v>
      </c>
      <c r="AE1700" s="423" t="str">
        <f t="shared" si="26"/>
        <v/>
      </c>
    </row>
    <row r="1701" spans="4:31" x14ac:dyDescent="0.25">
      <c r="D1701" s="973" t="s">
        <v>990</v>
      </c>
      <c r="E1701" s="973" t="s">
        <v>991</v>
      </c>
      <c r="F1701" s="973" t="s">
        <v>992</v>
      </c>
      <c r="G1701" s="973" t="s">
        <v>1997</v>
      </c>
      <c r="H1701" s="973" t="s">
        <v>1998</v>
      </c>
      <c r="I1701" s="973" t="s">
        <v>1999</v>
      </c>
      <c r="J1701" s="973" t="s">
        <v>697</v>
      </c>
      <c r="K1701" s="973" t="s">
        <v>995</v>
      </c>
      <c r="L1701" s="973" t="s">
        <v>996</v>
      </c>
      <c r="M1701" s="973" t="s">
        <v>2000</v>
      </c>
      <c r="N1701" s="973" t="s">
        <v>2001</v>
      </c>
      <c r="O1701" s="973" t="s">
        <v>1971</v>
      </c>
      <c r="P1701" s="973" t="s">
        <v>999</v>
      </c>
      <c r="Q1701" s="973" t="s">
        <v>1000</v>
      </c>
      <c r="R1701" s="973" t="s">
        <v>1001</v>
      </c>
      <c r="S1701" s="973" t="s">
        <v>1002</v>
      </c>
      <c r="AE1701" s="423" t="str">
        <f t="shared" si="26"/>
        <v/>
      </c>
    </row>
    <row r="1702" spans="4:31" x14ac:dyDescent="0.25">
      <c r="D1702" s="973" t="s">
        <v>990</v>
      </c>
      <c r="E1702" s="973" t="s">
        <v>991</v>
      </c>
      <c r="F1702" s="973" t="s">
        <v>992</v>
      </c>
      <c r="G1702" s="973" t="s">
        <v>1997</v>
      </c>
      <c r="H1702" s="973" t="s">
        <v>1998</v>
      </c>
      <c r="I1702" s="973" t="s">
        <v>1999</v>
      </c>
      <c r="J1702" s="973" t="s">
        <v>697</v>
      </c>
      <c r="K1702" s="973" t="s">
        <v>995</v>
      </c>
      <c r="L1702" s="973" t="s">
        <v>996</v>
      </c>
      <c r="M1702" s="973" t="s">
        <v>2000</v>
      </c>
      <c r="N1702" s="973" t="s">
        <v>2001</v>
      </c>
      <c r="O1702" s="973" t="s">
        <v>1971</v>
      </c>
      <c r="P1702" s="973" t="s">
        <v>999</v>
      </c>
      <c r="Q1702" s="973" t="s">
        <v>1000</v>
      </c>
      <c r="R1702" s="973" t="s">
        <v>1001</v>
      </c>
      <c r="S1702" s="973" t="s">
        <v>1002</v>
      </c>
      <c r="AE1702" s="423" t="str">
        <f t="shared" si="26"/>
        <v/>
      </c>
    </row>
    <row r="1703" spans="4:31" x14ac:dyDescent="0.25">
      <c r="D1703" s="973" t="s">
        <v>990</v>
      </c>
      <c r="E1703" s="973" t="s">
        <v>991</v>
      </c>
      <c r="F1703" s="973" t="s">
        <v>992</v>
      </c>
      <c r="G1703" s="973" t="s">
        <v>1997</v>
      </c>
      <c r="H1703" s="973" t="s">
        <v>1998</v>
      </c>
      <c r="I1703" s="973" t="s">
        <v>1999</v>
      </c>
      <c r="J1703" s="973" t="s">
        <v>697</v>
      </c>
      <c r="K1703" s="973" t="s">
        <v>995</v>
      </c>
      <c r="L1703" s="973" t="s">
        <v>996</v>
      </c>
      <c r="M1703" s="973" t="s">
        <v>2000</v>
      </c>
      <c r="N1703" s="973" t="s">
        <v>2001</v>
      </c>
      <c r="O1703" s="973" t="s">
        <v>1971</v>
      </c>
      <c r="P1703" s="973" t="s">
        <v>999</v>
      </c>
      <c r="Q1703" s="973" t="s">
        <v>1000</v>
      </c>
      <c r="R1703" s="973" t="s">
        <v>1001</v>
      </c>
      <c r="S1703" s="973" t="s">
        <v>1002</v>
      </c>
      <c r="AE1703" s="423" t="str">
        <f t="shared" si="26"/>
        <v/>
      </c>
    </row>
    <row r="1704" spans="4:31" x14ac:dyDescent="0.25">
      <c r="D1704" s="973" t="s">
        <v>990</v>
      </c>
      <c r="E1704" s="973" t="s">
        <v>991</v>
      </c>
      <c r="F1704" s="973" t="s">
        <v>992</v>
      </c>
      <c r="G1704" s="973" t="s">
        <v>1997</v>
      </c>
      <c r="H1704" s="973" t="s">
        <v>1998</v>
      </c>
      <c r="I1704" s="973" t="s">
        <v>1999</v>
      </c>
      <c r="J1704" s="973" t="s">
        <v>697</v>
      </c>
      <c r="K1704" s="973" t="s">
        <v>995</v>
      </c>
      <c r="L1704" s="973" t="s">
        <v>996</v>
      </c>
      <c r="M1704" s="973" t="s">
        <v>2000</v>
      </c>
      <c r="N1704" s="973" t="s">
        <v>2001</v>
      </c>
      <c r="O1704" s="973" t="s">
        <v>1971</v>
      </c>
      <c r="P1704" s="973" t="s">
        <v>999</v>
      </c>
      <c r="Q1704" s="973" t="s">
        <v>1000</v>
      </c>
      <c r="R1704" s="973" t="s">
        <v>1001</v>
      </c>
      <c r="S1704" s="973" t="s">
        <v>1002</v>
      </c>
      <c r="AE1704" s="423" t="str">
        <f t="shared" si="26"/>
        <v/>
      </c>
    </row>
    <row r="1705" spans="4:31" x14ac:dyDescent="0.25">
      <c r="D1705" s="973" t="s">
        <v>990</v>
      </c>
      <c r="E1705" s="973" t="s">
        <v>991</v>
      </c>
      <c r="F1705" s="973" t="s">
        <v>992</v>
      </c>
      <c r="G1705" s="973" t="s">
        <v>1997</v>
      </c>
      <c r="H1705" s="973" t="s">
        <v>1998</v>
      </c>
      <c r="I1705" s="973" t="s">
        <v>1999</v>
      </c>
      <c r="J1705" s="973" t="s">
        <v>697</v>
      </c>
      <c r="K1705" s="973" t="s">
        <v>995</v>
      </c>
      <c r="L1705" s="973" t="s">
        <v>996</v>
      </c>
      <c r="M1705" s="973" t="s">
        <v>2000</v>
      </c>
      <c r="N1705" s="973" t="s">
        <v>2001</v>
      </c>
      <c r="O1705" s="973" t="s">
        <v>1971</v>
      </c>
      <c r="P1705" s="973" t="s">
        <v>999</v>
      </c>
      <c r="Q1705" s="973" t="s">
        <v>1000</v>
      </c>
      <c r="R1705" s="973" t="s">
        <v>1001</v>
      </c>
      <c r="S1705" s="973" t="s">
        <v>1002</v>
      </c>
      <c r="AE1705" s="423" t="str">
        <f t="shared" si="26"/>
        <v/>
      </c>
    </row>
    <row r="1706" spans="4:31" x14ac:dyDescent="0.25">
      <c r="D1706" s="973" t="s">
        <v>990</v>
      </c>
      <c r="E1706" s="973" t="s">
        <v>991</v>
      </c>
      <c r="F1706" s="973" t="s">
        <v>992</v>
      </c>
      <c r="G1706" s="973" t="s">
        <v>1997</v>
      </c>
      <c r="H1706" s="973" t="s">
        <v>1998</v>
      </c>
      <c r="I1706" s="973" t="s">
        <v>1999</v>
      </c>
      <c r="J1706" s="973" t="s">
        <v>697</v>
      </c>
      <c r="K1706" s="973" t="s">
        <v>995</v>
      </c>
      <c r="L1706" s="973" t="s">
        <v>996</v>
      </c>
      <c r="M1706" s="973" t="s">
        <v>2000</v>
      </c>
      <c r="N1706" s="973" t="s">
        <v>2001</v>
      </c>
      <c r="O1706" s="973" t="s">
        <v>1971</v>
      </c>
      <c r="P1706" s="973" t="s">
        <v>999</v>
      </c>
      <c r="Q1706" s="973" t="s">
        <v>1000</v>
      </c>
      <c r="R1706" s="973" t="s">
        <v>1001</v>
      </c>
      <c r="S1706" s="973" t="s">
        <v>1002</v>
      </c>
      <c r="AE1706" s="423" t="str">
        <f t="shared" si="26"/>
        <v/>
      </c>
    </row>
    <row r="1707" spans="4:31" x14ac:dyDescent="0.25">
      <c r="D1707" s="973" t="s">
        <v>990</v>
      </c>
      <c r="E1707" s="973" t="s">
        <v>991</v>
      </c>
      <c r="F1707" s="973" t="s">
        <v>992</v>
      </c>
      <c r="G1707" s="973" t="s">
        <v>1997</v>
      </c>
      <c r="H1707" s="973" t="s">
        <v>1998</v>
      </c>
      <c r="I1707" s="973" t="s">
        <v>1999</v>
      </c>
      <c r="J1707" s="973" t="s">
        <v>697</v>
      </c>
      <c r="K1707" s="973" t="s">
        <v>995</v>
      </c>
      <c r="L1707" s="973" t="s">
        <v>996</v>
      </c>
      <c r="M1707" s="973" t="s">
        <v>2000</v>
      </c>
      <c r="N1707" s="973" t="s">
        <v>2001</v>
      </c>
      <c r="O1707" s="973" t="s">
        <v>1971</v>
      </c>
      <c r="P1707" s="973" t="s">
        <v>999</v>
      </c>
      <c r="Q1707" s="973" t="s">
        <v>1000</v>
      </c>
      <c r="R1707" s="973" t="s">
        <v>1001</v>
      </c>
      <c r="S1707" s="973" t="s">
        <v>1002</v>
      </c>
      <c r="AE1707" s="423" t="str">
        <f t="shared" si="26"/>
        <v/>
      </c>
    </row>
    <row r="1708" spans="4:31" x14ac:dyDescent="0.25">
      <c r="D1708" s="973" t="s">
        <v>990</v>
      </c>
      <c r="E1708" s="973" t="s">
        <v>991</v>
      </c>
      <c r="F1708" s="973" t="s">
        <v>992</v>
      </c>
      <c r="G1708" s="973" t="s">
        <v>1997</v>
      </c>
      <c r="H1708" s="973" t="s">
        <v>1998</v>
      </c>
      <c r="I1708" s="973" t="s">
        <v>1999</v>
      </c>
      <c r="J1708" s="973" t="s">
        <v>697</v>
      </c>
      <c r="K1708" s="973" t="s">
        <v>995</v>
      </c>
      <c r="L1708" s="973" t="s">
        <v>996</v>
      </c>
      <c r="M1708" s="973" t="s">
        <v>2000</v>
      </c>
      <c r="N1708" s="973" t="s">
        <v>2001</v>
      </c>
      <c r="O1708" s="973" t="s">
        <v>1971</v>
      </c>
      <c r="P1708" s="973" t="s">
        <v>999</v>
      </c>
      <c r="Q1708" s="973" t="s">
        <v>1000</v>
      </c>
      <c r="R1708" s="973" t="s">
        <v>1001</v>
      </c>
      <c r="S1708" s="973" t="s">
        <v>1002</v>
      </c>
      <c r="AE1708" s="423" t="str">
        <f t="shared" si="26"/>
        <v/>
      </c>
    </row>
    <row r="1709" spans="4:31" x14ac:dyDescent="0.25">
      <c r="D1709" s="973" t="s">
        <v>990</v>
      </c>
      <c r="E1709" s="973" t="s">
        <v>991</v>
      </c>
      <c r="F1709" s="973" t="s">
        <v>992</v>
      </c>
      <c r="G1709" s="973" t="s">
        <v>1997</v>
      </c>
      <c r="H1709" s="973" t="s">
        <v>1998</v>
      </c>
      <c r="I1709" s="973" t="s">
        <v>1999</v>
      </c>
      <c r="J1709" s="973" t="s">
        <v>697</v>
      </c>
      <c r="K1709" s="973" t="s">
        <v>995</v>
      </c>
      <c r="L1709" s="973" t="s">
        <v>996</v>
      </c>
      <c r="M1709" s="973" t="s">
        <v>2000</v>
      </c>
      <c r="N1709" s="973" t="s">
        <v>2001</v>
      </c>
      <c r="O1709" s="973" t="s">
        <v>1971</v>
      </c>
      <c r="P1709" s="973" t="s">
        <v>999</v>
      </c>
      <c r="Q1709" s="973" t="s">
        <v>1000</v>
      </c>
      <c r="R1709" s="973" t="s">
        <v>1001</v>
      </c>
      <c r="S1709" s="973" t="s">
        <v>1002</v>
      </c>
      <c r="AE1709" s="423" t="str">
        <f t="shared" si="26"/>
        <v/>
      </c>
    </row>
    <row r="1710" spans="4:31" x14ac:dyDescent="0.25">
      <c r="D1710" s="973" t="s">
        <v>990</v>
      </c>
      <c r="E1710" s="973" t="s">
        <v>991</v>
      </c>
      <c r="F1710" s="973" t="s">
        <v>992</v>
      </c>
      <c r="G1710" s="973" t="s">
        <v>1997</v>
      </c>
      <c r="H1710" s="973" t="s">
        <v>1998</v>
      </c>
      <c r="I1710" s="973" t="s">
        <v>1999</v>
      </c>
      <c r="J1710" s="973" t="s">
        <v>697</v>
      </c>
      <c r="K1710" s="973" t="s">
        <v>995</v>
      </c>
      <c r="L1710" s="973" t="s">
        <v>996</v>
      </c>
      <c r="M1710" s="973" t="s">
        <v>2000</v>
      </c>
      <c r="N1710" s="973" t="s">
        <v>2001</v>
      </c>
      <c r="O1710" s="973" t="s">
        <v>1971</v>
      </c>
      <c r="P1710" s="973" t="s">
        <v>999</v>
      </c>
      <c r="Q1710" s="973" t="s">
        <v>1000</v>
      </c>
      <c r="R1710" s="973" t="s">
        <v>1001</v>
      </c>
      <c r="S1710" s="973" t="s">
        <v>1002</v>
      </c>
      <c r="AE1710" s="423" t="str">
        <f t="shared" si="26"/>
        <v/>
      </c>
    </row>
    <row r="1711" spans="4:31" x14ac:dyDescent="0.25">
      <c r="D1711" s="973" t="s">
        <v>990</v>
      </c>
      <c r="E1711" s="973" t="s">
        <v>991</v>
      </c>
      <c r="F1711" s="973" t="s">
        <v>992</v>
      </c>
      <c r="G1711" s="973" t="s">
        <v>1997</v>
      </c>
      <c r="H1711" s="973" t="s">
        <v>1998</v>
      </c>
      <c r="I1711" s="973" t="s">
        <v>1999</v>
      </c>
      <c r="J1711" s="973" t="s">
        <v>697</v>
      </c>
      <c r="K1711" s="973" t="s">
        <v>995</v>
      </c>
      <c r="L1711" s="973" t="s">
        <v>996</v>
      </c>
      <c r="M1711" s="973" t="s">
        <v>2000</v>
      </c>
      <c r="N1711" s="973" t="s">
        <v>2001</v>
      </c>
      <c r="O1711" s="973" t="s">
        <v>1971</v>
      </c>
      <c r="P1711" s="973" t="s">
        <v>999</v>
      </c>
      <c r="Q1711" s="973" t="s">
        <v>1000</v>
      </c>
      <c r="R1711" s="973" t="s">
        <v>1001</v>
      </c>
      <c r="S1711" s="973" t="s">
        <v>1002</v>
      </c>
      <c r="AE1711" s="423" t="str">
        <f t="shared" si="26"/>
        <v/>
      </c>
    </row>
    <row r="1712" spans="4:31" x14ac:dyDescent="0.25">
      <c r="D1712" s="973" t="s">
        <v>990</v>
      </c>
      <c r="E1712" s="973" t="s">
        <v>991</v>
      </c>
      <c r="F1712" s="973" t="s">
        <v>992</v>
      </c>
      <c r="G1712" s="973" t="s">
        <v>1997</v>
      </c>
      <c r="H1712" s="973" t="s">
        <v>1998</v>
      </c>
      <c r="I1712" s="973" t="s">
        <v>1999</v>
      </c>
      <c r="J1712" s="973" t="s">
        <v>697</v>
      </c>
      <c r="K1712" s="973" t="s">
        <v>995</v>
      </c>
      <c r="L1712" s="973" t="s">
        <v>996</v>
      </c>
      <c r="M1712" s="973" t="s">
        <v>2000</v>
      </c>
      <c r="N1712" s="973" t="s">
        <v>2001</v>
      </c>
      <c r="O1712" s="973" t="s">
        <v>1971</v>
      </c>
      <c r="P1712" s="973" t="s">
        <v>999</v>
      </c>
      <c r="Q1712" s="973" t="s">
        <v>1000</v>
      </c>
      <c r="R1712" s="973" t="s">
        <v>1001</v>
      </c>
      <c r="S1712" s="973" t="s">
        <v>1002</v>
      </c>
      <c r="AE1712" s="423" t="str">
        <f t="shared" si="26"/>
        <v/>
      </c>
    </row>
    <row r="1713" spans="4:31" x14ac:dyDescent="0.25">
      <c r="D1713" s="973" t="s">
        <v>990</v>
      </c>
      <c r="E1713" s="973" t="s">
        <v>991</v>
      </c>
      <c r="F1713" s="973" t="s">
        <v>992</v>
      </c>
      <c r="G1713" s="973" t="s">
        <v>1997</v>
      </c>
      <c r="H1713" s="973" t="s">
        <v>1998</v>
      </c>
      <c r="I1713" s="973" t="s">
        <v>1999</v>
      </c>
      <c r="J1713" s="973" t="s">
        <v>697</v>
      </c>
      <c r="K1713" s="973" t="s">
        <v>995</v>
      </c>
      <c r="L1713" s="973" t="s">
        <v>996</v>
      </c>
      <c r="M1713" s="973" t="s">
        <v>2000</v>
      </c>
      <c r="N1713" s="973" t="s">
        <v>2001</v>
      </c>
      <c r="O1713" s="973" t="s">
        <v>1971</v>
      </c>
      <c r="P1713" s="973" t="s">
        <v>999</v>
      </c>
      <c r="Q1713" s="973" t="s">
        <v>1000</v>
      </c>
      <c r="R1713" s="973" t="s">
        <v>1001</v>
      </c>
      <c r="S1713" s="973" t="s">
        <v>1002</v>
      </c>
      <c r="AE1713" s="423" t="str">
        <f t="shared" si="26"/>
        <v/>
      </c>
    </row>
    <row r="1714" spans="4:31" x14ac:dyDescent="0.25">
      <c r="D1714" s="973" t="s">
        <v>990</v>
      </c>
      <c r="E1714" s="973" t="s">
        <v>991</v>
      </c>
      <c r="F1714" s="973" t="s">
        <v>992</v>
      </c>
      <c r="G1714" s="973" t="s">
        <v>1997</v>
      </c>
      <c r="H1714" s="973" t="s">
        <v>1998</v>
      </c>
      <c r="I1714" s="973" t="s">
        <v>1999</v>
      </c>
      <c r="J1714" s="973" t="s">
        <v>697</v>
      </c>
      <c r="K1714" s="973" t="s">
        <v>995</v>
      </c>
      <c r="L1714" s="973" t="s">
        <v>996</v>
      </c>
      <c r="M1714" s="973" t="s">
        <v>2000</v>
      </c>
      <c r="N1714" s="973" t="s">
        <v>2001</v>
      </c>
      <c r="O1714" s="973" t="s">
        <v>1971</v>
      </c>
      <c r="P1714" s="973" t="s">
        <v>999</v>
      </c>
      <c r="Q1714" s="973" t="s">
        <v>1000</v>
      </c>
      <c r="R1714" s="973" t="s">
        <v>1001</v>
      </c>
      <c r="S1714" s="973" t="s">
        <v>1002</v>
      </c>
      <c r="AE1714" s="423" t="str">
        <f t="shared" si="26"/>
        <v/>
      </c>
    </row>
    <row r="1715" spans="4:31" x14ac:dyDescent="0.25">
      <c r="D1715" s="973" t="s">
        <v>990</v>
      </c>
      <c r="E1715" s="973" t="s">
        <v>991</v>
      </c>
      <c r="F1715" s="973" t="s">
        <v>992</v>
      </c>
      <c r="G1715" s="973" t="s">
        <v>1997</v>
      </c>
      <c r="H1715" s="973" t="s">
        <v>1998</v>
      </c>
      <c r="I1715" s="973" t="s">
        <v>1999</v>
      </c>
      <c r="J1715" s="973" t="s">
        <v>697</v>
      </c>
      <c r="K1715" s="973" t="s">
        <v>995</v>
      </c>
      <c r="L1715" s="973" t="s">
        <v>996</v>
      </c>
      <c r="M1715" s="973" t="s">
        <v>2000</v>
      </c>
      <c r="N1715" s="973" t="s">
        <v>2001</v>
      </c>
      <c r="O1715" s="973" t="s">
        <v>1971</v>
      </c>
      <c r="P1715" s="973" t="s">
        <v>999</v>
      </c>
      <c r="Q1715" s="973" t="s">
        <v>1000</v>
      </c>
      <c r="R1715" s="973" t="s">
        <v>1001</v>
      </c>
      <c r="S1715" s="973" t="s">
        <v>1002</v>
      </c>
      <c r="AE1715" s="423" t="str">
        <f t="shared" si="26"/>
        <v/>
      </c>
    </row>
    <row r="1716" spans="4:31" x14ac:dyDescent="0.25">
      <c r="D1716" s="973" t="s">
        <v>990</v>
      </c>
      <c r="E1716" s="973" t="s">
        <v>991</v>
      </c>
      <c r="F1716" s="973" t="s">
        <v>992</v>
      </c>
      <c r="G1716" s="973" t="s">
        <v>1997</v>
      </c>
      <c r="H1716" s="973" t="s">
        <v>1998</v>
      </c>
      <c r="I1716" s="973" t="s">
        <v>1999</v>
      </c>
      <c r="J1716" s="973" t="s">
        <v>697</v>
      </c>
      <c r="K1716" s="973" t="s">
        <v>995</v>
      </c>
      <c r="L1716" s="973" t="s">
        <v>996</v>
      </c>
      <c r="M1716" s="973" t="s">
        <v>2000</v>
      </c>
      <c r="N1716" s="973" t="s">
        <v>2001</v>
      </c>
      <c r="O1716" s="973" t="s">
        <v>1971</v>
      </c>
      <c r="P1716" s="973" t="s">
        <v>999</v>
      </c>
      <c r="Q1716" s="973" t="s">
        <v>1000</v>
      </c>
      <c r="R1716" s="973" t="s">
        <v>1001</v>
      </c>
      <c r="S1716" s="973" t="s">
        <v>1002</v>
      </c>
      <c r="AE1716" s="423" t="str">
        <f t="shared" si="26"/>
        <v/>
      </c>
    </row>
    <row r="1717" spans="4:31" x14ac:dyDescent="0.25">
      <c r="D1717" s="973" t="s">
        <v>990</v>
      </c>
      <c r="E1717" s="973" t="s">
        <v>991</v>
      </c>
      <c r="F1717" s="973" t="s">
        <v>992</v>
      </c>
      <c r="G1717" s="973" t="s">
        <v>1997</v>
      </c>
      <c r="H1717" s="973" t="s">
        <v>1998</v>
      </c>
      <c r="I1717" s="973" t="s">
        <v>1999</v>
      </c>
      <c r="J1717" s="973" t="s">
        <v>697</v>
      </c>
      <c r="K1717" s="973" t="s">
        <v>995</v>
      </c>
      <c r="L1717" s="973" t="s">
        <v>996</v>
      </c>
      <c r="M1717" s="973" t="s">
        <v>2000</v>
      </c>
      <c r="N1717" s="973" t="s">
        <v>2001</v>
      </c>
      <c r="O1717" s="973" t="s">
        <v>1971</v>
      </c>
      <c r="P1717" s="973" t="s">
        <v>999</v>
      </c>
      <c r="Q1717" s="973" t="s">
        <v>1000</v>
      </c>
      <c r="R1717" s="973" t="s">
        <v>1001</v>
      </c>
      <c r="S1717" s="973" t="s">
        <v>1002</v>
      </c>
      <c r="AE1717" s="423" t="str">
        <f t="shared" si="26"/>
        <v/>
      </c>
    </row>
    <row r="1718" spans="4:31" x14ac:dyDescent="0.25">
      <c r="D1718" s="973" t="s">
        <v>990</v>
      </c>
      <c r="E1718" s="973" t="s">
        <v>991</v>
      </c>
      <c r="F1718" s="973" t="s">
        <v>992</v>
      </c>
      <c r="G1718" s="973" t="s">
        <v>1997</v>
      </c>
      <c r="H1718" s="973" t="s">
        <v>1998</v>
      </c>
      <c r="I1718" s="973" t="s">
        <v>1999</v>
      </c>
      <c r="J1718" s="973" t="s">
        <v>697</v>
      </c>
      <c r="K1718" s="973" t="s">
        <v>995</v>
      </c>
      <c r="L1718" s="973" t="s">
        <v>996</v>
      </c>
      <c r="M1718" s="973" t="s">
        <v>2000</v>
      </c>
      <c r="N1718" s="973" t="s">
        <v>2001</v>
      </c>
      <c r="O1718" s="973" t="s">
        <v>1971</v>
      </c>
      <c r="P1718" s="973" t="s">
        <v>999</v>
      </c>
      <c r="Q1718" s="973" t="s">
        <v>1000</v>
      </c>
      <c r="R1718" s="973" t="s">
        <v>1001</v>
      </c>
      <c r="S1718" s="973" t="s">
        <v>1002</v>
      </c>
      <c r="AE1718" s="423" t="str">
        <f t="shared" si="26"/>
        <v/>
      </c>
    </row>
    <row r="1719" spans="4:31" x14ac:dyDescent="0.25">
      <c r="D1719" s="973" t="s">
        <v>990</v>
      </c>
      <c r="E1719" s="973" t="s">
        <v>991</v>
      </c>
      <c r="F1719" s="973" t="s">
        <v>992</v>
      </c>
      <c r="G1719" s="973" t="s">
        <v>1997</v>
      </c>
      <c r="H1719" s="973" t="s">
        <v>1998</v>
      </c>
      <c r="I1719" s="973" t="s">
        <v>1999</v>
      </c>
      <c r="J1719" s="973" t="s">
        <v>697</v>
      </c>
      <c r="K1719" s="973" t="s">
        <v>995</v>
      </c>
      <c r="L1719" s="973" t="s">
        <v>996</v>
      </c>
      <c r="M1719" s="973" t="s">
        <v>2000</v>
      </c>
      <c r="N1719" s="973" t="s">
        <v>2001</v>
      </c>
      <c r="O1719" s="973" t="s">
        <v>1971</v>
      </c>
      <c r="P1719" s="973" t="s">
        <v>999</v>
      </c>
      <c r="Q1719" s="973" t="s">
        <v>1000</v>
      </c>
      <c r="R1719" s="973" t="s">
        <v>1001</v>
      </c>
      <c r="S1719" s="973" t="s">
        <v>1002</v>
      </c>
      <c r="AE1719" s="423" t="str">
        <f t="shared" si="26"/>
        <v/>
      </c>
    </row>
    <row r="1720" spans="4:31" x14ac:dyDescent="0.25">
      <c r="D1720" s="973" t="s">
        <v>990</v>
      </c>
      <c r="E1720" s="973" t="s">
        <v>991</v>
      </c>
      <c r="F1720" s="973" t="s">
        <v>992</v>
      </c>
      <c r="G1720" s="973" t="s">
        <v>1997</v>
      </c>
      <c r="H1720" s="973" t="s">
        <v>1998</v>
      </c>
      <c r="I1720" s="973" t="s">
        <v>1999</v>
      </c>
      <c r="J1720" s="973" t="s">
        <v>697</v>
      </c>
      <c r="K1720" s="973" t="s">
        <v>995</v>
      </c>
      <c r="L1720" s="973" t="s">
        <v>996</v>
      </c>
      <c r="M1720" s="973" t="s">
        <v>2000</v>
      </c>
      <c r="N1720" s="973" t="s">
        <v>2001</v>
      </c>
      <c r="O1720" s="973" t="s">
        <v>1971</v>
      </c>
      <c r="P1720" s="973" t="s">
        <v>999</v>
      </c>
      <c r="Q1720" s="973" t="s">
        <v>1000</v>
      </c>
      <c r="R1720" s="973" t="s">
        <v>1001</v>
      </c>
      <c r="S1720" s="973" t="s">
        <v>1002</v>
      </c>
      <c r="AE1720" s="423" t="str">
        <f t="shared" si="26"/>
        <v/>
      </c>
    </row>
    <row r="1721" spans="4:31" x14ac:dyDescent="0.25">
      <c r="D1721" s="973" t="s">
        <v>990</v>
      </c>
      <c r="E1721" s="973" t="s">
        <v>991</v>
      </c>
      <c r="F1721" s="973" t="s">
        <v>992</v>
      </c>
      <c r="G1721" s="973" t="s">
        <v>1997</v>
      </c>
      <c r="H1721" s="973" t="s">
        <v>1998</v>
      </c>
      <c r="I1721" s="973" t="s">
        <v>1999</v>
      </c>
      <c r="J1721" s="973" t="s">
        <v>697</v>
      </c>
      <c r="K1721" s="973" t="s">
        <v>995</v>
      </c>
      <c r="L1721" s="973" t="s">
        <v>996</v>
      </c>
      <c r="M1721" s="973" t="s">
        <v>2000</v>
      </c>
      <c r="N1721" s="973" t="s">
        <v>2001</v>
      </c>
      <c r="O1721" s="973" t="s">
        <v>1971</v>
      </c>
      <c r="P1721" s="973" t="s">
        <v>999</v>
      </c>
      <c r="Q1721" s="973" t="s">
        <v>1000</v>
      </c>
      <c r="R1721" s="973" t="s">
        <v>1001</v>
      </c>
      <c r="S1721" s="973" t="s">
        <v>1002</v>
      </c>
      <c r="AE1721" s="423" t="str">
        <f t="shared" si="26"/>
        <v/>
      </c>
    </row>
    <row r="1722" spans="4:31" x14ac:dyDescent="0.25">
      <c r="D1722" s="973" t="s">
        <v>990</v>
      </c>
      <c r="E1722" s="973" t="s">
        <v>991</v>
      </c>
      <c r="F1722" s="973" t="s">
        <v>992</v>
      </c>
      <c r="G1722" s="973" t="s">
        <v>1997</v>
      </c>
      <c r="H1722" s="973" t="s">
        <v>1998</v>
      </c>
      <c r="I1722" s="973" t="s">
        <v>1999</v>
      </c>
      <c r="J1722" s="973" t="s">
        <v>697</v>
      </c>
      <c r="K1722" s="973" t="s">
        <v>995</v>
      </c>
      <c r="L1722" s="973" t="s">
        <v>996</v>
      </c>
      <c r="M1722" s="973" t="s">
        <v>2000</v>
      </c>
      <c r="N1722" s="973" t="s">
        <v>2001</v>
      </c>
      <c r="O1722" s="973" t="s">
        <v>1971</v>
      </c>
      <c r="P1722" s="973" t="s">
        <v>999</v>
      </c>
      <c r="Q1722" s="973" t="s">
        <v>1000</v>
      </c>
      <c r="R1722" s="973" t="s">
        <v>1001</v>
      </c>
      <c r="S1722" s="973" t="s">
        <v>1002</v>
      </c>
      <c r="AE1722" s="423" t="str">
        <f t="shared" si="26"/>
        <v/>
      </c>
    </row>
    <row r="1723" spans="4:31" x14ac:dyDescent="0.25">
      <c r="D1723" s="973" t="s">
        <v>990</v>
      </c>
      <c r="E1723" s="973" t="s">
        <v>991</v>
      </c>
      <c r="F1723" s="973" t="s">
        <v>992</v>
      </c>
      <c r="G1723" s="973" t="s">
        <v>1997</v>
      </c>
      <c r="H1723" s="973" t="s">
        <v>1998</v>
      </c>
      <c r="I1723" s="973" t="s">
        <v>1999</v>
      </c>
      <c r="J1723" s="973" t="s">
        <v>697</v>
      </c>
      <c r="K1723" s="973" t="s">
        <v>995</v>
      </c>
      <c r="L1723" s="973" t="s">
        <v>996</v>
      </c>
      <c r="M1723" s="973" t="s">
        <v>2000</v>
      </c>
      <c r="N1723" s="973" t="s">
        <v>2001</v>
      </c>
      <c r="O1723" s="973" t="s">
        <v>1971</v>
      </c>
      <c r="P1723" s="973" t="s">
        <v>999</v>
      </c>
      <c r="Q1723" s="973" t="s">
        <v>1000</v>
      </c>
      <c r="R1723" s="973" t="s">
        <v>1001</v>
      </c>
      <c r="S1723" s="973" t="s">
        <v>1002</v>
      </c>
      <c r="AE1723" s="423" t="str">
        <f t="shared" si="26"/>
        <v/>
      </c>
    </row>
    <row r="1724" spans="4:31" x14ac:dyDescent="0.25">
      <c r="D1724" s="973" t="s">
        <v>990</v>
      </c>
      <c r="E1724" s="973" t="s">
        <v>991</v>
      </c>
      <c r="F1724" s="973" t="s">
        <v>992</v>
      </c>
      <c r="G1724" s="973" t="s">
        <v>1997</v>
      </c>
      <c r="H1724" s="973" t="s">
        <v>1998</v>
      </c>
      <c r="I1724" s="973" t="s">
        <v>1999</v>
      </c>
      <c r="J1724" s="973" t="s">
        <v>697</v>
      </c>
      <c r="K1724" s="973" t="s">
        <v>995</v>
      </c>
      <c r="L1724" s="973" t="s">
        <v>996</v>
      </c>
      <c r="M1724" s="973" t="s">
        <v>2000</v>
      </c>
      <c r="N1724" s="973" t="s">
        <v>2001</v>
      </c>
      <c r="O1724" s="973" t="s">
        <v>1971</v>
      </c>
      <c r="P1724" s="973" t="s">
        <v>999</v>
      </c>
      <c r="Q1724" s="973" t="s">
        <v>1000</v>
      </c>
      <c r="R1724" s="973" t="s">
        <v>1001</v>
      </c>
      <c r="S1724" s="973" t="s">
        <v>1002</v>
      </c>
      <c r="AE1724" s="423" t="str">
        <f t="shared" si="26"/>
        <v/>
      </c>
    </row>
    <row r="1725" spans="4:31" x14ac:dyDescent="0.25">
      <c r="D1725" s="973" t="s">
        <v>990</v>
      </c>
      <c r="E1725" s="973" t="s">
        <v>991</v>
      </c>
      <c r="F1725" s="973" t="s">
        <v>992</v>
      </c>
      <c r="G1725" s="973" t="s">
        <v>1997</v>
      </c>
      <c r="H1725" s="973" t="s">
        <v>1998</v>
      </c>
      <c r="I1725" s="973" t="s">
        <v>1999</v>
      </c>
      <c r="J1725" s="973" t="s">
        <v>697</v>
      </c>
      <c r="K1725" s="973" t="s">
        <v>995</v>
      </c>
      <c r="L1725" s="973" t="s">
        <v>996</v>
      </c>
      <c r="M1725" s="973" t="s">
        <v>2000</v>
      </c>
      <c r="N1725" s="973" t="s">
        <v>2001</v>
      </c>
      <c r="O1725" s="973" t="s">
        <v>1971</v>
      </c>
      <c r="P1725" s="973" t="s">
        <v>999</v>
      </c>
      <c r="Q1725" s="973" t="s">
        <v>1000</v>
      </c>
      <c r="R1725" s="973" t="s">
        <v>1001</v>
      </c>
      <c r="S1725" s="973" t="s">
        <v>1002</v>
      </c>
      <c r="AE1725" s="423" t="str">
        <f t="shared" si="26"/>
        <v/>
      </c>
    </row>
    <row r="1726" spans="4:31" x14ac:dyDescent="0.25">
      <c r="D1726" s="973" t="s">
        <v>990</v>
      </c>
      <c r="E1726" s="973" t="s">
        <v>991</v>
      </c>
      <c r="F1726" s="973" t="s">
        <v>992</v>
      </c>
      <c r="G1726" s="973" t="s">
        <v>1997</v>
      </c>
      <c r="H1726" s="973" t="s">
        <v>1998</v>
      </c>
      <c r="I1726" s="973" t="s">
        <v>1999</v>
      </c>
      <c r="J1726" s="973" t="s">
        <v>697</v>
      </c>
      <c r="K1726" s="973" t="s">
        <v>995</v>
      </c>
      <c r="L1726" s="973" t="s">
        <v>996</v>
      </c>
      <c r="M1726" s="973" t="s">
        <v>2000</v>
      </c>
      <c r="N1726" s="973" t="s">
        <v>2001</v>
      </c>
      <c r="O1726" s="973" t="s">
        <v>1971</v>
      </c>
      <c r="P1726" s="973" t="s">
        <v>999</v>
      </c>
      <c r="Q1726" s="973" t="s">
        <v>1000</v>
      </c>
      <c r="R1726" s="973" t="s">
        <v>1001</v>
      </c>
      <c r="S1726" s="973" t="s">
        <v>1002</v>
      </c>
      <c r="AE1726" s="423" t="str">
        <f t="shared" si="26"/>
        <v/>
      </c>
    </row>
    <row r="1727" spans="4:31" x14ac:dyDescent="0.25">
      <c r="D1727" s="973" t="s">
        <v>990</v>
      </c>
      <c r="E1727" s="973" t="s">
        <v>991</v>
      </c>
      <c r="F1727" s="973" t="s">
        <v>992</v>
      </c>
      <c r="G1727" s="973" t="s">
        <v>1997</v>
      </c>
      <c r="H1727" s="973" t="s">
        <v>1998</v>
      </c>
      <c r="I1727" s="973" t="s">
        <v>1999</v>
      </c>
      <c r="J1727" s="973" t="s">
        <v>697</v>
      </c>
      <c r="K1727" s="973" t="s">
        <v>995</v>
      </c>
      <c r="L1727" s="973" t="s">
        <v>996</v>
      </c>
      <c r="M1727" s="973" t="s">
        <v>2000</v>
      </c>
      <c r="N1727" s="973" t="s">
        <v>2001</v>
      </c>
      <c r="O1727" s="973" t="s">
        <v>1971</v>
      </c>
      <c r="P1727" s="973" t="s">
        <v>999</v>
      </c>
      <c r="Q1727" s="973" t="s">
        <v>1000</v>
      </c>
      <c r="R1727" s="973" t="s">
        <v>1001</v>
      </c>
      <c r="S1727" s="973" t="s">
        <v>1002</v>
      </c>
      <c r="AE1727" s="423" t="str">
        <f t="shared" si="26"/>
        <v/>
      </c>
    </row>
    <row r="1728" spans="4:31" x14ac:dyDescent="0.25">
      <c r="D1728" s="973" t="s">
        <v>990</v>
      </c>
      <c r="E1728" s="973" t="s">
        <v>991</v>
      </c>
      <c r="F1728" s="973" t="s">
        <v>992</v>
      </c>
      <c r="G1728" s="973" t="s">
        <v>1997</v>
      </c>
      <c r="H1728" s="973" t="s">
        <v>1998</v>
      </c>
      <c r="I1728" s="973" t="s">
        <v>1999</v>
      </c>
      <c r="J1728" s="973" t="s">
        <v>697</v>
      </c>
      <c r="K1728" s="973" t="s">
        <v>995</v>
      </c>
      <c r="L1728" s="973" t="s">
        <v>996</v>
      </c>
      <c r="M1728" s="973" t="s">
        <v>2000</v>
      </c>
      <c r="N1728" s="973" t="s">
        <v>2001</v>
      </c>
      <c r="O1728" s="973" t="s">
        <v>1971</v>
      </c>
      <c r="P1728" s="973" t="s">
        <v>999</v>
      </c>
      <c r="Q1728" s="973" t="s">
        <v>1000</v>
      </c>
      <c r="R1728" s="973" t="s">
        <v>1001</v>
      </c>
      <c r="S1728" s="973" t="s">
        <v>1002</v>
      </c>
      <c r="AE1728" s="423" t="str">
        <f t="shared" si="26"/>
        <v/>
      </c>
    </row>
    <row r="1729" spans="4:31" x14ac:dyDescent="0.25">
      <c r="D1729" s="973" t="s">
        <v>990</v>
      </c>
      <c r="E1729" s="973" t="s">
        <v>991</v>
      </c>
      <c r="F1729" s="973" t="s">
        <v>992</v>
      </c>
      <c r="G1729" s="973" t="s">
        <v>1997</v>
      </c>
      <c r="H1729" s="973" t="s">
        <v>1998</v>
      </c>
      <c r="I1729" s="973" t="s">
        <v>1999</v>
      </c>
      <c r="J1729" s="973" t="s">
        <v>697</v>
      </c>
      <c r="K1729" s="973" t="s">
        <v>995</v>
      </c>
      <c r="L1729" s="973" t="s">
        <v>996</v>
      </c>
      <c r="M1729" s="973" t="s">
        <v>2000</v>
      </c>
      <c r="N1729" s="973" t="s">
        <v>2001</v>
      </c>
      <c r="O1729" s="973" t="s">
        <v>1971</v>
      </c>
      <c r="P1729" s="973" t="s">
        <v>999</v>
      </c>
      <c r="Q1729" s="973" t="s">
        <v>1000</v>
      </c>
      <c r="R1729" s="973" t="s">
        <v>1001</v>
      </c>
      <c r="S1729" s="973" t="s">
        <v>1002</v>
      </c>
      <c r="AE1729" s="423" t="str">
        <f t="shared" si="26"/>
        <v/>
      </c>
    </row>
    <row r="1730" spans="4:31" x14ac:dyDescent="0.25">
      <c r="D1730" s="973" t="s">
        <v>990</v>
      </c>
      <c r="E1730" s="973" t="s">
        <v>991</v>
      </c>
      <c r="F1730" s="973" t="s">
        <v>992</v>
      </c>
      <c r="G1730" s="973" t="s">
        <v>1997</v>
      </c>
      <c r="H1730" s="973" t="s">
        <v>1998</v>
      </c>
      <c r="I1730" s="973" t="s">
        <v>1999</v>
      </c>
      <c r="J1730" s="973" t="s">
        <v>697</v>
      </c>
      <c r="K1730" s="973" t="s">
        <v>995</v>
      </c>
      <c r="L1730" s="973" t="s">
        <v>996</v>
      </c>
      <c r="M1730" s="973" t="s">
        <v>2000</v>
      </c>
      <c r="N1730" s="973" t="s">
        <v>2001</v>
      </c>
      <c r="O1730" s="973" t="s">
        <v>1971</v>
      </c>
      <c r="P1730" s="973" t="s">
        <v>999</v>
      </c>
      <c r="Q1730" s="973" t="s">
        <v>1000</v>
      </c>
      <c r="R1730" s="973" t="s">
        <v>1001</v>
      </c>
      <c r="S1730" s="973" t="s">
        <v>1002</v>
      </c>
      <c r="AE1730" s="423" t="str">
        <f t="shared" si="26"/>
        <v/>
      </c>
    </row>
    <row r="1731" spans="4:31" x14ac:dyDescent="0.25">
      <c r="D1731" s="973" t="s">
        <v>990</v>
      </c>
      <c r="E1731" s="973" t="s">
        <v>991</v>
      </c>
      <c r="F1731" s="973" t="s">
        <v>992</v>
      </c>
      <c r="G1731" s="973" t="s">
        <v>1997</v>
      </c>
      <c r="H1731" s="973" t="s">
        <v>1998</v>
      </c>
      <c r="I1731" s="973" t="s">
        <v>1999</v>
      </c>
      <c r="J1731" s="973" t="s">
        <v>697</v>
      </c>
      <c r="K1731" s="973" t="s">
        <v>995</v>
      </c>
      <c r="L1731" s="973" t="s">
        <v>996</v>
      </c>
      <c r="M1731" s="973" t="s">
        <v>2000</v>
      </c>
      <c r="N1731" s="973" t="s">
        <v>2001</v>
      </c>
      <c r="O1731" s="973" t="s">
        <v>1971</v>
      </c>
      <c r="P1731" s="973" t="s">
        <v>999</v>
      </c>
      <c r="Q1731" s="973" t="s">
        <v>1000</v>
      </c>
      <c r="R1731" s="973" t="s">
        <v>1001</v>
      </c>
      <c r="S1731" s="973" t="s">
        <v>1002</v>
      </c>
      <c r="AE1731" s="423" t="str">
        <f t="shared" ref="AE1731:AE1794" si="27">B1731&amp;C1731</f>
        <v/>
      </c>
    </row>
    <row r="1732" spans="4:31" x14ac:dyDescent="0.25">
      <c r="D1732" s="973" t="s">
        <v>990</v>
      </c>
      <c r="E1732" s="973" t="s">
        <v>991</v>
      </c>
      <c r="F1732" s="973" t="s">
        <v>992</v>
      </c>
      <c r="G1732" s="973" t="s">
        <v>1997</v>
      </c>
      <c r="H1732" s="973" t="s">
        <v>1998</v>
      </c>
      <c r="I1732" s="973" t="s">
        <v>1999</v>
      </c>
      <c r="J1732" s="973" t="s">
        <v>697</v>
      </c>
      <c r="K1732" s="973" t="s">
        <v>995</v>
      </c>
      <c r="L1732" s="973" t="s">
        <v>996</v>
      </c>
      <c r="M1732" s="973" t="s">
        <v>2000</v>
      </c>
      <c r="N1732" s="973" t="s">
        <v>2001</v>
      </c>
      <c r="O1732" s="973" t="s">
        <v>1971</v>
      </c>
      <c r="P1732" s="973" t="s">
        <v>999</v>
      </c>
      <c r="Q1732" s="973" t="s">
        <v>1000</v>
      </c>
      <c r="R1732" s="973" t="s">
        <v>1001</v>
      </c>
      <c r="S1732" s="973" t="s">
        <v>1002</v>
      </c>
      <c r="AE1732" s="423" t="str">
        <f t="shared" si="27"/>
        <v/>
      </c>
    </row>
    <row r="1733" spans="4:31" x14ac:dyDescent="0.25">
      <c r="D1733" s="973" t="s">
        <v>990</v>
      </c>
      <c r="E1733" s="973" t="s">
        <v>991</v>
      </c>
      <c r="F1733" s="973" t="s">
        <v>992</v>
      </c>
      <c r="G1733" s="973" t="s">
        <v>1997</v>
      </c>
      <c r="H1733" s="973" t="s">
        <v>1998</v>
      </c>
      <c r="I1733" s="973" t="s">
        <v>1999</v>
      </c>
      <c r="J1733" s="973" t="s">
        <v>697</v>
      </c>
      <c r="K1733" s="973" t="s">
        <v>995</v>
      </c>
      <c r="L1733" s="973" t="s">
        <v>996</v>
      </c>
      <c r="M1733" s="973" t="s">
        <v>2000</v>
      </c>
      <c r="N1733" s="973" t="s">
        <v>2001</v>
      </c>
      <c r="O1733" s="973" t="s">
        <v>1971</v>
      </c>
      <c r="P1733" s="973" t="s">
        <v>999</v>
      </c>
      <c r="Q1733" s="973" t="s">
        <v>1000</v>
      </c>
      <c r="R1733" s="973" t="s">
        <v>1001</v>
      </c>
      <c r="S1733" s="973" t="s">
        <v>1002</v>
      </c>
      <c r="AE1733" s="423" t="str">
        <f t="shared" si="27"/>
        <v/>
      </c>
    </row>
    <row r="1734" spans="4:31" x14ac:dyDescent="0.25">
      <c r="D1734" s="973" t="s">
        <v>990</v>
      </c>
      <c r="E1734" s="973" t="s">
        <v>991</v>
      </c>
      <c r="F1734" s="973" t="s">
        <v>992</v>
      </c>
      <c r="G1734" s="973" t="s">
        <v>1997</v>
      </c>
      <c r="H1734" s="973" t="s">
        <v>1998</v>
      </c>
      <c r="I1734" s="973" t="s">
        <v>1999</v>
      </c>
      <c r="J1734" s="973" t="s">
        <v>697</v>
      </c>
      <c r="K1734" s="973" t="s">
        <v>995</v>
      </c>
      <c r="L1734" s="973" t="s">
        <v>996</v>
      </c>
      <c r="M1734" s="973" t="s">
        <v>2000</v>
      </c>
      <c r="N1734" s="973" t="s">
        <v>2001</v>
      </c>
      <c r="O1734" s="973" t="s">
        <v>1971</v>
      </c>
      <c r="P1734" s="973" t="s">
        <v>999</v>
      </c>
      <c r="Q1734" s="973" t="s">
        <v>1000</v>
      </c>
      <c r="R1734" s="973" t="s">
        <v>1001</v>
      </c>
      <c r="S1734" s="973" t="s">
        <v>1002</v>
      </c>
      <c r="AE1734" s="423" t="str">
        <f t="shared" si="27"/>
        <v/>
      </c>
    </row>
    <row r="1735" spans="4:31" x14ac:dyDescent="0.25">
      <c r="D1735" s="973" t="s">
        <v>990</v>
      </c>
      <c r="E1735" s="973" t="s">
        <v>991</v>
      </c>
      <c r="F1735" s="973" t="s">
        <v>992</v>
      </c>
      <c r="G1735" s="973" t="s">
        <v>1997</v>
      </c>
      <c r="H1735" s="973" t="s">
        <v>1998</v>
      </c>
      <c r="I1735" s="973" t="s">
        <v>1999</v>
      </c>
      <c r="J1735" s="973" t="s">
        <v>697</v>
      </c>
      <c r="K1735" s="973" t="s">
        <v>995</v>
      </c>
      <c r="L1735" s="973" t="s">
        <v>996</v>
      </c>
      <c r="M1735" s="973" t="s">
        <v>2000</v>
      </c>
      <c r="N1735" s="973" t="s">
        <v>2001</v>
      </c>
      <c r="O1735" s="973" t="s">
        <v>1971</v>
      </c>
      <c r="P1735" s="973" t="s">
        <v>999</v>
      </c>
      <c r="Q1735" s="973" t="s">
        <v>1000</v>
      </c>
      <c r="R1735" s="973" t="s">
        <v>1001</v>
      </c>
      <c r="S1735" s="973" t="s">
        <v>1002</v>
      </c>
      <c r="AE1735" s="423" t="str">
        <f t="shared" si="27"/>
        <v/>
      </c>
    </row>
    <row r="1736" spans="4:31" x14ac:dyDescent="0.25">
      <c r="D1736" s="973" t="s">
        <v>990</v>
      </c>
      <c r="E1736" s="973" t="s">
        <v>991</v>
      </c>
      <c r="F1736" s="973" t="s">
        <v>992</v>
      </c>
      <c r="G1736" s="973" t="s">
        <v>1997</v>
      </c>
      <c r="H1736" s="973" t="s">
        <v>1998</v>
      </c>
      <c r="I1736" s="973" t="s">
        <v>1999</v>
      </c>
      <c r="J1736" s="973" t="s">
        <v>697</v>
      </c>
      <c r="K1736" s="973" t="s">
        <v>995</v>
      </c>
      <c r="L1736" s="973" t="s">
        <v>996</v>
      </c>
      <c r="M1736" s="973" t="s">
        <v>2000</v>
      </c>
      <c r="N1736" s="973" t="s">
        <v>2001</v>
      </c>
      <c r="O1736" s="973" t="s">
        <v>1971</v>
      </c>
      <c r="P1736" s="973" t="s">
        <v>999</v>
      </c>
      <c r="Q1736" s="973" t="s">
        <v>1000</v>
      </c>
      <c r="R1736" s="973" t="s">
        <v>1001</v>
      </c>
      <c r="S1736" s="973" t="s">
        <v>1002</v>
      </c>
      <c r="AE1736" s="423" t="str">
        <f t="shared" si="27"/>
        <v/>
      </c>
    </row>
    <row r="1737" spans="4:31" x14ac:dyDescent="0.25">
      <c r="D1737" s="973" t="s">
        <v>990</v>
      </c>
      <c r="E1737" s="973" t="s">
        <v>991</v>
      </c>
      <c r="F1737" s="973" t="s">
        <v>992</v>
      </c>
      <c r="G1737" s="973" t="s">
        <v>1997</v>
      </c>
      <c r="H1737" s="973" t="s">
        <v>1998</v>
      </c>
      <c r="I1737" s="973" t="s">
        <v>1999</v>
      </c>
      <c r="J1737" s="973" t="s">
        <v>697</v>
      </c>
      <c r="K1737" s="973" t="s">
        <v>995</v>
      </c>
      <c r="L1737" s="973" t="s">
        <v>996</v>
      </c>
      <c r="M1737" s="973" t="s">
        <v>2000</v>
      </c>
      <c r="N1737" s="973" t="s">
        <v>2001</v>
      </c>
      <c r="O1737" s="973" t="s">
        <v>1971</v>
      </c>
      <c r="P1737" s="973" t="s">
        <v>999</v>
      </c>
      <c r="Q1737" s="973" t="s">
        <v>1000</v>
      </c>
      <c r="R1737" s="973" t="s">
        <v>1001</v>
      </c>
      <c r="S1737" s="973" t="s">
        <v>1002</v>
      </c>
      <c r="AE1737" s="423" t="str">
        <f t="shared" si="27"/>
        <v/>
      </c>
    </row>
    <row r="1738" spans="4:31" x14ac:dyDescent="0.25">
      <c r="D1738" s="973" t="s">
        <v>990</v>
      </c>
      <c r="E1738" s="973" t="s">
        <v>991</v>
      </c>
      <c r="F1738" s="973" t="s">
        <v>992</v>
      </c>
      <c r="G1738" s="973" t="s">
        <v>1997</v>
      </c>
      <c r="H1738" s="973" t="s">
        <v>1998</v>
      </c>
      <c r="I1738" s="973" t="s">
        <v>1999</v>
      </c>
      <c r="J1738" s="973" t="s">
        <v>697</v>
      </c>
      <c r="K1738" s="973" t="s">
        <v>995</v>
      </c>
      <c r="L1738" s="973" t="s">
        <v>996</v>
      </c>
      <c r="M1738" s="973" t="s">
        <v>2000</v>
      </c>
      <c r="N1738" s="973" t="s">
        <v>2001</v>
      </c>
      <c r="O1738" s="973" t="s">
        <v>1971</v>
      </c>
      <c r="P1738" s="973" t="s">
        <v>999</v>
      </c>
      <c r="Q1738" s="973" t="s">
        <v>1000</v>
      </c>
      <c r="R1738" s="973" t="s">
        <v>1001</v>
      </c>
      <c r="S1738" s="973" t="s">
        <v>1002</v>
      </c>
      <c r="AE1738" s="423" t="str">
        <f t="shared" si="27"/>
        <v/>
      </c>
    </row>
    <row r="1739" spans="4:31" x14ac:dyDescent="0.25">
      <c r="D1739" s="973" t="s">
        <v>990</v>
      </c>
      <c r="E1739" s="973" t="s">
        <v>991</v>
      </c>
      <c r="F1739" s="973" t="s">
        <v>992</v>
      </c>
      <c r="G1739" s="973" t="s">
        <v>1997</v>
      </c>
      <c r="H1739" s="973" t="s">
        <v>1998</v>
      </c>
      <c r="I1739" s="973" t="s">
        <v>1999</v>
      </c>
      <c r="J1739" s="973" t="s">
        <v>697</v>
      </c>
      <c r="K1739" s="973" t="s">
        <v>995</v>
      </c>
      <c r="L1739" s="973" t="s">
        <v>996</v>
      </c>
      <c r="M1739" s="973" t="s">
        <v>2000</v>
      </c>
      <c r="N1739" s="973" t="s">
        <v>2001</v>
      </c>
      <c r="O1739" s="973" t="s">
        <v>1971</v>
      </c>
      <c r="P1739" s="973" t="s">
        <v>999</v>
      </c>
      <c r="Q1739" s="973" t="s">
        <v>1000</v>
      </c>
      <c r="R1739" s="973" t="s">
        <v>1001</v>
      </c>
      <c r="S1739" s="973" t="s">
        <v>1002</v>
      </c>
      <c r="AE1739" s="423" t="str">
        <f t="shared" si="27"/>
        <v/>
      </c>
    </row>
    <row r="1740" spans="4:31" x14ac:dyDescent="0.25">
      <c r="D1740" s="973" t="s">
        <v>990</v>
      </c>
      <c r="E1740" s="973" t="s">
        <v>991</v>
      </c>
      <c r="F1740" s="973" t="s">
        <v>992</v>
      </c>
      <c r="G1740" s="973" t="s">
        <v>1997</v>
      </c>
      <c r="H1740" s="973" t="s">
        <v>1998</v>
      </c>
      <c r="I1740" s="973" t="s">
        <v>1999</v>
      </c>
      <c r="J1740" s="973" t="s">
        <v>697</v>
      </c>
      <c r="K1740" s="973" t="s">
        <v>995</v>
      </c>
      <c r="L1740" s="973" t="s">
        <v>996</v>
      </c>
      <c r="M1740" s="973" t="s">
        <v>2000</v>
      </c>
      <c r="N1740" s="973" t="s">
        <v>2001</v>
      </c>
      <c r="O1740" s="973" t="s">
        <v>1971</v>
      </c>
      <c r="P1740" s="973" t="s">
        <v>999</v>
      </c>
      <c r="Q1740" s="973" t="s">
        <v>1000</v>
      </c>
      <c r="R1740" s="973" t="s">
        <v>1001</v>
      </c>
      <c r="S1740" s="973" t="s">
        <v>1002</v>
      </c>
      <c r="AE1740" s="423" t="str">
        <f t="shared" si="27"/>
        <v/>
      </c>
    </row>
    <row r="1741" spans="4:31" x14ac:dyDescent="0.25">
      <c r="D1741" s="973" t="s">
        <v>990</v>
      </c>
      <c r="E1741" s="973" t="s">
        <v>991</v>
      </c>
      <c r="F1741" s="973" t="s">
        <v>992</v>
      </c>
      <c r="G1741" s="973" t="s">
        <v>1997</v>
      </c>
      <c r="H1741" s="973" t="s">
        <v>1998</v>
      </c>
      <c r="I1741" s="973" t="s">
        <v>1999</v>
      </c>
      <c r="J1741" s="973" t="s">
        <v>697</v>
      </c>
      <c r="K1741" s="973" t="s">
        <v>995</v>
      </c>
      <c r="L1741" s="973" t="s">
        <v>996</v>
      </c>
      <c r="M1741" s="973" t="s">
        <v>2000</v>
      </c>
      <c r="N1741" s="973" t="s">
        <v>2001</v>
      </c>
      <c r="O1741" s="973" t="s">
        <v>1971</v>
      </c>
      <c r="P1741" s="973" t="s">
        <v>999</v>
      </c>
      <c r="Q1741" s="973" t="s">
        <v>1000</v>
      </c>
      <c r="R1741" s="973" t="s">
        <v>1001</v>
      </c>
      <c r="S1741" s="973" t="s">
        <v>1002</v>
      </c>
      <c r="AE1741" s="423" t="str">
        <f t="shared" si="27"/>
        <v/>
      </c>
    </row>
    <row r="1742" spans="4:31" x14ac:dyDescent="0.25">
      <c r="D1742" s="973" t="s">
        <v>990</v>
      </c>
      <c r="E1742" s="973" t="s">
        <v>991</v>
      </c>
      <c r="F1742" s="973" t="s">
        <v>992</v>
      </c>
      <c r="G1742" s="973" t="s">
        <v>1997</v>
      </c>
      <c r="H1742" s="973" t="s">
        <v>1998</v>
      </c>
      <c r="I1742" s="973" t="s">
        <v>1999</v>
      </c>
      <c r="J1742" s="973" t="s">
        <v>697</v>
      </c>
      <c r="K1742" s="973" t="s">
        <v>995</v>
      </c>
      <c r="L1742" s="973" t="s">
        <v>996</v>
      </c>
      <c r="M1742" s="973" t="s">
        <v>2000</v>
      </c>
      <c r="N1742" s="973" t="s">
        <v>2001</v>
      </c>
      <c r="O1742" s="973" t="s">
        <v>1971</v>
      </c>
      <c r="P1742" s="973" t="s">
        <v>999</v>
      </c>
      <c r="Q1742" s="973" t="s">
        <v>1000</v>
      </c>
      <c r="R1742" s="973" t="s">
        <v>1001</v>
      </c>
      <c r="S1742" s="973" t="s">
        <v>1002</v>
      </c>
      <c r="AE1742" s="423" t="str">
        <f t="shared" si="27"/>
        <v/>
      </c>
    </row>
    <row r="1743" spans="4:31" x14ac:dyDescent="0.25">
      <c r="D1743" s="973" t="s">
        <v>990</v>
      </c>
      <c r="E1743" s="973" t="s">
        <v>991</v>
      </c>
      <c r="F1743" s="973" t="s">
        <v>992</v>
      </c>
      <c r="G1743" s="973" t="s">
        <v>1997</v>
      </c>
      <c r="H1743" s="973" t="s">
        <v>1998</v>
      </c>
      <c r="I1743" s="973" t="s">
        <v>1999</v>
      </c>
      <c r="J1743" s="973" t="s">
        <v>697</v>
      </c>
      <c r="K1743" s="973" t="s">
        <v>995</v>
      </c>
      <c r="L1743" s="973" t="s">
        <v>996</v>
      </c>
      <c r="M1743" s="973" t="s">
        <v>2000</v>
      </c>
      <c r="N1743" s="973" t="s">
        <v>2001</v>
      </c>
      <c r="O1743" s="973" t="s">
        <v>1971</v>
      </c>
      <c r="P1743" s="973" t="s">
        <v>999</v>
      </c>
      <c r="Q1743" s="973" t="s">
        <v>1000</v>
      </c>
      <c r="R1743" s="973" t="s">
        <v>1001</v>
      </c>
      <c r="S1743" s="973" t="s">
        <v>1002</v>
      </c>
      <c r="AE1743" s="423" t="str">
        <f t="shared" si="27"/>
        <v/>
      </c>
    </row>
    <row r="1744" spans="4:31" x14ac:dyDescent="0.25">
      <c r="D1744" s="973" t="s">
        <v>990</v>
      </c>
      <c r="E1744" s="973" t="s">
        <v>991</v>
      </c>
      <c r="F1744" s="973" t="s">
        <v>992</v>
      </c>
      <c r="G1744" s="973" t="s">
        <v>1997</v>
      </c>
      <c r="H1744" s="973" t="s">
        <v>1998</v>
      </c>
      <c r="I1744" s="973" t="s">
        <v>1999</v>
      </c>
      <c r="J1744" s="973" t="s">
        <v>697</v>
      </c>
      <c r="K1744" s="973" t="s">
        <v>995</v>
      </c>
      <c r="L1744" s="973" t="s">
        <v>996</v>
      </c>
      <c r="M1744" s="973" t="s">
        <v>2000</v>
      </c>
      <c r="N1744" s="973" t="s">
        <v>2001</v>
      </c>
      <c r="O1744" s="973" t="s">
        <v>1971</v>
      </c>
      <c r="P1744" s="973" t="s">
        <v>999</v>
      </c>
      <c r="Q1744" s="973" t="s">
        <v>1000</v>
      </c>
      <c r="R1744" s="973" t="s">
        <v>1001</v>
      </c>
      <c r="S1744" s="973" t="s">
        <v>1002</v>
      </c>
      <c r="AE1744" s="423" t="str">
        <f t="shared" si="27"/>
        <v/>
      </c>
    </row>
    <row r="1745" spans="4:31" x14ac:dyDescent="0.25">
      <c r="D1745" s="973" t="s">
        <v>990</v>
      </c>
      <c r="E1745" s="973" t="s">
        <v>991</v>
      </c>
      <c r="F1745" s="973" t="s">
        <v>992</v>
      </c>
      <c r="G1745" s="973" t="s">
        <v>1997</v>
      </c>
      <c r="H1745" s="973" t="s">
        <v>1998</v>
      </c>
      <c r="I1745" s="973" t="s">
        <v>1999</v>
      </c>
      <c r="J1745" s="973" t="s">
        <v>697</v>
      </c>
      <c r="K1745" s="973" t="s">
        <v>995</v>
      </c>
      <c r="L1745" s="973" t="s">
        <v>996</v>
      </c>
      <c r="M1745" s="973" t="s">
        <v>2000</v>
      </c>
      <c r="N1745" s="973" t="s">
        <v>2001</v>
      </c>
      <c r="O1745" s="973" t="s">
        <v>1971</v>
      </c>
      <c r="P1745" s="973" t="s">
        <v>999</v>
      </c>
      <c r="Q1745" s="973" t="s">
        <v>1000</v>
      </c>
      <c r="R1745" s="973" t="s">
        <v>1001</v>
      </c>
      <c r="S1745" s="973" t="s">
        <v>1002</v>
      </c>
      <c r="AE1745" s="423" t="str">
        <f t="shared" si="27"/>
        <v/>
      </c>
    </row>
    <row r="1746" spans="4:31" x14ac:dyDescent="0.25">
      <c r="D1746" s="973" t="s">
        <v>990</v>
      </c>
      <c r="E1746" s="973" t="s">
        <v>991</v>
      </c>
      <c r="F1746" s="973" t="s">
        <v>992</v>
      </c>
      <c r="G1746" s="973" t="s">
        <v>1997</v>
      </c>
      <c r="H1746" s="973" t="s">
        <v>1998</v>
      </c>
      <c r="I1746" s="973" t="s">
        <v>1999</v>
      </c>
      <c r="J1746" s="973" t="s">
        <v>697</v>
      </c>
      <c r="K1746" s="973" t="s">
        <v>995</v>
      </c>
      <c r="L1746" s="973" t="s">
        <v>996</v>
      </c>
      <c r="M1746" s="973" t="s">
        <v>2000</v>
      </c>
      <c r="N1746" s="973" t="s">
        <v>2001</v>
      </c>
      <c r="O1746" s="973" t="s">
        <v>1971</v>
      </c>
      <c r="P1746" s="973" t="s">
        <v>999</v>
      </c>
      <c r="Q1746" s="973" t="s">
        <v>1000</v>
      </c>
      <c r="R1746" s="973" t="s">
        <v>1001</v>
      </c>
      <c r="S1746" s="973" t="s">
        <v>1002</v>
      </c>
      <c r="AE1746" s="423" t="str">
        <f t="shared" si="27"/>
        <v/>
      </c>
    </row>
    <row r="1747" spans="4:31" x14ac:dyDescent="0.25">
      <c r="D1747" s="973" t="s">
        <v>990</v>
      </c>
      <c r="E1747" s="973" t="s">
        <v>991</v>
      </c>
      <c r="F1747" s="973" t="s">
        <v>992</v>
      </c>
      <c r="G1747" s="973" t="s">
        <v>1997</v>
      </c>
      <c r="H1747" s="973" t="s">
        <v>1998</v>
      </c>
      <c r="I1747" s="973" t="s">
        <v>1999</v>
      </c>
      <c r="J1747" s="973" t="s">
        <v>697</v>
      </c>
      <c r="K1747" s="973" t="s">
        <v>995</v>
      </c>
      <c r="L1747" s="973" t="s">
        <v>996</v>
      </c>
      <c r="M1747" s="973" t="s">
        <v>2000</v>
      </c>
      <c r="N1747" s="973" t="s">
        <v>2001</v>
      </c>
      <c r="O1747" s="973" t="s">
        <v>1971</v>
      </c>
      <c r="P1747" s="973" t="s">
        <v>999</v>
      </c>
      <c r="Q1747" s="973" t="s">
        <v>1000</v>
      </c>
      <c r="R1747" s="973" t="s">
        <v>1001</v>
      </c>
      <c r="S1747" s="973" t="s">
        <v>1002</v>
      </c>
      <c r="AE1747" s="423" t="str">
        <f t="shared" si="27"/>
        <v/>
      </c>
    </row>
    <row r="1748" spans="4:31" x14ac:dyDescent="0.25">
      <c r="D1748" s="973" t="s">
        <v>990</v>
      </c>
      <c r="E1748" s="973" t="s">
        <v>991</v>
      </c>
      <c r="F1748" s="973" t="s">
        <v>992</v>
      </c>
      <c r="G1748" s="973" t="s">
        <v>1997</v>
      </c>
      <c r="H1748" s="973" t="s">
        <v>1998</v>
      </c>
      <c r="I1748" s="973" t="s">
        <v>1999</v>
      </c>
      <c r="J1748" s="973" t="s">
        <v>697</v>
      </c>
      <c r="K1748" s="973" t="s">
        <v>995</v>
      </c>
      <c r="L1748" s="973" t="s">
        <v>996</v>
      </c>
      <c r="M1748" s="973" t="s">
        <v>2000</v>
      </c>
      <c r="N1748" s="973" t="s">
        <v>2001</v>
      </c>
      <c r="O1748" s="973" t="s">
        <v>1971</v>
      </c>
      <c r="P1748" s="973" t="s">
        <v>999</v>
      </c>
      <c r="Q1748" s="973" t="s">
        <v>1000</v>
      </c>
      <c r="R1748" s="973" t="s">
        <v>1001</v>
      </c>
      <c r="S1748" s="973" t="s">
        <v>1002</v>
      </c>
      <c r="AE1748" s="423" t="str">
        <f t="shared" si="27"/>
        <v/>
      </c>
    </row>
    <row r="1749" spans="4:31" x14ac:dyDescent="0.25">
      <c r="D1749" s="973" t="s">
        <v>990</v>
      </c>
      <c r="E1749" s="973" t="s">
        <v>991</v>
      </c>
      <c r="F1749" s="973" t="s">
        <v>992</v>
      </c>
      <c r="G1749" s="973" t="s">
        <v>1997</v>
      </c>
      <c r="H1749" s="973" t="s">
        <v>1998</v>
      </c>
      <c r="I1749" s="973" t="s">
        <v>1999</v>
      </c>
      <c r="J1749" s="973" t="s">
        <v>697</v>
      </c>
      <c r="K1749" s="973" t="s">
        <v>995</v>
      </c>
      <c r="L1749" s="973" t="s">
        <v>996</v>
      </c>
      <c r="M1749" s="973" t="s">
        <v>2000</v>
      </c>
      <c r="N1749" s="973" t="s">
        <v>2001</v>
      </c>
      <c r="O1749" s="973" t="s">
        <v>1971</v>
      </c>
      <c r="P1749" s="973" t="s">
        <v>999</v>
      </c>
      <c r="Q1749" s="973" t="s">
        <v>1000</v>
      </c>
      <c r="R1749" s="973" t="s">
        <v>1001</v>
      </c>
      <c r="S1749" s="973" t="s">
        <v>1002</v>
      </c>
      <c r="AE1749" s="423" t="str">
        <f t="shared" si="27"/>
        <v/>
      </c>
    </row>
    <row r="1750" spans="4:31" x14ac:dyDescent="0.25">
      <c r="D1750" s="973" t="s">
        <v>990</v>
      </c>
      <c r="E1750" s="973" t="s">
        <v>991</v>
      </c>
      <c r="F1750" s="973" t="s">
        <v>992</v>
      </c>
      <c r="G1750" s="973" t="s">
        <v>1997</v>
      </c>
      <c r="H1750" s="973" t="s">
        <v>1998</v>
      </c>
      <c r="I1750" s="973" t="s">
        <v>1999</v>
      </c>
      <c r="J1750" s="973" t="s">
        <v>697</v>
      </c>
      <c r="K1750" s="973" t="s">
        <v>995</v>
      </c>
      <c r="L1750" s="973" t="s">
        <v>996</v>
      </c>
      <c r="M1750" s="973" t="s">
        <v>2000</v>
      </c>
      <c r="N1750" s="973" t="s">
        <v>2001</v>
      </c>
      <c r="O1750" s="973" t="s">
        <v>1971</v>
      </c>
      <c r="P1750" s="973" t="s">
        <v>999</v>
      </c>
      <c r="Q1750" s="973" t="s">
        <v>1000</v>
      </c>
      <c r="R1750" s="973" t="s">
        <v>1001</v>
      </c>
      <c r="S1750" s="973" t="s">
        <v>1002</v>
      </c>
      <c r="AE1750" s="423" t="str">
        <f t="shared" si="27"/>
        <v/>
      </c>
    </row>
    <row r="1751" spans="4:31" x14ac:dyDescent="0.25">
      <c r="D1751" s="973" t="s">
        <v>990</v>
      </c>
      <c r="E1751" s="973" t="s">
        <v>991</v>
      </c>
      <c r="F1751" s="973" t="s">
        <v>992</v>
      </c>
      <c r="G1751" s="973" t="s">
        <v>1997</v>
      </c>
      <c r="H1751" s="973" t="s">
        <v>1998</v>
      </c>
      <c r="I1751" s="973" t="s">
        <v>1999</v>
      </c>
      <c r="J1751" s="973" t="s">
        <v>697</v>
      </c>
      <c r="K1751" s="973" t="s">
        <v>995</v>
      </c>
      <c r="L1751" s="973" t="s">
        <v>996</v>
      </c>
      <c r="M1751" s="973" t="s">
        <v>2000</v>
      </c>
      <c r="N1751" s="973" t="s">
        <v>2001</v>
      </c>
      <c r="O1751" s="973" t="s">
        <v>1971</v>
      </c>
      <c r="P1751" s="973" t="s">
        <v>999</v>
      </c>
      <c r="Q1751" s="973" t="s">
        <v>1000</v>
      </c>
      <c r="R1751" s="973" t="s">
        <v>1001</v>
      </c>
      <c r="S1751" s="973" t="s">
        <v>1002</v>
      </c>
      <c r="AE1751" s="423" t="str">
        <f t="shared" si="27"/>
        <v/>
      </c>
    </row>
    <row r="1752" spans="4:31" x14ac:dyDescent="0.25">
      <c r="D1752" s="973" t="s">
        <v>990</v>
      </c>
      <c r="E1752" s="973" t="s">
        <v>991</v>
      </c>
      <c r="F1752" s="973" t="s">
        <v>992</v>
      </c>
      <c r="G1752" s="973" t="s">
        <v>1997</v>
      </c>
      <c r="H1752" s="973" t="s">
        <v>1998</v>
      </c>
      <c r="I1752" s="973" t="s">
        <v>1999</v>
      </c>
      <c r="J1752" s="973" t="s">
        <v>697</v>
      </c>
      <c r="K1752" s="973" t="s">
        <v>995</v>
      </c>
      <c r="L1752" s="973" t="s">
        <v>996</v>
      </c>
      <c r="M1752" s="973" t="s">
        <v>2000</v>
      </c>
      <c r="N1752" s="973" t="s">
        <v>2001</v>
      </c>
      <c r="O1752" s="973" t="s">
        <v>1971</v>
      </c>
      <c r="P1752" s="973" t="s">
        <v>999</v>
      </c>
      <c r="Q1752" s="973" t="s">
        <v>1000</v>
      </c>
      <c r="R1752" s="973" t="s">
        <v>1001</v>
      </c>
      <c r="S1752" s="973" t="s">
        <v>1002</v>
      </c>
      <c r="AE1752" s="423" t="str">
        <f t="shared" si="27"/>
        <v/>
      </c>
    </row>
    <row r="1753" spans="4:31" x14ac:dyDescent="0.25">
      <c r="D1753" s="973" t="s">
        <v>990</v>
      </c>
      <c r="E1753" s="973" t="s">
        <v>991</v>
      </c>
      <c r="F1753" s="973" t="s">
        <v>992</v>
      </c>
      <c r="G1753" s="973" t="s">
        <v>1997</v>
      </c>
      <c r="H1753" s="973" t="s">
        <v>1998</v>
      </c>
      <c r="I1753" s="973" t="s">
        <v>1999</v>
      </c>
      <c r="J1753" s="973" t="s">
        <v>697</v>
      </c>
      <c r="K1753" s="973" t="s">
        <v>995</v>
      </c>
      <c r="L1753" s="973" t="s">
        <v>996</v>
      </c>
      <c r="M1753" s="973" t="s">
        <v>2000</v>
      </c>
      <c r="N1753" s="973" t="s">
        <v>2001</v>
      </c>
      <c r="O1753" s="973" t="s">
        <v>1971</v>
      </c>
      <c r="P1753" s="973" t="s">
        <v>999</v>
      </c>
      <c r="Q1753" s="973" t="s">
        <v>1000</v>
      </c>
      <c r="R1753" s="973" t="s">
        <v>1001</v>
      </c>
      <c r="S1753" s="973" t="s">
        <v>1002</v>
      </c>
      <c r="AE1753" s="423" t="str">
        <f t="shared" si="27"/>
        <v/>
      </c>
    </row>
    <row r="1754" spans="4:31" x14ac:dyDescent="0.25">
      <c r="D1754" s="973" t="s">
        <v>990</v>
      </c>
      <c r="E1754" s="973" t="s">
        <v>991</v>
      </c>
      <c r="F1754" s="973" t="s">
        <v>992</v>
      </c>
      <c r="G1754" s="973" t="s">
        <v>1997</v>
      </c>
      <c r="H1754" s="973" t="s">
        <v>1998</v>
      </c>
      <c r="I1754" s="973" t="s">
        <v>1999</v>
      </c>
      <c r="J1754" s="973" t="s">
        <v>697</v>
      </c>
      <c r="K1754" s="973" t="s">
        <v>995</v>
      </c>
      <c r="L1754" s="973" t="s">
        <v>996</v>
      </c>
      <c r="M1754" s="973" t="s">
        <v>2000</v>
      </c>
      <c r="N1754" s="973" t="s">
        <v>2001</v>
      </c>
      <c r="O1754" s="973" t="s">
        <v>1971</v>
      </c>
      <c r="P1754" s="973" t="s">
        <v>999</v>
      </c>
      <c r="Q1754" s="973" t="s">
        <v>1000</v>
      </c>
      <c r="R1754" s="973" t="s">
        <v>1001</v>
      </c>
      <c r="S1754" s="973" t="s">
        <v>1002</v>
      </c>
      <c r="AE1754" s="423" t="str">
        <f t="shared" si="27"/>
        <v/>
      </c>
    </row>
    <row r="1755" spans="4:31" x14ac:dyDescent="0.25">
      <c r="D1755" s="973" t="s">
        <v>990</v>
      </c>
      <c r="E1755" s="973" t="s">
        <v>991</v>
      </c>
      <c r="F1755" s="973" t="s">
        <v>992</v>
      </c>
      <c r="G1755" s="973" t="s">
        <v>1997</v>
      </c>
      <c r="H1755" s="973" t="s">
        <v>1998</v>
      </c>
      <c r="I1755" s="973" t="s">
        <v>1999</v>
      </c>
      <c r="J1755" s="973" t="s">
        <v>697</v>
      </c>
      <c r="K1755" s="973" t="s">
        <v>995</v>
      </c>
      <c r="L1755" s="973" t="s">
        <v>996</v>
      </c>
      <c r="M1755" s="973" t="s">
        <v>2000</v>
      </c>
      <c r="N1755" s="973" t="s">
        <v>2001</v>
      </c>
      <c r="O1755" s="973" t="s">
        <v>1971</v>
      </c>
      <c r="P1755" s="973" t="s">
        <v>999</v>
      </c>
      <c r="Q1755" s="973" t="s">
        <v>1000</v>
      </c>
      <c r="R1755" s="973" t="s">
        <v>1001</v>
      </c>
      <c r="S1755" s="973" t="s">
        <v>1002</v>
      </c>
      <c r="AE1755" s="423" t="str">
        <f t="shared" si="27"/>
        <v/>
      </c>
    </row>
    <row r="1756" spans="4:31" x14ac:dyDescent="0.25">
      <c r="D1756" s="973" t="s">
        <v>990</v>
      </c>
      <c r="E1756" s="973" t="s">
        <v>991</v>
      </c>
      <c r="F1756" s="973" t="s">
        <v>992</v>
      </c>
      <c r="G1756" s="973" t="s">
        <v>1997</v>
      </c>
      <c r="H1756" s="973" t="s">
        <v>1998</v>
      </c>
      <c r="I1756" s="973" t="s">
        <v>1999</v>
      </c>
      <c r="J1756" s="973" t="s">
        <v>697</v>
      </c>
      <c r="K1756" s="973" t="s">
        <v>995</v>
      </c>
      <c r="L1756" s="973" t="s">
        <v>996</v>
      </c>
      <c r="M1756" s="973" t="s">
        <v>2000</v>
      </c>
      <c r="N1756" s="973" t="s">
        <v>2001</v>
      </c>
      <c r="O1756" s="973" t="s">
        <v>1971</v>
      </c>
      <c r="P1756" s="973" t="s">
        <v>999</v>
      </c>
      <c r="Q1756" s="973" t="s">
        <v>1000</v>
      </c>
      <c r="R1756" s="973" t="s">
        <v>1001</v>
      </c>
      <c r="S1756" s="973" t="s">
        <v>1002</v>
      </c>
      <c r="AE1756" s="423" t="str">
        <f t="shared" si="27"/>
        <v/>
      </c>
    </row>
    <row r="1757" spans="4:31" x14ac:dyDescent="0.25">
      <c r="D1757" s="973" t="s">
        <v>990</v>
      </c>
      <c r="E1757" s="973" t="s">
        <v>991</v>
      </c>
      <c r="F1757" s="973" t="s">
        <v>992</v>
      </c>
      <c r="G1757" s="973" t="s">
        <v>1997</v>
      </c>
      <c r="H1757" s="973" t="s">
        <v>1998</v>
      </c>
      <c r="I1757" s="973" t="s">
        <v>1999</v>
      </c>
      <c r="J1757" s="973" t="s">
        <v>697</v>
      </c>
      <c r="K1757" s="973" t="s">
        <v>995</v>
      </c>
      <c r="L1757" s="973" t="s">
        <v>996</v>
      </c>
      <c r="M1757" s="973" t="s">
        <v>2000</v>
      </c>
      <c r="N1757" s="973" t="s">
        <v>2001</v>
      </c>
      <c r="O1757" s="973" t="s">
        <v>1971</v>
      </c>
      <c r="P1757" s="973" t="s">
        <v>999</v>
      </c>
      <c r="Q1757" s="973" t="s">
        <v>1000</v>
      </c>
      <c r="R1757" s="973" t="s">
        <v>1001</v>
      </c>
      <c r="S1757" s="973" t="s">
        <v>1002</v>
      </c>
      <c r="AE1757" s="423" t="str">
        <f t="shared" si="27"/>
        <v/>
      </c>
    </row>
    <row r="1758" spans="4:31" x14ac:dyDescent="0.25">
      <c r="D1758" s="973" t="s">
        <v>990</v>
      </c>
      <c r="E1758" s="973" t="s">
        <v>991</v>
      </c>
      <c r="F1758" s="973" t="s">
        <v>992</v>
      </c>
      <c r="G1758" s="973" t="s">
        <v>1997</v>
      </c>
      <c r="H1758" s="973" t="s">
        <v>1998</v>
      </c>
      <c r="I1758" s="973" t="s">
        <v>1999</v>
      </c>
      <c r="J1758" s="973" t="s">
        <v>697</v>
      </c>
      <c r="K1758" s="973" t="s">
        <v>995</v>
      </c>
      <c r="L1758" s="973" t="s">
        <v>996</v>
      </c>
      <c r="M1758" s="973" t="s">
        <v>2000</v>
      </c>
      <c r="N1758" s="973" t="s">
        <v>2001</v>
      </c>
      <c r="O1758" s="973" t="s">
        <v>1971</v>
      </c>
      <c r="P1758" s="973" t="s">
        <v>999</v>
      </c>
      <c r="Q1758" s="973" t="s">
        <v>1000</v>
      </c>
      <c r="R1758" s="973" t="s">
        <v>1001</v>
      </c>
      <c r="S1758" s="973" t="s">
        <v>1002</v>
      </c>
      <c r="AE1758" s="423" t="str">
        <f t="shared" si="27"/>
        <v/>
      </c>
    </row>
    <row r="1759" spans="4:31" x14ac:dyDescent="0.25">
      <c r="D1759" s="973" t="s">
        <v>990</v>
      </c>
      <c r="E1759" s="973" t="s">
        <v>991</v>
      </c>
      <c r="F1759" s="973" t="s">
        <v>992</v>
      </c>
      <c r="G1759" s="973" t="s">
        <v>1997</v>
      </c>
      <c r="H1759" s="973" t="s">
        <v>1998</v>
      </c>
      <c r="I1759" s="973" t="s">
        <v>1999</v>
      </c>
      <c r="J1759" s="973" t="s">
        <v>697</v>
      </c>
      <c r="K1759" s="973" t="s">
        <v>995</v>
      </c>
      <c r="L1759" s="973" t="s">
        <v>996</v>
      </c>
      <c r="M1759" s="973" t="s">
        <v>2000</v>
      </c>
      <c r="N1759" s="973" t="s">
        <v>2001</v>
      </c>
      <c r="O1759" s="973" t="s">
        <v>1971</v>
      </c>
      <c r="P1759" s="973" t="s">
        <v>999</v>
      </c>
      <c r="Q1759" s="973" t="s">
        <v>1000</v>
      </c>
      <c r="R1759" s="973" t="s">
        <v>1001</v>
      </c>
      <c r="S1759" s="973" t="s">
        <v>1002</v>
      </c>
      <c r="AE1759" s="423" t="str">
        <f t="shared" si="27"/>
        <v/>
      </c>
    </row>
    <row r="1760" spans="4:31" x14ac:dyDescent="0.25">
      <c r="D1760" s="973" t="s">
        <v>990</v>
      </c>
      <c r="E1760" s="973" t="s">
        <v>991</v>
      </c>
      <c r="F1760" s="973" t="s">
        <v>992</v>
      </c>
      <c r="G1760" s="973" t="s">
        <v>1997</v>
      </c>
      <c r="H1760" s="973" t="s">
        <v>1998</v>
      </c>
      <c r="I1760" s="973" t="s">
        <v>1999</v>
      </c>
      <c r="J1760" s="973" t="s">
        <v>697</v>
      </c>
      <c r="K1760" s="973" t="s">
        <v>995</v>
      </c>
      <c r="L1760" s="973" t="s">
        <v>996</v>
      </c>
      <c r="M1760" s="973" t="s">
        <v>2000</v>
      </c>
      <c r="N1760" s="973" t="s">
        <v>2001</v>
      </c>
      <c r="O1760" s="973" t="s">
        <v>1971</v>
      </c>
      <c r="P1760" s="973" t="s">
        <v>999</v>
      </c>
      <c r="Q1760" s="973" t="s">
        <v>1000</v>
      </c>
      <c r="R1760" s="973" t="s">
        <v>1001</v>
      </c>
      <c r="S1760" s="973" t="s">
        <v>1002</v>
      </c>
      <c r="AE1760" s="423" t="str">
        <f t="shared" si="27"/>
        <v/>
      </c>
    </row>
    <row r="1761" spans="4:31" x14ac:dyDescent="0.25">
      <c r="D1761" s="973" t="s">
        <v>990</v>
      </c>
      <c r="E1761" s="973" t="s">
        <v>991</v>
      </c>
      <c r="F1761" s="973" t="s">
        <v>992</v>
      </c>
      <c r="G1761" s="973" t="s">
        <v>1997</v>
      </c>
      <c r="H1761" s="973" t="s">
        <v>1998</v>
      </c>
      <c r="I1761" s="973" t="s">
        <v>1999</v>
      </c>
      <c r="J1761" s="973" t="s">
        <v>697</v>
      </c>
      <c r="K1761" s="973" t="s">
        <v>995</v>
      </c>
      <c r="L1761" s="973" t="s">
        <v>996</v>
      </c>
      <c r="M1761" s="973" t="s">
        <v>2000</v>
      </c>
      <c r="N1761" s="973" t="s">
        <v>2001</v>
      </c>
      <c r="O1761" s="973" t="s">
        <v>1971</v>
      </c>
      <c r="P1761" s="973" t="s">
        <v>999</v>
      </c>
      <c r="Q1761" s="973" t="s">
        <v>1000</v>
      </c>
      <c r="R1761" s="973" t="s">
        <v>1001</v>
      </c>
      <c r="S1761" s="973" t="s">
        <v>1002</v>
      </c>
      <c r="AE1761" s="423" t="str">
        <f t="shared" si="27"/>
        <v/>
      </c>
    </row>
    <row r="1762" spans="4:31" x14ac:dyDescent="0.25">
      <c r="D1762" s="973" t="s">
        <v>990</v>
      </c>
      <c r="E1762" s="973" t="s">
        <v>991</v>
      </c>
      <c r="F1762" s="973" t="s">
        <v>992</v>
      </c>
      <c r="G1762" s="973" t="s">
        <v>1997</v>
      </c>
      <c r="H1762" s="973" t="s">
        <v>1998</v>
      </c>
      <c r="I1762" s="973" t="s">
        <v>1999</v>
      </c>
      <c r="J1762" s="973" t="s">
        <v>697</v>
      </c>
      <c r="K1762" s="973" t="s">
        <v>995</v>
      </c>
      <c r="L1762" s="973" t="s">
        <v>996</v>
      </c>
      <c r="M1762" s="973" t="s">
        <v>2000</v>
      </c>
      <c r="N1762" s="973" t="s">
        <v>2001</v>
      </c>
      <c r="O1762" s="973" t="s">
        <v>1971</v>
      </c>
      <c r="P1762" s="973" t="s">
        <v>999</v>
      </c>
      <c r="Q1762" s="973" t="s">
        <v>1000</v>
      </c>
      <c r="R1762" s="973" t="s">
        <v>1001</v>
      </c>
      <c r="S1762" s="973" t="s">
        <v>1002</v>
      </c>
      <c r="AE1762" s="423" t="str">
        <f t="shared" si="27"/>
        <v/>
      </c>
    </row>
    <row r="1763" spans="4:31" x14ac:dyDescent="0.25">
      <c r="D1763" s="973" t="s">
        <v>990</v>
      </c>
      <c r="E1763" s="973" t="s">
        <v>991</v>
      </c>
      <c r="F1763" s="973" t="s">
        <v>992</v>
      </c>
      <c r="G1763" s="973" t="s">
        <v>1997</v>
      </c>
      <c r="H1763" s="973" t="s">
        <v>1998</v>
      </c>
      <c r="I1763" s="973" t="s">
        <v>1999</v>
      </c>
      <c r="J1763" s="973" t="s">
        <v>697</v>
      </c>
      <c r="K1763" s="973" t="s">
        <v>995</v>
      </c>
      <c r="L1763" s="973" t="s">
        <v>996</v>
      </c>
      <c r="M1763" s="973" t="s">
        <v>2000</v>
      </c>
      <c r="N1763" s="973" t="s">
        <v>2001</v>
      </c>
      <c r="O1763" s="973" t="s">
        <v>1971</v>
      </c>
      <c r="P1763" s="973" t="s">
        <v>999</v>
      </c>
      <c r="Q1763" s="973" t="s">
        <v>1000</v>
      </c>
      <c r="R1763" s="973" t="s">
        <v>1001</v>
      </c>
      <c r="S1763" s="973" t="s">
        <v>1002</v>
      </c>
      <c r="AE1763" s="423" t="str">
        <f t="shared" si="27"/>
        <v/>
      </c>
    </row>
    <row r="1764" spans="4:31" x14ac:dyDescent="0.25">
      <c r="D1764" s="973" t="s">
        <v>990</v>
      </c>
      <c r="E1764" s="973" t="s">
        <v>991</v>
      </c>
      <c r="F1764" s="973" t="s">
        <v>992</v>
      </c>
      <c r="G1764" s="973" t="s">
        <v>1997</v>
      </c>
      <c r="H1764" s="973" t="s">
        <v>1998</v>
      </c>
      <c r="I1764" s="973" t="s">
        <v>1999</v>
      </c>
      <c r="J1764" s="973" t="s">
        <v>697</v>
      </c>
      <c r="K1764" s="973" t="s">
        <v>995</v>
      </c>
      <c r="L1764" s="973" t="s">
        <v>996</v>
      </c>
      <c r="M1764" s="973" t="s">
        <v>2000</v>
      </c>
      <c r="N1764" s="973" t="s">
        <v>2001</v>
      </c>
      <c r="O1764" s="973" t="s">
        <v>1971</v>
      </c>
      <c r="P1764" s="973" t="s">
        <v>999</v>
      </c>
      <c r="Q1764" s="973" t="s">
        <v>1000</v>
      </c>
      <c r="R1764" s="973" t="s">
        <v>1001</v>
      </c>
      <c r="S1764" s="973" t="s">
        <v>1002</v>
      </c>
      <c r="AE1764" s="423" t="str">
        <f t="shared" si="27"/>
        <v/>
      </c>
    </row>
    <row r="1765" spans="4:31" x14ac:dyDescent="0.25">
      <c r="D1765" s="973" t="s">
        <v>990</v>
      </c>
      <c r="E1765" s="973" t="s">
        <v>991</v>
      </c>
      <c r="F1765" s="973" t="s">
        <v>992</v>
      </c>
      <c r="G1765" s="973" t="s">
        <v>1997</v>
      </c>
      <c r="H1765" s="973" t="s">
        <v>1998</v>
      </c>
      <c r="I1765" s="973" t="s">
        <v>1999</v>
      </c>
      <c r="J1765" s="973" t="s">
        <v>697</v>
      </c>
      <c r="K1765" s="973" t="s">
        <v>995</v>
      </c>
      <c r="L1765" s="973" t="s">
        <v>996</v>
      </c>
      <c r="M1765" s="973" t="s">
        <v>2000</v>
      </c>
      <c r="N1765" s="973" t="s">
        <v>2001</v>
      </c>
      <c r="O1765" s="973" t="s">
        <v>1971</v>
      </c>
      <c r="P1765" s="973" t="s">
        <v>999</v>
      </c>
      <c r="Q1765" s="973" t="s">
        <v>1000</v>
      </c>
      <c r="R1765" s="973" t="s">
        <v>1001</v>
      </c>
      <c r="S1765" s="973" t="s">
        <v>1002</v>
      </c>
      <c r="AE1765" s="423" t="str">
        <f t="shared" si="27"/>
        <v/>
      </c>
    </row>
    <row r="1766" spans="4:31" x14ac:dyDescent="0.25">
      <c r="D1766" s="973" t="s">
        <v>990</v>
      </c>
      <c r="E1766" s="973" t="s">
        <v>991</v>
      </c>
      <c r="F1766" s="973" t="s">
        <v>992</v>
      </c>
      <c r="G1766" s="973" t="s">
        <v>1997</v>
      </c>
      <c r="H1766" s="973" t="s">
        <v>1998</v>
      </c>
      <c r="I1766" s="973" t="s">
        <v>1999</v>
      </c>
      <c r="J1766" s="973" t="s">
        <v>697</v>
      </c>
      <c r="K1766" s="973" t="s">
        <v>995</v>
      </c>
      <c r="L1766" s="973" t="s">
        <v>996</v>
      </c>
      <c r="M1766" s="973" t="s">
        <v>2000</v>
      </c>
      <c r="N1766" s="973" t="s">
        <v>2001</v>
      </c>
      <c r="O1766" s="973" t="s">
        <v>1971</v>
      </c>
      <c r="P1766" s="973" t="s">
        <v>999</v>
      </c>
      <c r="Q1766" s="973" t="s">
        <v>1000</v>
      </c>
      <c r="R1766" s="973" t="s">
        <v>1001</v>
      </c>
      <c r="S1766" s="973" t="s">
        <v>1002</v>
      </c>
      <c r="AE1766" s="423" t="str">
        <f t="shared" si="27"/>
        <v/>
      </c>
    </row>
    <row r="1767" spans="4:31" x14ac:dyDescent="0.25">
      <c r="D1767" s="973" t="s">
        <v>990</v>
      </c>
      <c r="E1767" s="973" t="s">
        <v>991</v>
      </c>
      <c r="F1767" s="973" t="s">
        <v>992</v>
      </c>
      <c r="G1767" s="973" t="s">
        <v>1997</v>
      </c>
      <c r="H1767" s="973" t="s">
        <v>1998</v>
      </c>
      <c r="I1767" s="973" t="s">
        <v>1999</v>
      </c>
      <c r="J1767" s="973" t="s">
        <v>697</v>
      </c>
      <c r="K1767" s="973" t="s">
        <v>995</v>
      </c>
      <c r="L1767" s="973" t="s">
        <v>996</v>
      </c>
      <c r="M1767" s="973" t="s">
        <v>2000</v>
      </c>
      <c r="N1767" s="973" t="s">
        <v>2001</v>
      </c>
      <c r="O1767" s="973" t="s">
        <v>1971</v>
      </c>
      <c r="P1767" s="973" t="s">
        <v>999</v>
      </c>
      <c r="Q1767" s="973" t="s">
        <v>1000</v>
      </c>
      <c r="R1767" s="973" t="s">
        <v>1001</v>
      </c>
      <c r="S1767" s="973" t="s">
        <v>1002</v>
      </c>
      <c r="AE1767" s="423" t="str">
        <f t="shared" si="27"/>
        <v/>
      </c>
    </row>
    <row r="1768" spans="4:31" x14ac:dyDescent="0.25">
      <c r="D1768" s="973" t="s">
        <v>990</v>
      </c>
      <c r="E1768" s="973" t="s">
        <v>991</v>
      </c>
      <c r="F1768" s="973" t="s">
        <v>992</v>
      </c>
      <c r="G1768" s="973" t="s">
        <v>1997</v>
      </c>
      <c r="H1768" s="973" t="s">
        <v>1998</v>
      </c>
      <c r="I1768" s="973" t="s">
        <v>1999</v>
      </c>
      <c r="J1768" s="973" t="s">
        <v>697</v>
      </c>
      <c r="K1768" s="973" t="s">
        <v>995</v>
      </c>
      <c r="L1768" s="973" t="s">
        <v>996</v>
      </c>
      <c r="M1768" s="973" t="s">
        <v>2000</v>
      </c>
      <c r="N1768" s="973" t="s">
        <v>2001</v>
      </c>
      <c r="O1768" s="973" t="s">
        <v>1971</v>
      </c>
      <c r="P1768" s="973" t="s">
        <v>999</v>
      </c>
      <c r="Q1768" s="973" t="s">
        <v>1000</v>
      </c>
      <c r="R1768" s="973" t="s">
        <v>1001</v>
      </c>
      <c r="S1768" s="973" t="s">
        <v>1002</v>
      </c>
      <c r="AE1768" s="423" t="str">
        <f t="shared" si="27"/>
        <v/>
      </c>
    </row>
    <row r="1769" spans="4:31" x14ac:dyDescent="0.25">
      <c r="D1769" s="973" t="s">
        <v>990</v>
      </c>
      <c r="E1769" s="973" t="s">
        <v>991</v>
      </c>
      <c r="F1769" s="973" t="s">
        <v>992</v>
      </c>
      <c r="G1769" s="973" t="s">
        <v>1997</v>
      </c>
      <c r="H1769" s="973" t="s">
        <v>1998</v>
      </c>
      <c r="I1769" s="973" t="s">
        <v>1999</v>
      </c>
      <c r="J1769" s="973" t="s">
        <v>697</v>
      </c>
      <c r="K1769" s="973" t="s">
        <v>995</v>
      </c>
      <c r="L1769" s="973" t="s">
        <v>996</v>
      </c>
      <c r="M1769" s="973" t="s">
        <v>2000</v>
      </c>
      <c r="N1769" s="973" t="s">
        <v>2001</v>
      </c>
      <c r="O1769" s="973" t="s">
        <v>1971</v>
      </c>
      <c r="P1769" s="973" t="s">
        <v>999</v>
      </c>
      <c r="Q1769" s="973" t="s">
        <v>1000</v>
      </c>
      <c r="R1769" s="973" t="s">
        <v>1001</v>
      </c>
      <c r="S1769" s="973" t="s">
        <v>1002</v>
      </c>
      <c r="AE1769" s="423" t="str">
        <f t="shared" si="27"/>
        <v/>
      </c>
    </row>
    <row r="1770" spans="4:31" x14ac:dyDescent="0.25">
      <c r="D1770" s="973" t="s">
        <v>990</v>
      </c>
      <c r="E1770" s="973" t="s">
        <v>991</v>
      </c>
      <c r="F1770" s="973" t="s">
        <v>992</v>
      </c>
      <c r="G1770" s="973" t="s">
        <v>1997</v>
      </c>
      <c r="H1770" s="973" t="s">
        <v>1998</v>
      </c>
      <c r="I1770" s="973" t="s">
        <v>1999</v>
      </c>
      <c r="J1770" s="973" t="s">
        <v>697</v>
      </c>
      <c r="K1770" s="973" t="s">
        <v>995</v>
      </c>
      <c r="L1770" s="973" t="s">
        <v>996</v>
      </c>
      <c r="M1770" s="973" t="s">
        <v>2000</v>
      </c>
      <c r="N1770" s="973" t="s">
        <v>2001</v>
      </c>
      <c r="O1770" s="973" t="s">
        <v>1971</v>
      </c>
      <c r="P1770" s="973" t="s">
        <v>999</v>
      </c>
      <c r="Q1770" s="973" t="s">
        <v>1000</v>
      </c>
      <c r="R1770" s="973" t="s">
        <v>1001</v>
      </c>
      <c r="S1770" s="973" t="s">
        <v>1002</v>
      </c>
      <c r="AE1770" s="423" t="str">
        <f t="shared" si="27"/>
        <v/>
      </c>
    </row>
    <row r="1771" spans="4:31" x14ac:dyDescent="0.25">
      <c r="D1771" s="973" t="s">
        <v>990</v>
      </c>
      <c r="E1771" s="973" t="s">
        <v>991</v>
      </c>
      <c r="F1771" s="973" t="s">
        <v>992</v>
      </c>
      <c r="G1771" s="973" t="s">
        <v>1997</v>
      </c>
      <c r="H1771" s="973" t="s">
        <v>1998</v>
      </c>
      <c r="I1771" s="973" t="s">
        <v>1999</v>
      </c>
      <c r="J1771" s="973" t="s">
        <v>697</v>
      </c>
      <c r="K1771" s="973" t="s">
        <v>995</v>
      </c>
      <c r="L1771" s="973" t="s">
        <v>996</v>
      </c>
      <c r="M1771" s="973" t="s">
        <v>2000</v>
      </c>
      <c r="N1771" s="973" t="s">
        <v>2001</v>
      </c>
      <c r="O1771" s="973" t="s">
        <v>1971</v>
      </c>
      <c r="P1771" s="973" t="s">
        <v>999</v>
      </c>
      <c r="Q1771" s="973" t="s">
        <v>1000</v>
      </c>
      <c r="R1771" s="973" t="s">
        <v>1001</v>
      </c>
      <c r="S1771" s="973" t="s">
        <v>1002</v>
      </c>
      <c r="AE1771" s="423" t="str">
        <f t="shared" si="27"/>
        <v/>
      </c>
    </row>
    <row r="1772" spans="4:31" x14ac:dyDescent="0.25">
      <c r="D1772" s="973" t="s">
        <v>990</v>
      </c>
      <c r="E1772" s="973" t="s">
        <v>991</v>
      </c>
      <c r="F1772" s="973" t="s">
        <v>992</v>
      </c>
      <c r="G1772" s="973" t="s">
        <v>1997</v>
      </c>
      <c r="H1772" s="973" t="s">
        <v>1998</v>
      </c>
      <c r="I1772" s="973" t="s">
        <v>1999</v>
      </c>
      <c r="J1772" s="973" t="s">
        <v>697</v>
      </c>
      <c r="K1772" s="973" t="s">
        <v>995</v>
      </c>
      <c r="L1772" s="973" t="s">
        <v>996</v>
      </c>
      <c r="M1772" s="973" t="s">
        <v>2000</v>
      </c>
      <c r="N1772" s="973" t="s">
        <v>2001</v>
      </c>
      <c r="O1772" s="973" t="s">
        <v>1971</v>
      </c>
      <c r="P1772" s="973" t="s">
        <v>999</v>
      </c>
      <c r="Q1772" s="973" t="s">
        <v>1000</v>
      </c>
      <c r="R1772" s="973" t="s">
        <v>1001</v>
      </c>
      <c r="S1772" s="973" t="s">
        <v>1002</v>
      </c>
      <c r="AE1772" s="423" t="str">
        <f t="shared" si="27"/>
        <v/>
      </c>
    </row>
    <row r="1773" spans="4:31" x14ac:dyDescent="0.25">
      <c r="D1773" s="973" t="s">
        <v>990</v>
      </c>
      <c r="E1773" s="973" t="s">
        <v>991</v>
      </c>
      <c r="F1773" s="973" t="s">
        <v>992</v>
      </c>
      <c r="G1773" s="973" t="s">
        <v>1997</v>
      </c>
      <c r="H1773" s="973" t="s">
        <v>1998</v>
      </c>
      <c r="I1773" s="973" t="s">
        <v>1999</v>
      </c>
      <c r="J1773" s="973" t="s">
        <v>697</v>
      </c>
      <c r="K1773" s="973" t="s">
        <v>995</v>
      </c>
      <c r="L1773" s="973" t="s">
        <v>996</v>
      </c>
      <c r="M1773" s="973" t="s">
        <v>2000</v>
      </c>
      <c r="N1773" s="973" t="s">
        <v>2001</v>
      </c>
      <c r="O1773" s="973" t="s">
        <v>1971</v>
      </c>
      <c r="P1773" s="973" t="s">
        <v>999</v>
      </c>
      <c r="Q1773" s="973" t="s">
        <v>1000</v>
      </c>
      <c r="R1773" s="973" t="s">
        <v>1001</v>
      </c>
      <c r="S1773" s="973" t="s">
        <v>1002</v>
      </c>
      <c r="AE1773" s="423" t="str">
        <f t="shared" si="27"/>
        <v/>
      </c>
    </row>
    <row r="1774" spans="4:31" x14ac:dyDescent="0.25">
      <c r="D1774" s="973" t="s">
        <v>990</v>
      </c>
      <c r="E1774" s="973" t="s">
        <v>991</v>
      </c>
      <c r="F1774" s="973" t="s">
        <v>992</v>
      </c>
      <c r="G1774" s="973" t="s">
        <v>1997</v>
      </c>
      <c r="H1774" s="973" t="s">
        <v>1998</v>
      </c>
      <c r="I1774" s="973" t="s">
        <v>1999</v>
      </c>
      <c r="J1774" s="973" t="s">
        <v>697</v>
      </c>
      <c r="K1774" s="973" t="s">
        <v>995</v>
      </c>
      <c r="L1774" s="973" t="s">
        <v>996</v>
      </c>
      <c r="M1774" s="973" t="s">
        <v>2000</v>
      </c>
      <c r="N1774" s="973" t="s">
        <v>2001</v>
      </c>
      <c r="O1774" s="973" t="s">
        <v>1971</v>
      </c>
      <c r="P1774" s="973" t="s">
        <v>999</v>
      </c>
      <c r="Q1774" s="973" t="s">
        <v>1000</v>
      </c>
      <c r="R1774" s="973" t="s">
        <v>1001</v>
      </c>
      <c r="S1774" s="973" t="s">
        <v>1002</v>
      </c>
      <c r="AE1774" s="423" t="str">
        <f t="shared" si="27"/>
        <v/>
      </c>
    </row>
    <row r="1775" spans="4:31" x14ac:dyDescent="0.25">
      <c r="D1775" s="973" t="s">
        <v>990</v>
      </c>
      <c r="E1775" s="973" t="s">
        <v>991</v>
      </c>
      <c r="F1775" s="973" t="s">
        <v>992</v>
      </c>
      <c r="G1775" s="973" t="s">
        <v>1997</v>
      </c>
      <c r="H1775" s="973" t="s">
        <v>1998</v>
      </c>
      <c r="I1775" s="973" t="s">
        <v>1999</v>
      </c>
      <c r="J1775" s="973" t="s">
        <v>697</v>
      </c>
      <c r="K1775" s="973" t="s">
        <v>995</v>
      </c>
      <c r="L1775" s="973" t="s">
        <v>996</v>
      </c>
      <c r="M1775" s="973" t="s">
        <v>2000</v>
      </c>
      <c r="N1775" s="973" t="s">
        <v>2001</v>
      </c>
      <c r="O1775" s="973" t="s">
        <v>1971</v>
      </c>
      <c r="P1775" s="973" t="s">
        <v>999</v>
      </c>
      <c r="Q1775" s="973" t="s">
        <v>1000</v>
      </c>
      <c r="R1775" s="973" t="s">
        <v>1001</v>
      </c>
      <c r="S1775" s="973" t="s">
        <v>1002</v>
      </c>
      <c r="AE1775" s="423" t="str">
        <f t="shared" si="27"/>
        <v/>
      </c>
    </row>
    <row r="1776" spans="4:31" x14ac:dyDescent="0.25">
      <c r="D1776" s="973" t="s">
        <v>990</v>
      </c>
      <c r="E1776" s="973" t="s">
        <v>991</v>
      </c>
      <c r="F1776" s="973" t="s">
        <v>992</v>
      </c>
      <c r="G1776" s="973" t="s">
        <v>1997</v>
      </c>
      <c r="H1776" s="973" t="s">
        <v>1998</v>
      </c>
      <c r="I1776" s="973" t="s">
        <v>1999</v>
      </c>
      <c r="J1776" s="973" t="s">
        <v>697</v>
      </c>
      <c r="K1776" s="973" t="s">
        <v>995</v>
      </c>
      <c r="L1776" s="973" t="s">
        <v>996</v>
      </c>
      <c r="M1776" s="973" t="s">
        <v>2000</v>
      </c>
      <c r="N1776" s="973" t="s">
        <v>2001</v>
      </c>
      <c r="O1776" s="973" t="s">
        <v>1971</v>
      </c>
      <c r="P1776" s="973" t="s">
        <v>999</v>
      </c>
      <c r="Q1776" s="973" t="s">
        <v>1000</v>
      </c>
      <c r="R1776" s="973" t="s">
        <v>1001</v>
      </c>
      <c r="S1776" s="973" t="s">
        <v>1002</v>
      </c>
      <c r="AE1776" s="423" t="str">
        <f t="shared" si="27"/>
        <v/>
      </c>
    </row>
    <row r="1777" spans="4:31" x14ac:dyDescent="0.25">
      <c r="D1777" s="973" t="s">
        <v>990</v>
      </c>
      <c r="E1777" s="973" t="s">
        <v>991</v>
      </c>
      <c r="F1777" s="973" t="s">
        <v>992</v>
      </c>
      <c r="G1777" s="973" t="s">
        <v>1997</v>
      </c>
      <c r="H1777" s="973" t="s">
        <v>1998</v>
      </c>
      <c r="I1777" s="973" t="s">
        <v>1999</v>
      </c>
      <c r="J1777" s="973" t="s">
        <v>697</v>
      </c>
      <c r="K1777" s="973" t="s">
        <v>995</v>
      </c>
      <c r="L1777" s="973" t="s">
        <v>996</v>
      </c>
      <c r="M1777" s="973" t="s">
        <v>2000</v>
      </c>
      <c r="N1777" s="973" t="s">
        <v>2001</v>
      </c>
      <c r="O1777" s="973" t="s">
        <v>1971</v>
      </c>
      <c r="P1777" s="973" t="s">
        <v>999</v>
      </c>
      <c r="Q1777" s="973" t="s">
        <v>1000</v>
      </c>
      <c r="R1777" s="973" t="s">
        <v>1001</v>
      </c>
      <c r="S1777" s="973" t="s">
        <v>1002</v>
      </c>
      <c r="AE1777" s="423" t="str">
        <f t="shared" si="27"/>
        <v/>
      </c>
    </row>
    <row r="1778" spans="4:31" x14ac:dyDescent="0.25">
      <c r="D1778" s="973" t="s">
        <v>990</v>
      </c>
      <c r="E1778" s="973" t="s">
        <v>991</v>
      </c>
      <c r="F1778" s="973" t="s">
        <v>992</v>
      </c>
      <c r="G1778" s="973" t="s">
        <v>1997</v>
      </c>
      <c r="H1778" s="973" t="s">
        <v>1998</v>
      </c>
      <c r="I1778" s="973" t="s">
        <v>1999</v>
      </c>
      <c r="J1778" s="973" t="s">
        <v>697</v>
      </c>
      <c r="K1778" s="973" t="s">
        <v>995</v>
      </c>
      <c r="L1778" s="973" t="s">
        <v>996</v>
      </c>
      <c r="M1778" s="973" t="s">
        <v>2000</v>
      </c>
      <c r="N1778" s="973" t="s">
        <v>2001</v>
      </c>
      <c r="O1778" s="973" t="s">
        <v>1971</v>
      </c>
      <c r="P1778" s="973" t="s">
        <v>999</v>
      </c>
      <c r="Q1778" s="973" t="s">
        <v>1000</v>
      </c>
      <c r="R1778" s="973" t="s">
        <v>1001</v>
      </c>
      <c r="S1778" s="973" t="s">
        <v>1002</v>
      </c>
      <c r="AE1778" s="423" t="str">
        <f t="shared" si="27"/>
        <v/>
      </c>
    </row>
    <row r="1779" spans="4:31" x14ac:dyDescent="0.25">
      <c r="D1779" s="973" t="s">
        <v>990</v>
      </c>
      <c r="E1779" s="973" t="s">
        <v>991</v>
      </c>
      <c r="F1779" s="973" t="s">
        <v>992</v>
      </c>
      <c r="G1779" s="973" t="s">
        <v>1997</v>
      </c>
      <c r="H1779" s="973" t="s">
        <v>1998</v>
      </c>
      <c r="I1779" s="973" t="s">
        <v>1999</v>
      </c>
      <c r="J1779" s="973" t="s">
        <v>697</v>
      </c>
      <c r="K1779" s="973" t="s">
        <v>995</v>
      </c>
      <c r="L1779" s="973" t="s">
        <v>996</v>
      </c>
      <c r="M1779" s="973" t="s">
        <v>2000</v>
      </c>
      <c r="N1779" s="973" t="s">
        <v>2001</v>
      </c>
      <c r="O1779" s="973" t="s">
        <v>1971</v>
      </c>
      <c r="P1779" s="973" t="s">
        <v>999</v>
      </c>
      <c r="Q1779" s="973" t="s">
        <v>1000</v>
      </c>
      <c r="R1779" s="973" t="s">
        <v>1001</v>
      </c>
      <c r="S1779" s="973" t="s">
        <v>1002</v>
      </c>
      <c r="AE1779" s="423" t="str">
        <f t="shared" si="27"/>
        <v/>
      </c>
    </row>
    <row r="1780" spans="4:31" x14ac:dyDescent="0.25">
      <c r="D1780" s="973" t="s">
        <v>990</v>
      </c>
      <c r="E1780" s="973" t="s">
        <v>991</v>
      </c>
      <c r="F1780" s="973" t="s">
        <v>992</v>
      </c>
      <c r="G1780" s="973" t="s">
        <v>1997</v>
      </c>
      <c r="H1780" s="973" t="s">
        <v>1998</v>
      </c>
      <c r="I1780" s="973" t="s">
        <v>1999</v>
      </c>
      <c r="J1780" s="973" t="s">
        <v>697</v>
      </c>
      <c r="K1780" s="973" t="s">
        <v>995</v>
      </c>
      <c r="L1780" s="973" t="s">
        <v>996</v>
      </c>
      <c r="M1780" s="973" t="s">
        <v>2000</v>
      </c>
      <c r="N1780" s="973" t="s">
        <v>2001</v>
      </c>
      <c r="O1780" s="973" t="s">
        <v>1971</v>
      </c>
      <c r="P1780" s="973" t="s">
        <v>999</v>
      </c>
      <c r="Q1780" s="973" t="s">
        <v>1000</v>
      </c>
      <c r="R1780" s="973" t="s">
        <v>1001</v>
      </c>
      <c r="S1780" s="973" t="s">
        <v>1002</v>
      </c>
      <c r="AE1780" s="423" t="str">
        <f t="shared" si="27"/>
        <v/>
      </c>
    </row>
    <row r="1781" spans="4:31" x14ac:dyDescent="0.25">
      <c r="D1781" s="973" t="s">
        <v>990</v>
      </c>
      <c r="E1781" s="973" t="s">
        <v>991</v>
      </c>
      <c r="F1781" s="973" t="s">
        <v>992</v>
      </c>
      <c r="G1781" s="973" t="s">
        <v>1997</v>
      </c>
      <c r="H1781" s="973" t="s">
        <v>1998</v>
      </c>
      <c r="I1781" s="973" t="s">
        <v>1999</v>
      </c>
      <c r="J1781" s="973" t="s">
        <v>697</v>
      </c>
      <c r="K1781" s="973" t="s">
        <v>995</v>
      </c>
      <c r="L1781" s="973" t="s">
        <v>996</v>
      </c>
      <c r="M1781" s="973" t="s">
        <v>2000</v>
      </c>
      <c r="N1781" s="973" t="s">
        <v>2001</v>
      </c>
      <c r="O1781" s="973" t="s">
        <v>1971</v>
      </c>
      <c r="P1781" s="973" t="s">
        <v>999</v>
      </c>
      <c r="Q1781" s="973" t="s">
        <v>1000</v>
      </c>
      <c r="R1781" s="973" t="s">
        <v>1001</v>
      </c>
      <c r="S1781" s="973" t="s">
        <v>1002</v>
      </c>
      <c r="AE1781" s="423" t="str">
        <f t="shared" si="27"/>
        <v/>
      </c>
    </row>
    <row r="1782" spans="4:31" x14ac:dyDescent="0.25">
      <c r="D1782" s="973" t="s">
        <v>990</v>
      </c>
      <c r="E1782" s="973" t="s">
        <v>991</v>
      </c>
      <c r="F1782" s="973" t="s">
        <v>992</v>
      </c>
      <c r="G1782" s="973" t="s">
        <v>1997</v>
      </c>
      <c r="H1782" s="973" t="s">
        <v>1998</v>
      </c>
      <c r="I1782" s="973" t="s">
        <v>1999</v>
      </c>
      <c r="J1782" s="973" t="s">
        <v>697</v>
      </c>
      <c r="K1782" s="973" t="s">
        <v>995</v>
      </c>
      <c r="L1782" s="973" t="s">
        <v>996</v>
      </c>
      <c r="M1782" s="973" t="s">
        <v>2000</v>
      </c>
      <c r="N1782" s="973" t="s">
        <v>2001</v>
      </c>
      <c r="O1782" s="973" t="s">
        <v>1971</v>
      </c>
      <c r="P1782" s="973" t="s">
        <v>999</v>
      </c>
      <c r="Q1782" s="973" t="s">
        <v>1000</v>
      </c>
      <c r="R1782" s="973" t="s">
        <v>1001</v>
      </c>
      <c r="S1782" s="973" t="s">
        <v>1002</v>
      </c>
      <c r="AE1782" s="423" t="str">
        <f t="shared" si="27"/>
        <v/>
      </c>
    </row>
    <row r="1783" spans="4:31" x14ac:dyDescent="0.25">
      <c r="D1783" s="973" t="s">
        <v>990</v>
      </c>
      <c r="E1783" s="973" t="s">
        <v>991</v>
      </c>
      <c r="F1783" s="973" t="s">
        <v>992</v>
      </c>
      <c r="G1783" s="973" t="s">
        <v>1997</v>
      </c>
      <c r="H1783" s="973" t="s">
        <v>1998</v>
      </c>
      <c r="I1783" s="973" t="s">
        <v>1999</v>
      </c>
      <c r="J1783" s="973" t="s">
        <v>697</v>
      </c>
      <c r="K1783" s="973" t="s">
        <v>995</v>
      </c>
      <c r="L1783" s="973" t="s">
        <v>996</v>
      </c>
      <c r="M1783" s="973" t="s">
        <v>2000</v>
      </c>
      <c r="N1783" s="973" t="s">
        <v>2001</v>
      </c>
      <c r="O1783" s="973" t="s">
        <v>1971</v>
      </c>
      <c r="P1783" s="973" t="s">
        <v>999</v>
      </c>
      <c r="Q1783" s="973" t="s">
        <v>1000</v>
      </c>
      <c r="R1783" s="973" t="s">
        <v>1001</v>
      </c>
      <c r="S1783" s="973" t="s">
        <v>1002</v>
      </c>
      <c r="AE1783" s="423" t="str">
        <f t="shared" si="27"/>
        <v/>
      </c>
    </row>
    <row r="1784" spans="4:31" x14ac:dyDescent="0.25">
      <c r="D1784" s="973" t="s">
        <v>990</v>
      </c>
      <c r="E1784" s="973" t="s">
        <v>991</v>
      </c>
      <c r="F1784" s="973" t="s">
        <v>992</v>
      </c>
      <c r="G1784" s="973" t="s">
        <v>1997</v>
      </c>
      <c r="H1784" s="973" t="s">
        <v>1998</v>
      </c>
      <c r="I1784" s="973" t="s">
        <v>1999</v>
      </c>
      <c r="J1784" s="973" t="s">
        <v>697</v>
      </c>
      <c r="K1784" s="973" t="s">
        <v>995</v>
      </c>
      <c r="L1784" s="973" t="s">
        <v>996</v>
      </c>
      <c r="M1784" s="973" t="s">
        <v>2000</v>
      </c>
      <c r="N1784" s="973" t="s">
        <v>2001</v>
      </c>
      <c r="O1784" s="973" t="s">
        <v>1971</v>
      </c>
      <c r="P1784" s="973" t="s">
        <v>999</v>
      </c>
      <c r="Q1784" s="973" t="s">
        <v>1000</v>
      </c>
      <c r="R1784" s="973" t="s">
        <v>1001</v>
      </c>
      <c r="S1784" s="973" t="s">
        <v>1002</v>
      </c>
      <c r="AE1784" s="423" t="str">
        <f t="shared" si="27"/>
        <v/>
      </c>
    </row>
    <row r="1785" spans="4:31" x14ac:dyDescent="0.25">
      <c r="D1785" s="973" t="s">
        <v>990</v>
      </c>
      <c r="E1785" s="973" t="s">
        <v>991</v>
      </c>
      <c r="F1785" s="973" t="s">
        <v>992</v>
      </c>
      <c r="G1785" s="973" t="s">
        <v>1997</v>
      </c>
      <c r="H1785" s="973" t="s">
        <v>1998</v>
      </c>
      <c r="I1785" s="973" t="s">
        <v>1999</v>
      </c>
      <c r="J1785" s="973" t="s">
        <v>697</v>
      </c>
      <c r="K1785" s="973" t="s">
        <v>995</v>
      </c>
      <c r="L1785" s="973" t="s">
        <v>996</v>
      </c>
      <c r="M1785" s="973" t="s">
        <v>2000</v>
      </c>
      <c r="N1785" s="973" t="s">
        <v>2001</v>
      </c>
      <c r="O1785" s="973" t="s">
        <v>1971</v>
      </c>
      <c r="P1785" s="973" t="s">
        <v>999</v>
      </c>
      <c r="Q1785" s="973" t="s">
        <v>1000</v>
      </c>
      <c r="R1785" s="973" t="s">
        <v>1001</v>
      </c>
      <c r="S1785" s="973" t="s">
        <v>1002</v>
      </c>
      <c r="AE1785" s="423" t="str">
        <f t="shared" si="27"/>
        <v/>
      </c>
    </row>
    <row r="1786" spans="4:31" x14ac:dyDescent="0.25">
      <c r="D1786" s="973" t="s">
        <v>990</v>
      </c>
      <c r="E1786" s="973" t="s">
        <v>991</v>
      </c>
      <c r="F1786" s="973" t="s">
        <v>992</v>
      </c>
      <c r="G1786" s="973" t="s">
        <v>1997</v>
      </c>
      <c r="H1786" s="973" t="s">
        <v>1998</v>
      </c>
      <c r="I1786" s="973" t="s">
        <v>1999</v>
      </c>
      <c r="J1786" s="973" t="s">
        <v>697</v>
      </c>
      <c r="K1786" s="973" t="s">
        <v>995</v>
      </c>
      <c r="L1786" s="973" t="s">
        <v>996</v>
      </c>
      <c r="M1786" s="973" t="s">
        <v>2000</v>
      </c>
      <c r="N1786" s="973" t="s">
        <v>2001</v>
      </c>
      <c r="O1786" s="973" t="s">
        <v>1971</v>
      </c>
      <c r="P1786" s="973" t="s">
        <v>999</v>
      </c>
      <c r="Q1786" s="973" t="s">
        <v>1000</v>
      </c>
      <c r="R1786" s="973" t="s">
        <v>1001</v>
      </c>
      <c r="S1786" s="973" t="s">
        <v>1002</v>
      </c>
      <c r="AE1786" s="423" t="str">
        <f t="shared" si="27"/>
        <v/>
      </c>
    </row>
    <row r="1787" spans="4:31" x14ac:dyDescent="0.25">
      <c r="D1787" s="973" t="s">
        <v>990</v>
      </c>
      <c r="E1787" s="973" t="s">
        <v>991</v>
      </c>
      <c r="F1787" s="973" t="s">
        <v>992</v>
      </c>
      <c r="G1787" s="973" t="s">
        <v>1997</v>
      </c>
      <c r="H1787" s="973" t="s">
        <v>1998</v>
      </c>
      <c r="I1787" s="973" t="s">
        <v>1999</v>
      </c>
      <c r="J1787" s="973" t="s">
        <v>697</v>
      </c>
      <c r="K1787" s="973" t="s">
        <v>995</v>
      </c>
      <c r="L1787" s="973" t="s">
        <v>996</v>
      </c>
      <c r="M1787" s="973" t="s">
        <v>2000</v>
      </c>
      <c r="N1787" s="973" t="s">
        <v>2001</v>
      </c>
      <c r="O1787" s="973" t="s">
        <v>1971</v>
      </c>
      <c r="P1787" s="973" t="s">
        <v>999</v>
      </c>
      <c r="Q1787" s="973" t="s">
        <v>1000</v>
      </c>
      <c r="R1787" s="973" t="s">
        <v>1001</v>
      </c>
      <c r="S1787" s="973" t="s">
        <v>1002</v>
      </c>
      <c r="AE1787" s="423" t="str">
        <f t="shared" si="27"/>
        <v/>
      </c>
    </row>
    <row r="1788" spans="4:31" x14ac:dyDescent="0.25">
      <c r="D1788" s="973" t="s">
        <v>990</v>
      </c>
      <c r="E1788" s="973" t="s">
        <v>991</v>
      </c>
      <c r="F1788" s="973" t="s">
        <v>992</v>
      </c>
      <c r="G1788" s="973" t="s">
        <v>1997</v>
      </c>
      <c r="H1788" s="973" t="s">
        <v>1998</v>
      </c>
      <c r="I1788" s="973" t="s">
        <v>1999</v>
      </c>
      <c r="J1788" s="973" t="s">
        <v>697</v>
      </c>
      <c r="K1788" s="973" t="s">
        <v>995</v>
      </c>
      <c r="L1788" s="973" t="s">
        <v>996</v>
      </c>
      <c r="M1788" s="973" t="s">
        <v>2000</v>
      </c>
      <c r="N1788" s="973" t="s">
        <v>2001</v>
      </c>
      <c r="O1788" s="973" t="s">
        <v>1971</v>
      </c>
      <c r="P1788" s="973" t="s">
        <v>999</v>
      </c>
      <c r="Q1788" s="973" t="s">
        <v>1000</v>
      </c>
      <c r="R1788" s="973" t="s">
        <v>1001</v>
      </c>
      <c r="S1788" s="973" t="s">
        <v>1002</v>
      </c>
      <c r="AE1788" s="423" t="str">
        <f t="shared" si="27"/>
        <v/>
      </c>
    </row>
    <row r="1789" spans="4:31" x14ac:dyDescent="0.25">
      <c r="D1789" s="973" t="s">
        <v>990</v>
      </c>
      <c r="E1789" s="973" t="s">
        <v>991</v>
      </c>
      <c r="F1789" s="973" t="s">
        <v>992</v>
      </c>
      <c r="G1789" s="973" t="s">
        <v>1997</v>
      </c>
      <c r="H1789" s="973" t="s">
        <v>1998</v>
      </c>
      <c r="I1789" s="973" t="s">
        <v>1999</v>
      </c>
      <c r="J1789" s="973" t="s">
        <v>697</v>
      </c>
      <c r="K1789" s="973" t="s">
        <v>995</v>
      </c>
      <c r="L1789" s="973" t="s">
        <v>996</v>
      </c>
      <c r="M1789" s="973" t="s">
        <v>2000</v>
      </c>
      <c r="N1789" s="973" t="s">
        <v>2001</v>
      </c>
      <c r="O1789" s="973" t="s">
        <v>1971</v>
      </c>
      <c r="P1789" s="973" t="s">
        <v>999</v>
      </c>
      <c r="Q1789" s="973" t="s">
        <v>1000</v>
      </c>
      <c r="R1789" s="973" t="s">
        <v>1001</v>
      </c>
      <c r="S1789" s="973" t="s">
        <v>1002</v>
      </c>
      <c r="AE1789" s="423" t="str">
        <f t="shared" si="27"/>
        <v/>
      </c>
    </row>
    <row r="1790" spans="4:31" x14ac:dyDescent="0.25">
      <c r="D1790" s="973" t="s">
        <v>990</v>
      </c>
      <c r="E1790" s="973" t="s">
        <v>991</v>
      </c>
      <c r="F1790" s="973" t="s">
        <v>992</v>
      </c>
      <c r="G1790" s="973" t="s">
        <v>1997</v>
      </c>
      <c r="H1790" s="973" t="s">
        <v>1998</v>
      </c>
      <c r="I1790" s="973" t="s">
        <v>1999</v>
      </c>
      <c r="J1790" s="973" t="s">
        <v>697</v>
      </c>
      <c r="K1790" s="973" t="s">
        <v>995</v>
      </c>
      <c r="L1790" s="973" t="s">
        <v>996</v>
      </c>
      <c r="M1790" s="973" t="s">
        <v>2000</v>
      </c>
      <c r="N1790" s="973" t="s">
        <v>2001</v>
      </c>
      <c r="O1790" s="973" t="s">
        <v>1971</v>
      </c>
      <c r="P1790" s="973" t="s">
        <v>999</v>
      </c>
      <c r="Q1790" s="973" t="s">
        <v>1000</v>
      </c>
      <c r="R1790" s="973" t="s">
        <v>1001</v>
      </c>
      <c r="S1790" s="973" t="s">
        <v>1002</v>
      </c>
      <c r="AE1790" s="423" t="str">
        <f t="shared" si="27"/>
        <v/>
      </c>
    </row>
    <row r="1791" spans="4:31" x14ac:dyDescent="0.25">
      <c r="D1791" s="973" t="s">
        <v>990</v>
      </c>
      <c r="E1791" s="973" t="s">
        <v>991</v>
      </c>
      <c r="F1791" s="973" t="s">
        <v>992</v>
      </c>
      <c r="G1791" s="973" t="s">
        <v>1997</v>
      </c>
      <c r="H1791" s="973" t="s">
        <v>1998</v>
      </c>
      <c r="I1791" s="973" t="s">
        <v>1999</v>
      </c>
      <c r="J1791" s="973" t="s">
        <v>697</v>
      </c>
      <c r="K1791" s="973" t="s">
        <v>995</v>
      </c>
      <c r="L1791" s="973" t="s">
        <v>996</v>
      </c>
      <c r="M1791" s="973" t="s">
        <v>2000</v>
      </c>
      <c r="N1791" s="973" t="s">
        <v>2001</v>
      </c>
      <c r="O1791" s="973" t="s">
        <v>1971</v>
      </c>
      <c r="P1791" s="973" t="s">
        <v>999</v>
      </c>
      <c r="Q1791" s="973" t="s">
        <v>1000</v>
      </c>
      <c r="R1791" s="973" t="s">
        <v>1001</v>
      </c>
      <c r="S1791" s="973" t="s">
        <v>1002</v>
      </c>
      <c r="AE1791" s="423" t="str">
        <f t="shared" si="27"/>
        <v/>
      </c>
    </row>
    <row r="1792" spans="4:31" x14ac:dyDescent="0.25">
      <c r="D1792" s="973" t="s">
        <v>990</v>
      </c>
      <c r="E1792" s="973" t="s">
        <v>991</v>
      </c>
      <c r="F1792" s="973" t="s">
        <v>992</v>
      </c>
      <c r="G1792" s="973" t="s">
        <v>1997</v>
      </c>
      <c r="H1792" s="973" t="s">
        <v>1998</v>
      </c>
      <c r="I1792" s="973" t="s">
        <v>1999</v>
      </c>
      <c r="J1792" s="973" t="s">
        <v>697</v>
      </c>
      <c r="K1792" s="973" t="s">
        <v>995</v>
      </c>
      <c r="L1792" s="973" t="s">
        <v>996</v>
      </c>
      <c r="M1792" s="973" t="s">
        <v>2000</v>
      </c>
      <c r="N1792" s="973" t="s">
        <v>2001</v>
      </c>
      <c r="O1792" s="973" t="s">
        <v>1971</v>
      </c>
      <c r="P1792" s="973" t="s">
        <v>999</v>
      </c>
      <c r="Q1792" s="973" t="s">
        <v>1000</v>
      </c>
      <c r="R1792" s="973" t="s">
        <v>1001</v>
      </c>
      <c r="S1792" s="973" t="s">
        <v>1002</v>
      </c>
      <c r="AE1792" s="423" t="str">
        <f t="shared" si="27"/>
        <v/>
      </c>
    </row>
    <row r="1793" spans="4:31" x14ac:dyDescent="0.25">
      <c r="D1793" s="973" t="s">
        <v>990</v>
      </c>
      <c r="E1793" s="973" t="s">
        <v>991</v>
      </c>
      <c r="F1793" s="973" t="s">
        <v>992</v>
      </c>
      <c r="G1793" s="973" t="s">
        <v>1997</v>
      </c>
      <c r="H1793" s="973" t="s">
        <v>1998</v>
      </c>
      <c r="I1793" s="973" t="s">
        <v>1999</v>
      </c>
      <c r="J1793" s="973" t="s">
        <v>697</v>
      </c>
      <c r="K1793" s="973" t="s">
        <v>995</v>
      </c>
      <c r="L1793" s="973" t="s">
        <v>996</v>
      </c>
      <c r="M1793" s="973" t="s">
        <v>2000</v>
      </c>
      <c r="N1793" s="973" t="s">
        <v>2001</v>
      </c>
      <c r="O1793" s="973" t="s">
        <v>1971</v>
      </c>
      <c r="P1793" s="973" t="s">
        <v>999</v>
      </c>
      <c r="Q1793" s="973" t="s">
        <v>1000</v>
      </c>
      <c r="R1793" s="973" t="s">
        <v>1001</v>
      </c>
      <c r="S1793" s="973" t="s">
        <v>1002</v>
      </c>
      <c r="AE1793" s="423" t="str">
        <f t="shared" si="27"/>
        <v/>
      </c>
    </row>
    <row r="1794" spans="4:31" x14ac:dyDescent="0.25">
      <c r="D1794" s="973" t="s">
        <v>990</v>
      </c>
      <c r="E1794" s="973" t="s">
        <v>991</v>
      </c>
      <c r="F1794" s="973" t="s">
        <v>992</v>
      </c>
      <c r="G1794" s="973" t="s">
        <v>1997</v>
      </c>
      <c r="H1794" s="973" t="s">
        <v>1998</v>
      </c>
      <c r="I1794" s="973" t="s">
        <v>1999</v>
      </c>
      <c r="J1794" s="973" t="s">
        <v>697</v>
      </c>
      <c r="K1794" s="973" t="s">
        <v>995</v>
      </c>
      <c r="L1794" s="973" t="s">
        <v>996</v>
      </c>
      <c r="M1794" s="973" t="s">
        <v>2000</v>
      </c>
      <c r="N1794" s="973" t="s">
        <v>2001</v>
      </c>
      <c r="O1794" s="973" t="s">
        <v>1971</v>
      </c>
      <c r="P1794" s="973" t="s">
        <v>999</v>
      </c>
      <c r="Q1794" s="973" t="s">
        <v>1000</v>
      </c>
      <c r="R1794" s="973" t="s">
        <v>1001</v>
      </c>
      <c r="S1794" s="973" t="s">
        <v>1002</v>
      </c>
      <c r="AE1794" s="423" t="str">
        <f t="shared" si="27"/>
        <v/>
      </c>
    </row>
    <row r="1795" spans="4:31" x14ac:dyDescent="0.25">
      <c r="D1795" s="973" t="s">
        <v>990</v>
      </c>
      <c r="E1795" s="973" t="s">
        <v>991</v>
      </c>
      <c r="F1795" s="973" t="s">
        <v>992</v>
      </c>
      <c r="G1795" s="973" t="s">
        <v>1997</v>
      </c>
      <c r="H1795" s="973" t="s">
        <v>1998</v>
      </c>
      <c r="I1795" s="973" t="s">
        <v>1999</v>
      </c>
      <c r="J1795" s="973" t="s">
        <v>697</v>
      </c>
      <c r="K1795" s="973" t="s">
        <v>995</v>
      </c>
      <c r="L1795" s="973" t="s">
        <v>996</v>
      </c>
      <c r="M1795" s="973" t="s">
        <v>2000</v>
      </c>
      <c r="N1795" s="973" t="s">
        <v>2001</v>
      </c>
      <c r="O1795" s="973" t="s">
        <v>1971</v>
      </c>
      <c r="P1795" s="973" t="s">
        <v>999</v>
      </c>
      <c r="Q1795" s="973" t="s">
        <v>1000</v>
      </c>
      <c r="R1795" s="973" t="s">
        <v>1001</v>
      </c>
      <c r="S1795" s="973" t="s">
        <v>1002</v>
      </c>
      <c r="AE1795" s="423" t="str">
        <f t="shared" ref="AE1795:AE1858" si="28">B1795&amp;C1795</f>
        <v/>
      </c>
    </row>
    <row r="1796" spans="4:31" x14ac:dyDescent="0.25">
      <c r="D1796" s="973" t="s">
        <v>990</v>
      </c>
      <c r="E1796" s="973" t="s">
        <v>991</v>
      </c>
      <c r="F1796" s="973" t="s">
        <v>992</v>
      </c>
      <c r="G1796" s="973" t="s">
        <v>1997</v>
      </c>
      <c r="H1796" s="973" t="s">
        <v>1998</v>
      </c>
      <c r="I1796" s="973" t="s">
        <v>1999</v>
      </c>
      <c r="J1796" s="973" t="s">
        <v>697</v>
      </c>
      <c r="K1796" s="973" t="s">
        <v>995</v>
      </c>
      <c r="L1796" s="973" t="s">
        <v>996</v>
      </c>
      <c r="M1796" s="973" t="s">
        <v>2000</v>
      </c>
      <c r="N1796" s="973" t="s">
        <v>2001</v>
      </c>
      <c r="O1796" s="973" t="s">
        <v>1971</v>
      </c>
      <c r="P1796" s="973" t="s">
        <v>999</v>
      </c>
      <c r="Q1796" s="973" t="s">
        <v>1000</v>
      </c>
      <c r="R1796" s="973" t="s">
        <v>1001</v>
      </c>
      <c r="S1796" s="973" t="s">
        <v>1002</v>
      </c>
      <c r="AE1796" s="423" t="str">
        <f t="shared" si="28"/>
        <v/>
      </c>
    </row>
    <row r="1797" spans="4:31" x14ac:dyDescent="0.25">
      <c r="D1797" s="973" t="s">
        <v>990</v>
      </c>
      <c r="E1797" s="973" t="s">
        <v>991</v>
      </c>
      <c r="F1797" s="973" t="s">
        <v>992</v>
      </c>
      <c r="G1797" s="973" t="s">
        <v>1997</v>
      </c>
      <c r="H1797" s="973" t="s">
        <v>1998</v>
      </c>
      <c r="I1797" s="973" t="s">
        <v>1999</v>
      </c>
      <c r="J1797" s="973" t="s">
        <v>697</v>
      </c>
      <c r="K1797" s="973" t="s">
        <v>995</v>
      </c>
      <c r="L1797" s="973" t="s">
        <v>996</v>
      </c>
      <c r="M1797" s="973" t="s">
        <v>2000</v>
      </c>
      <c r="N1797" s="973" t="s">
        <v>2001</v>
      </c>
      <c r="O1797" s="973" t="s">
        <v>1971</v>
      </c>
      <c r="P1797" s="973" t="s">
        <v>999</v>
      </c>
      <c r="Q1797" s="973" t="s">
        <v>1000</v>
      </c>
      <c r="R1797" s="973" t="s">
        <v>1001</v>
      </c>
      <c r="S1797" s="973" t="s">
        <v>1002</v>
      </c>
      <c r="AE1797" s="423" t="str">
        <f t="shared" si="28"/>
        <v/>
      </c>
    </row>
    <row r="1798" spans="4:31" x14ac:dyDescent="0.25">
      <c r="D1798" s="973" t="s">
        <v>990</v>
      </c>
      <c r="E1798" s="973" t="s">
        <v>991</v>
      </c>
      <c r="F1798" s="973" t="s">
        <v>992</v>
      </c>
      <c r="G1798" s="973" t="s">
        <v>1997</v>
      </c>
      <c r="H1798" s="973" t="s">
        <v>1998</v>
      </c>
      <c r="I1798" s="973" t="s">
        <v>1999</v>
      </c>
      <c r="J1798" s="973" t="s">
        <v>697</v>
      </c>
      <c r="K1798" s="973" t="s">
        <v>995</v>
      </c>
      <c r="L1798" s="973" t="s">
        <v>996</v>
      </c>
      <c r="M1798" s="973" t="s">
        <v>2000</v>
      </c>
      <c r="N1798" s="973" t="s">
        <v>2001</v>
      </c>
      <c r="O1798" s="973" t="s">
        <v>1971</v>
      </c>
      <c r="P1798" s="973" t="s">
        <v>999</v>
      </c>
      <c r="Q1798" s="973" t="s">
        <v>1000</v>
      </c>
      <c r="R1798" s="973" t="s">
        <v>1001</v>
      </c>
      <c r="S1798" s="973" t="s">
        <v>1002</v>
      </c>
      <c r="AE1798" s="423" t="str">
        <f t="shared" si="28"/>
        <v/>
      </c>
    </row>
    <row r="1799" spans="4:31" x14ac:dyDescent="0.25">
      <c r="D1799" s="973" t="s">
        <v>990</v>
      </c>
      <c r="E1799" s="973" t="s">
        <v>991</v>
      </c>
      <c r="F1799" s="973" t="s">
        <v>992</v>
      </c>
      <c r="G1799" s="973" t="s">
        <v>1997</v>
      </c>
      <c r="H1799" s="973" t="s">
        <v>1998</v>
      </c>
      <c r="I1799" s="973" t="s">
        <v>1999</v>
      </c>
      <c r="J1799" s="973" t="s">
        <v>697</v>
      </c>
      <c r="K1799" s="973" t="s">
        <v>995</v>
      </c>
      <c r="L1799" s="973" t="s">
        <v>996</v>
      </c>
      <c r="M1799" s="973" t="s">
        <v>2000</v>
      </c>
      <c r="N1799" s="973" t="s">
        <v>2001</v>
      </c>
      <c r="O1799" s="973" t="s">
        <v>1971</v>
      </c>
      <c r="P1799" s="973" t="s">
        <v>999</v>
      </c>
      <c r="Q1799" s="973" t="s">
        <v>1000</v>
      </c>
      <c r="R1799" s="973" t="s">
        <v>1001</v>
      </c>
      <c r="S1799" s="973" t="s">
        <v>1002</v>
      </c>
      <c r="AE1799" s="423" t="str">
        <f t="shared" si="28"/>
        <v/>
      </c>
    </row>
    <row r="1800" spans="4:31" x14ac:dyDescent="0.25">
      <c r="D1800" s="973" t="s">
        <v>990</v>
      </c>
      <c r="E1800" s="973" t="s">
        <v>991</v>
      </c>
      <c r="F1800" s="973" t="s">
        <v>992</v>
      </c>
      <c r="G1800" s="973" t="s">
        <v>1997</v>
      </c>
      <c r="H1800" s="973" t="s">
        <v>1998</v>
      </c>
      <c r="I1800" s="973" t="s">
        <v>1999</v>
      </c>
      <c r="J1800" s="973" t="s">
        <v>697</v>
      </c>
      <c r="K1800" s="973" t="s">
        <v>995</v>
      </c>
      <c r="L1800" s="973" t="s">
        <v>996</v>
      </c>
      <c r="M1800" s="973" t="s">
        <v>2000</v>
      </c>
      <c r="N1800" s="973" t="s">
        <v>2001</v>
      </c>
      <c r="O1800" s="973" t="s">
        <v>1971</v>
      </c>
      <c r="P1800" s="973" t="s">
        <v>999</v>
      </c>
      <c r="Q1800" s="973" t="s">
        <v>1000</v>
      </c>
      <c r="R1800" s="973" t="s">
        <v>1001</v>
      </c>
      <c r="S1800" s="973" t="s">
        <v>1002</v>
      </c>
      <c r="AE1800" s="423" t="str">
        <f t="shared" si="28"/>
        <v/>
      </c>
    </row>
    <row r="1801" spans="4:31" x14ac:dyDescent="0.25">
      <c r="D1801" s="973" t="s">
        <v>990</v>
      </c>
      <c r="E1801" s="973" t="s">
        <v>991</v>
      </c>
      <c r="F1801" s="973" t="s">
        <v>992</v>
      </c>
      <c r="G1801" s="973" t="s">
        <v>1997</v>
      </c>
      <c r="H1801" s="973" t="s">
        <v>1998</v>
      </c>
      <c r="I1801" s="973" t="s">
        <v>1999</v>
      </c>
      <c r="J1801" s="973" t="s">
        <v>697</v>
      </c>
      <c r="K1801" s="973" t="s">
        <v>995</v>
      </c>
      <c r="L1801" s="973" t="s">
        <v>996</v>
      </c>
      <c r="M1801" s="973" t="s">
        <v>2000</v>
      </c>
      <c r="N1801" s="973" t="s">
        <v>2001</v>
      </c>
      <c r="O1801" s="973" t="s">
        <v>1971</v>
      </c>
      <c r="P1801" s="973" t="s">
        <v>999</v>
      </c>
      <c r="Q1801" s="973" t="s">
        <v>1000</v>
      </c>
      <c r="R1801" s="973" t="s">
        <v>1001</v>
      </c>
      <c r="S1801" s="973" t="s">
        <v>1002</v>
      </c>
      <c r="AE1801" s="423" t="str">
        <f t="shared" si="28"/>
        <v/>
      </c>
    </row>
    <row r="1802" spans="4:31" x14ac:dyDescent="0.25">
      <c r="D1802" s="973" t="s">
        <v>990</v>
      </c>
      <c r="E1802" s="973" t="s">
        <v>991</v>
      </c>
      <c r="F1802" s="973" t="s">
        <v>992</v>
      </c>
      <c r="G1802" s="973" t="s">
        <v>1997</v>
      </c>
      <c r="H1802" s="973" t="s">
        <v>1998</v>
      </c>
      <c r="I1802" s="973" t="s">
        <v>1999</v>
      </c>
      <c r="J1802" s="973" t="s">
        <v>697</v>
      </c>
      <c r="K1802" s="973" t="s">
        <v>995</v>
      </c>
      <c r="L1802" s="973" t="s">
        <v>996</v>
      </c>
      <c r="M1802" s="973" t="s">
        <v>2000</v>
      </c>
      <c r="N1802" s="973" t="s">
        <v>2001</v>
      </c>
      <c r="O1802" s="973" t="s">
        <v>1971</v>
      </c>
      <c r="P1802" s="973" t="s">
        <v>999</v>
      </c>
      <c r="Q1802" s="973" t="s">
        <v>1000</v>
      </c>
      <c r="R1802" s="973" t="s">
        <v>1001</v>
      </c>
      <c r="S1802" s="973" t="s">
        <v>1002</v>
      </c>
      <c r="AE1802" s="423" t="str">
        <f t="shared" si="28"/>
        <v/>
      </c>
    </row>
    <row r="1803" spans="4:31" x14ac:dyDescent="0.25">
      <c r="D1803" s="973" t="s">
        <v>990</v>
      </c>
      <c r="E1803" s="973" t="s">
        <v>991</v>
      </c>
      <c r="F1803" s="973" t="s">
        <v>992</v>
      </c>
      <c r="G1803" s="973" t="s">
        <v>1997</v>
      </c>
      <c r="H1803" s="973" t="s">
        <v>1998</v>
      </c>
      <c r="I1803" s="973" t="s">
        <v>1999</v>
      </c>
      <c r="J1803" s="973" t="s">
        <v>697</v>
      </c>
      <c r="K1803" s="973" t="s">
        <v>995</v>
      </c>
      <c r="L1803" s="973" t="s">
        <v>996</v>
      </c>
      <c r="M1803" s="973" t="s">
        <v>2000</v>
      </c>
      <c r="N1803" s="973" t="s">
        <v>2001</v>
      </c>
      <c r="O1803" s="973" t="s">
        <v>1971</v>
      </c>
      <c r="P1803" s="973" t="s">
        <v>999</v>
      </c>
      <c r="Q1803" s="973" t="s">
        <v>1000</v>
      </c>
      <c r="R1803" s="973" t="s">
        <v>1001</v>
      </c>
      <c r="S1803" s="973" t="s">
        <v>1002</v>
      </c>
      <c r="AE1803" s="423" t="str">
        <f t="shared" si="28"/>
        <v/>
      </c>
    </row>
    <row r="1804" spans="4:31" x14ac:dyDescent="0.25">
      <c r="D1804" s="973" t="s">
        <v>990</v>
      </c>
      <c r="E1804" s="973" t="s">
        <v>991</v>
      </c>
      <c r="F1804" s="973" t="s">
        <v>992</v>
      </c>
      <c r="G1804" s="973" t="s">
        <v>1997</v>
      </c>
      <c r="H1804" s="973" t="s">
        <v>1998</v>
      </c>
      <c r="I1804" s="973" t="s">
        <v>1999</v>
      </c>
      <c r="J1804" s="973" t="s">
        <v>697</v>
      </c>
      <c r="K1804" s="973" t="s">
        <v>995</v>
      </c>
      <c r="L1804" s="973" t="s">
        <v>996</v>
      </c>
      <c r="M1804" s="973" t="s">
        <v>2000</v>
      </c>
      <c r="N1804" s="973" t="s">
        <v>2001</v>
      </c>
      <c r="O1804" s="973" t="s">
        <v>1971</v>
      </c>
      <c r="P1804" s="973" t="s">
        <v>999</v>
      </c>
      <c r="Q1804" s="973" t="s">
        <v>1000</v>
      </c>
      <c r="R1804" s="973" t="s">
        <v>1001</v>
      </c>
      <c r="S1804" s="973" t="s">
        <v>1002</v>
      </c>
      <c r="AE1804" s="423" t="str">
        <f t="shared" si="28"/>
        <v/>
      </c>
    </row>
    <row r="1805" spans="4:31" x14ac:dyDescent="0.25">
      <c r="D1805" s="973" t="s">
        <v>990</v>
      </c>
      <c r="E1805" s="973" t="s">
        <v>991</v>
      </c>
      <c r="F1805" s="973" t="s">
        <v>992</v>
      </c>
      <c r="G1805" s="973" t="s">
        <v>1997</v>
      </c>
      <c r="H1805" s="973" t="s">
        <v>1998</v>
      </c>
      <c r="I1805" s="973" t="s">
        <v>1999</v>
      </c>
      <c r="J1805" s="973" t="s">
        <v>697</v>
      </c>
      <c r="K1805" s="973" t="s">
        <v>995</v>
      </c>
      <c r="L1805" s="973" t="s">
        <v>996</v>
      </c>
      <c r="M1805" s="973" t="s">
        <v>2000</v>
      </c>
      <c r="N1805" s="973" t="s">
        <v>2001</v>
      </c>
      <c r="O1805" s="973" t="s">
        <v>1971</v>
      </c>
      <c r="P1805" s="973" t="s">
        <v>999</v>
      </c>
      <c r="Q1805" s="973" t="s">
        <v>1000</v>
      </c>
      <c r="R1805" s="973" t="s">
        <v>1001</v>
      </c>
      <c r="S1805" s="973" t="s">
        <v>1002</v>
      </c>
      <c r="AE1805" s="423" t="str">
        <f t="shared" si="28"/>
        <v/>
      </c>
    </row>
    <row r="1806" spans="4:31" x14ac:dyDescent="0.25">
      <c r="D1806" s="973" t="s">
        <v>990</v>
      </c>
      <c r="E1806" s="973" t="s">
        <v>991</v>
      </c>
      <c r="F1806" s="973" t="s">
        <v>992</v>
      </c>
      <c r="G1806" s="973" t="s">
        <v>1997</v>
      </c>
      <c r="H1806" s="973" t="s">
        <v>1998</v>
      </c>
      <c r="I1806" s="973" t="s">
        <v>1999</v>
      </c>
      <c r="J1806" s="973" t="s">
        <v>697</v>
      </c>
      <c r="K1806" s="973" t="s">
        <v>995</v>
      </c>
      <c r="L1806" s="973" t="s">
        <v>996</v>
      </c>
      <c r="M1806" s="973" t="s">
        <v>2000</v>
      </c>
      <c r="N1806" s="973" t="s">
        <v>2001</v>
      </c>
      <c r="O1806" s="973" t="s">
        <v>1971</v>
      </c>
      <c r="P1806" s="973" t="s">
        <v>999</v>
      </c>
      <c r="Q1806" s="973" t="s">
        <v>1000</v>
      </c>
      <c r="R1806" s="973" t="s">
        <v>1001</v>
      </c>
      <c r="S1806" s="973" t="s">
        <v>1002</v>
      </c>
      <c r="AE1806" s="423" t="str">
        <f t="shared" si="28"/>
        <v/>
      </c>
    </row>
    <row r="1807" spans="4:31" x14ac:dyDescent="0.25">
      <c r="D1807" s="973" t="s">
        <v>990</v>
      </c>
      <c r="E1807" s="973" t="s">
        <v>991</v>
      </c>
      <c r="F1807" s="973" t="s">
        <v>992</v>
      </c>
      <c r="G1807" s="973" t="s">
        <v>1997</v>
      </c>
      <c r="H1807" s="973" t="s">
        <v>1998</v>
      </c>
      <c r="I1807" s="973" t="s">
        <v>1999</v>
      </c>
      <c r="J1807" s="973" t="s">
        <v>697</v>
      </c>
      <c r="K1807" s="973" t="s">
        <v>995</v>
      </c>
      <c r="L1807" s="973" t="s">
        <v>996</v>
      </c>
      <c r="M1807" s="973" t="s">
        <v>2000</v>
      </c>
      <c r="N1807" s="973" t="s">
        <v>2001</v>
      </c>
      <c r="O1807" s="973" t="s">
        <v>1971</v>
      </c>
      <c r="P1807" s="973" t="s">
        <v>999</v>
      </c>
      <c r="Q1807" s="973" t="s">
        <v>1000</v>
      </c>
      <c r="R1807" s="973" t="s">
        <v>1001</v>
      </c>
      <c r="S1807" s="973" t="s">
        <v>1002</v>
      </c>
      <c r="AE1807" s="423" t="str">
        <f t="shared" si="28"/>
        <v/>
      </c>
    </row>
    <row r="1808" spans="4:31" x14ac:dyDescent="0.25">
      <c r="D1808" s="973" t="s">
        <v>990</v>
      </c>
      <c r="E1808" s="973" t="s">
        <v>991</v>
      </c>
      <c r="F1808" s="973" t="s">
        <v>992</v>
      </c>
      <c r="G1808" s="973" t="s">
        <v>1997</v>
      </c>
      <c r="H1808" s="973" t="s">
        <v>1998</v>
      </c>
      <c r="I1808" s="973" t="s">
        <v>1999</v>
      </c>
      <c r="J1808" s="973" t="s">
        <v>697</v>
      </c>
      <c r="K1808" s="973" t="s">
        <v>995</v>
      </c>
      <c r="L1808" s="973" t="s">
        <v>996</v>
      </c>
      <c r="M1808" s="973" t="s">
        <v>2000</v>
      </c>
      <c r="N1808" s="973" t="s">
        <v>2001</v>
      </c>
      <c r="O1808" s="973" t="s">
        <v>1971</v>
      </c>
      <c r="P1808" s="973" t="s">
        <v>999</v>
      </c>
      <c r="Q1808" s="973" t="s">
        <v>1000</v>
      </c>
      <c r="R1808" s="973" t="s">
        <v>1001</v>
      </c>
      <c r="S1808" s="973" t="s">
        <v>1002</v>
      </c>
      <c r="AE1808" s="423" t="str">
        <f t="shared" si="28"/>
        <v/>
      </c>
    </row>
    <row r="1809" spans="4:31" x14ac:dyDescent="0.25">
      <c r="D1809" s="973" t="s">
        <v>990</v>
      </c>
      <c r="E1809" s="973" t="s">
        <v>991</v>
      </c>
      <c r="F1809" s="973" t="s">
        <v>992</v>
      </c>
      <c r="G1809" s="973" t="s">
        <v>1997</v>
      </c>
      <c r="H1809" s="973" t="s">
        <v>1998</v>
      </c>
      <c r="I1809" s="973" t="s">
        <v>1999</v>
      </c>
      <c r="J1809" s="973" t="s">
        <v>697</v>
      </c>
      <c r="K1809" s="973" t="s">
        <v>995</v>
      </c>
      <c r="L1809" s="973" t="s">
        <v>996</v>
      </c>
      <c r="M1809" s="973" t="s">
        <v>2000</v>
      </c>
      <c r="N1809" s="973" t="s">
        <v>2001</v>
      </c>
      <c r="O1809" s="973" t="s">
        <v>1971</v>
      </c>
      <c r="P1809" s="973" t="s">
        <v>999</v>
      </c>
      <c r="Q1809" s="973" t="s">
        <v>1000</v>
      </c>
      <c r="R1809" s="973" t="s">
        <v>1001</v>
      </c>
      <c r="S1809" s="973" t="s">
        <v>1002</v>
      </c>
      <c r="AE1809" s="423" t="str">
        <f t="shared" si="28"/>
        <v/>
      </c>
    </row>
    <row r="1810" spans="4:31" x14ac:dyDescent="0.25">
      <c r="D1810" s="973" t="s">
        <v>990</v>
      </c>
      <c r="E1810" s="973" t="s">
        <v>991</v>
      </c>
      <c r="F1810" s="973" t="s">
        <v>992</v>
      </c>
      <c r="G1810" s="973" t="s">
        <v>1997</v>
      </c>
      <c r="H1810" s="973" t="s">
        <v>1998</v>
      </c>
      <c r="I1810" s="973" t="s">
        <v>1999</v>
      </c>
      <c r="J1810" s="973" t="s">
        <v>697</v>
      </c>
      <c r="K1810" s="973" t="s">
        <v>995</v>
      </c>
      <c r="L1810" s="973" t="s">
        <v>996</v>
      </c>
      <c r="M1810" s="973" t="s">
        <v>2000</v>
      </c>
      <c r="N1810" s="973" t="s">
        <v>2001</v>
      </c>
      <c r="O1810" s="973" t="s">
        <v>1971</v>
      </c>
      <c r="P1810" s="973" t="s">
        <v>999</v>
      </c>
      <c r="Q1810" s="973" t="s">
        <v>1000</v>
      </c>
      <c r="R1810" s="973" t="s">
        <v>1001</v>
      </c>
      <c r="S1810" s="973" t="s">
        <v>1002</v>
      </c>
      <c r="AE1810" s="423" t="str">
        <f t="shared" si="28"/>
        <v/>
      </c>
    </row>
    <row r="1811" spans="4:31" x14ac:dyDescent="0.25">
      <c r="D1811" s="973" t="s">
        <v>990</v>
      </c>
      <c r="E1811" s="973" t="s">
        <v>991</v>
      </c>
      <c r="F1811" s="973" t="s">
        <v>992</v>
      </c>
      <c r="G1811" s="973" t="s">
        <v>1997</v>
      </c>
      <c r="H1811" s="973" t="s">
        <v>1998</v>
      </c>
      <c r="I1811" s="973" t="s">
        <v>1999</v>
      </c>
      <c r="J1811" s="973" t="s">
        <v>697</v>
      </c>
      <c r="K1811" s="973" t="s">
        <v>995</v>
      </c>
      <c r="L1811" s="973" t="s">
        <v>996</v>
      </c>
      <c r="M1811" s="973" t="s">
        <v>2000</v>
      </c>
      <c r="N1811" s="973" t="s">
        <v>2001</v>
      </c>
      <c r="O1811" s="973" t="s">
        <v>1971</v>
      </c>
      <c r="P1811" s="973" t="s">
        <v>999</v>
      </c>
      <c r="Q1811" s="973" t="s">
        <v>1000</v>
      </c>
      <c r="R1811" s="973" t="s">
        <v>1001</v>
      </c>
      <c r="S1811" s="973" t="s">
        <v>1002</v>
      </c>
      <c r="AE1811" s="423" t="str">
        <f t="shared" si="28"/>
        <v/>
      </c>
    </row>
    <row r="1812" spans="4:31" x14ac:dyDescent="0.25">
      <c r="D1812" s="973" t="s">
        <v>990</v>
      </c>
      <c r="E1812" s="973" t="s">
        <v>991</v>
      </c>
      <c r="F1812" s="973" t="s">
        <v>992</v>
      </c>
      <c r="G1812" s="973" t="s">
        <v>1997</v>
      </c>
      <c r="H1812" s="973" t="s">
        <v>1998</v>
      </c>
      <c r="I1812" s="973" t="s">
        <v>1999</v>
      </c>
      <c r="J1812" s="973" t="s">
        <v>697</v>
      </c>
      <c r="K1812" s="973" t="s">
        <v>995</v>
      </c>
      <c r="L1812" s="973" t="s">
        <v>996</v>
      </c>
      <c r="M1812" s="973" t="s">
        <v>2000</v>
      </c>
      <c r="N1812" s="973" t="s">
        <v>2001</v>
      </c>
      <c r="O1812" s="973" t="s">
        <v>1971</v>
      </c>
      <c r="P1812" s="973" t="s">
        <v>999</v>
      </c>
      <c r="Q1812" s="973" t="s">
        <v>1000</v>
      </c>
      <c r="R1812" s="973" t="s">
        <v>1001</v>
      </c>
      <c r="S1812" s="973" t="s">
        <v>1002</v>
      </c>
      <c r="AE1812" s="423" t="str">
        <f t="shared" si="28"/>
        <v/>
      </c>
    </row>
    <row r="1813" spans="4:31" x14ac:dyDescent="0.25">
      <c r="D1813" s="973" t="s">
        <v>990</v>
      </c>
      <c r="E1813" s="973" t="s">
        <v>991</v>
      </c>
      <c r="F1813" s="973" t="s">
        <v>992</v>
      </c>
      <c r="G1813" s="973" t="s">
        <v>1997</v>
      </c>
      <c r="H1813" s="973" t="s">
        <v>1998</v>
      </c>
      <c r="I1813" s="973" t="s">
        <v>1999</v>
      </c>
      <c r="J1813" s="973" t="s">
        <v>697</v>
      </c>
      <c r="K1813" s="973" t="s">
        <v>995</v>
      </c>
      <c r="L1813" s="973" t="s">
        <v>996</v>
      </c>
      <c r="M1813" s="973" t="s">
        <v>2000</v>
      </c>
      <c r="N1813" s="973" t="s">
        <v>2001</v>
      </c>
      <c r="O1813" s="973" t="s">
        <v>1971</v>
      </c>
      <c r="P1813" s="973" t="s">
        <v>999</v>
      </c>
      <c r="Q1813" s="973" t="s">
        <v>1000</v>
      </c>
      <c r="R1813" s="973" t="s">
        <v>1001</v>
      </c>
      <c r="S1813" s="973" t="s">
        <v>1002</v>
      </c>
      <c r="AE1813" s="423" t="str">
        <f t="shared" si="28"/>
        <v/>
      </c>
    </row>
    <row r="1814" spans="4:31" x14ac:dyDescent="0.25">
      <c r="D1814" s="973" t="s">
        <v>990</v>
      </c>
      <c r="E1814" s="973" t="s">
        <v>991</v>
      </c>
      <c r="F1814" s="973" t="s">
        <v>992</v>
      </c>
      <c r="G1814" s="973" t="s">
        <v>1997</v>
      </c>
      <c r="H1814" s="973" t="s">
        <v>1998</v>
      </c>
      <c r="I1814" s="973" t="s">
        <v>1999</v>
      </c>
      <c r="J1814" s="973" t="s">
        <v>697</v>
      </c>
      <c r="K1814" s="973" t="s">
        <v>995</v>
      </c>
      <c r="L1814" s="973" t="s">
        <v>996</v>
      </c>
      <c r="M1814" s="973" t="s">
        <v>2000</v>
      </c>
      <c r="N1814" s="973" t="s">
        <v>2001</v>
      </c>
      <c r="O1814" s="973" t="s">
        <v>1971</v>
      </c>
      <c r="P1814" s="973" t="s">
        <v>999</v>
      </c>
      <c r="Q1814" s="973" t="s">
        <v>1000</v>
      </c>
      <c r="R1814" s="973" t="s">
        <v>1001</v>
      </c>
      <c r="S1814" s="973" t="s">
        <v>1002</v>
      </c>
      <c r="AE1814" s="423" t="str">
        <f t="shared" si="28"/>
        <v/>
      </c>
    </row>
    <row r="1815" spans="4:31" x14ac:dyDescent="0.25">
      <c r="D1815" s="973" t="s">
        <v>990</v>
      </c>
      <c r="E1815" s="973" t="s">
        <v>991</v>
      </c>
      <c r="F1815" s="973" t="s">
        <v>992</v>
      </c>
      <c r="G1815" s="973" t="s">
        <v>1997</v>
      </c>
      <c r="H1815" s="973" t="s">
        <v>1998</v>
      </c>
      <c r="I1815" s="973" t="s">
        <v>1999</v>
      </c>
      <c r="J1815" s="973" t="s">
        <v>697</v>
      </c>
      <c r="K1815" s="973" t="s">
        <v>995</v>
      </c>
      <c r="L1815" s="973" t="s">
        <v>996</v>
      </c>
      <c r="M1815" s="973" t="s">
        <v>2000</v>
      </c>
      <c r="N1815" s="973" t="s">
        <v>2001</v>
      </c>
      <c r="O1815" s="973" t="s">
        <v>1971</v>
      </c>
      <c r="P1815" s="973" t="s">
        <v>999</v>
      </c>
      <c r="Q1815" s="973" t="s">
        <v>1000</v>
      </c>
      <c r="R1815" s="973" t="s">
        <v>1001</v>
      </c>
      <c r="S1815" s="973" t="s">
        <v>1002</v>
      </c>
      <c r="AE1815" s="423" t="str">
        <f t="shared" si="28"/>
        <v/>
      </c>
    </row>
    <row r="1816" spans="4:31" x14ac:dyDescent="0.25">
      <c r="D1816" s="973" t="s">
        <v>990</v>
      </c>
      <c r="E1816" s="973" t="s">
        <v>991</v>
      </c>
      <c r="F1816" s="973" t="s">
        <v>992</v>
      </c>
      <c r="G1816" s="973" t="s">
        <v>1997</v>
      </c>
      <c r="H1816" s="973" t="s">
        <v>1998</v>
      </c>
      <c r="I1816" s="973" t="s">
        <v>1999</v>
      </c>
      <c r="J1816" s="973" t="s">
        <v>697</v>
      </c>
      <c r="K1816" s="973" t="s">
        <v>995</v>
      </c>
      <c r="L1816" s="973" t="s">
        <v>996</v>
      </c>
      <c r="M1816" s="973" t="s">
        <v>2000</v>
      </c>
      <c r="N1816" s="973" t="s">
        <v>2001</v>
      </c>
      <c r="O1816" s="973" t="s">
        <v>1971</v>
      </c>
      <c r="P1816" s="973" t="s">
        <v>999</v>
      </c>
      <c r="Q1816" s="973" t="s">
        <v>1000</v>
      </c>
      <c r="R1816" s="973" t="s">
        <v>1001</v>
      </c>
      <c r="S1816" s="973" t="s">
        <v>1002</v>
      </c>
      <c r="AE1816" s="423" t="str">
        <f t="shared" si="28"/>
        <v/>
      </c>
    </row>
    <row r="1817" spans="4:31" x14ac:dyDescent="0.25">
      <c r="D1817" s="973" t="s">
        <v>990</v>
      </c>
      <c r="E1817" s="973" t="s">
        <v>991</v>
      </c>
      <c r="F1817" s="973" t="s">
        <v>992</v>
      </c>
      <c r="G1817" s="973" t="s">
        <v>1997</v>
      </c>
      <c r="H1817" s="973" t="s">
        <v>1998</v>
      </c>
      <c r="I1817" s="973" t="s">
        <v>1999</v>
      </c>
      <c r="J1817" s="973" t="s">
        <v>697</v>
      </c>
      <c r="K1817" s="973" t="s">
        <v>995</v>
      </c>
      <c r="L1817" s="973" t="s">
        <v>996</v>
      </c>
      <c r="M1817" s="973" t="s">
        <v>2000</v>
      </c>
      <c r="N1817" s="973" t="s">
        <v>2001</v>
      </c>
      <c r="O1817" s="973" t="s">
        <v>1971</v>
      </c>
      <c r="P1817" s="973" t="s">
        <v>999</v>
      </c>
      <c r="Q1817" s="973" t="s">
        <v>1000</v>
      </c>
      <c r="R1817" s="973" t="s">
        <v>1001</v>
      </c>
      <c r="S1817" s="973" t="s">
        <v>1002</v>
      </c>
      <c r="AE1817" s="423" t="str">
        <f t="shared" si="28"/>
        <v/>
      </c>
    </row>
    <row r="1818" spans="4:31" x14ac:dyDescent="0.25">
      <c r="D1818" s="973" t="s">
        <v>990</v>
      </c>
      <c r="E1818" s="973" t="s">
        <v>991</v>
      </c>
      <c r="F1818" s="973" t="s">
        <v>992</v>
      </c>
      <c r="G1818" s="973" t="s">
        <v>1997</v>
      </c>
      <c r="H1818" s="973" t="s">
        <v>1998</v>
      </c>
      <c r="I1818" s="973" t="s">
        <v>1999</v>
      </c>
      <c r="J1818" s="973" t="s">
        <v>697</v>
      </c>
      <c r="K1818" s="973" t="s">
        <v>995</v>
      </c>
      <c r="L1818" s="973" t="s">
        <v>996</v>
      </c>
      <c r="M1818" s="973" t="s">
        <v>2000</v>
      </c>
      <c r="N1818" s="973" t="s">
        <v>2001</v>
      </c>
      <c r="O1818" s="973" t="s">
        <v>1971</v>
      </c>
      <c r="P1818" s="973" t="s">
        <v>999</v>
      </c>
      <c r="Q1818" s="973" t="s">
        <v>1000</v>
      </c>
      <c r="R1818" s="973" t="s">
        <v>1001</v>
      </c>
      <c r="S1818" s="973" t="s">
        <v>1002</v>
      </c>
      <c r="AE1818" s="423" t="str">
        <f t="shared" si="28"/>
        <v/>
      </c>
    </row>
    <row r="1819" spans="4:31" x14ac:dyDescent="0.25">
      <c r="D1819" s="973" t="s">
        <v>990</v>
      </c>
      <c r="E1819" s="973" t="s">
        <v>991</v>
      </c>
      <c r="F1819" s="973" t="s">
        <v>992</v>
      </c>
      <c r="G1819" s="973" t="s">
        <v>1997</v>
      </c>
      <c r="H1819" s="973" t="s">
        <v>1998</v>
      </c>
      <c r="I1819" s="973" t="s">
        <v>1999</v>
      </c>
      <c r="J1819" s="973" t="s">
        <v>697</v>
      </c>
      <c r="K1819" s="973" t="s">
        <v>995</v>
      </c>
      <c r="L1819" s="973" t="s">
        <v>996</v>
      </c>
      <c r="M1819" s="973" t="s">
        <v>2000</v>
      </c>
      <c r="N1819" s="973" t="s">
        <v>2001</v>
      </c>
      <c r="O1819" s="973" t="s">
        <v>1971</v>
      </c>
      <c r="P1819" s="973" t="s">
        <v>999</v>
      </c>
      <c r="Q1819" s="973" t="s">
        <v>1000</v>
      </c>
      <c r="R1819" s="973" t="s">
        <v>1001</v>
      </c>
      <c r="S1819" s="973" t="s">
        <v>1002</v>
      </c>
      <c r="AE1819" s="423" t="str">
        <f t="shared" si="28"/>
        <v/>
      </c>
    </row>
    <row r="1820" spans="4:31" x14ac:dyDescent="0.25">
      <c r="D1820" s="973" t="s">
        <v>990</v>
      </c>
      <c r="E1820" s="973" t="s">
        <v>991</v>
      </c>
      <c r="F1820" s="973" t="s">
        <v>992</v>
      </c>
      <c r="G1820" s="973" t="s">
        <v>1997</v>
      </c>
      <c r="H1820" s="973" t="s">
        <v>1998</v>
      </c>
      <c r="I1820" s="973" t="s">
        <v>1999</v>
      </c>
      <c r="J1820" s="973" t="s">
        <v>697</v>
      </c>
      <c r="K1820" s="973" t="s">
        <v>995</v>
      </c>
      <c r="L1820" s="973" t="s">
        <v>996</v>
      </c>
      <c r="M1820" s="973" t="s">
        <v>2000</v>
      </c>
      <c r="N1820" s="973" t="s">
        <v>2001</v>
      </c>
      <c r="O1820" s="973" t="s">
        <v>1971</v>
      </c>
      <c r="P1820" s="973" t="s">
        <v>999</v>
      </c>
      <c r="Q1820" s="973" t="s">
        <v>1000</v>
      </c>
      <c r="R1820" s="973" t="s">
        <v>1001</v>
      </c>
      <c r="S1820" s="973" t="s">
        <v>1002</v>
      </c>
      <c r="AE1820" s="423" t="str">
        <f t="shared" si="28"/>
        <v/>
      </c>
    </row>
    <row r="1821" spans="4:31" x14ac:dyDescent="0.25">
      <c r="D1821" s="973" t="s">
        <v>990</v>
      </c>
      <c r="E1821" s="973" t="s">
        <v>991</v>
      </c>
      <c r="F1821" s="973" t="s">
        <v>992</v>
      </c>
      <c r="G1821" s="973" t="s">
        <v>1997</v>
      </c>
      <c r="H1821" s="973" t="s">
        <v>1998</v>
      </c>
      <c r="I1821" s="973" t="s">
        <v>1999</v>
      </c>
      <c r="J1821" s="973" t="s">
        <v>697</v>
      </c>
      <c r="K1821" s="973" t="s">
        <v>995</v>
      </c>
      <c r="L1821" s="973" t="s">
        <v>996</v>
      </c>
      <c r="M1821" s="973" t="s">
        <v>2000</v>
      </c>
      <c r="N1821" s="973" t="s">
        <v>2001</v>
      </c>
      <c r="O1821" s="973" t="s">
        <v>1971</v>
      </c>
      <c r="P1821" s="973" t="s">
        <v>999</v>
      </c>
      <c r="Q1821" s="973" t="s">
        <v>1000</v>
      </c>
      <c r="R1821" s="973" t="s">
        <v>1001</v>
      </c>
      <c r="S1821" s="973" t="s">
        <v>1002</v>
      </c>
      <c r="AE1821" s="423" t="str">
        <f t="shared" si="28"/>
        <v/>
      </c>
    </row>
    <row r="1822" spans="4:31" x14ac:dyDescent="0.25">
      <c r="D1822" s="973" t="s">
        <v>990</v>
      </c>
      <c r="E1822" s="973" t="s">
        <v>991</v>
      </c>
      <c r="F1822" s="973" t="s">
        <v>992</v>
      </c>
      <c r="G1822" s="973" t="s">
        <v>1997</v>
      </c>
      <c r="H1822" s="973" t="s">
        <v>1998</v>
      </c>
      <c r="I1822" s="973" t="s">
        <v>1999</v>
      </c>
      <c r="J1822" s="973" t="s">
        <v>697</v>
      </c>
      <c r="K1822" s="973" t="s">
        <v>995</v>
      </c>
      <c r="L1822" s="973" t="s">
        <v>996</v>
      </c>
      <c r="M1822" s="973" t="s">
        <v>2000</v>
      </c>
      <c r="N1822" s="973" t="s">
        <v>2001</v>
      </c>
      <c r="O1822" s="973" t="s">
        <v>1971</v>
      </c>
      <c r="P1822" s="973" t="s">
        <v>999</v>
      </c>
      <c r="Q1822" s="973" t="s">
        <v>1000</v>
      </c>
      <c r="R1822" s="973" t="s">
        <v>1001</v>
      </c>
      <c r="S1822" s="973" t="s">
        <v>1002</v>
      </c>
      <c r="AE1822" s="423" t="str">
        <f t="shared" si="28"/>
        <v/>
      </c>
    </row>
    <row r="1823" spans="4:31" x14ac:dyDescent="0.25">
      <c r="D1823" s="973" t="s">
        <v>990</v>
      </c>
      <c r="E1823" s="973" t="s">
        <v>991</v>
      </c>
      <c r="F1823" s="973" t="s">
        <v>992</v>
      </c>
      <c r="G1823" s="973" t="s">
        <v>1997</v>
      </c>
      <c r="H1823" s="973" t="s">
        <v>1998</v>
      </c>
      <c r="I1823" s="973" t="s">
        <v>1999</v>
      </c>
      <c r="J1823" s="973" t="s">
        <v>697</v>
      </c>
      <c r="K1823" s="973" t="s">
        <v>995</v>
      </c>
      <c r="L1823" s="973" t="s">
        <v>996</v>
      </c>
      <c r="M1823" s="973" t="s">
        <v>2000</v>
      </c>
      <c r="N1823" s="973" t="s">
        <v>2001</v>
      </c>
      <c r="O1823" s="973" t="s">
        <v>1971</v>
      </c>
      <c r="P1823" s="973" t="s">
        <v>999</v>
      </c>
      <c r="Q1823" s="973" t="s">
        <v>1000</v>
      </c>
      <c r="R1823" s="973" t="s">
        <v>1001</v>
      </c>
      <c r="S1823" s="973" t="s">
        <v>1002</v>
      </c>
      <c r="AE1823" s="423" t="str">
        <f t="shared" si="28"/>
        <v/>
      </c>
    </row>
    <row r="1824" spans="4:31" x14ac:dyDescent="0.25">
      <c r="D1824" s="973" t="s">
        <v>990</v>
      </c>
      <c r="E1824" s="973" t="s">
        <v>991</v>
      </c>
      <c r="F1824" s="973" t="s">
        <v>992</v>
      </c>
      <c r="G1824" s="973" t="s">
        <v>1997</v>
      </c>
      <c r="H1824" s="973" t="s">
        <v>1998</v>
      </c>
      <c r="I1824" s="973" t="s">
        <v>1999</v>
      </c>
      <c r="J1824" s="973" t="s">
        <v>697</v>
      </c>
      <c r="K1824" s="973" t="s">
        <v>995</v>
      </c>
      <c r="L1824" s="973" t="s">
        <v>996</v>
      </c>
      <c r="M1824" s="973" t="s">
        <v>2000</v>
      </c>
      <c r="N1824" s="973" t="s">
        <v>2001</v>
      </c>
      <c r="O1824" s="973" t="s">
        <v>1971</v>
      </c>
      <c r="P1824" s="973" t="s">
        <v>999</v>
      </c>
      <c r="Q1824" s="973" t="s">
        <v>1000</v>
      </c>
      <c r="R1824" s="973" t="s">
        <v>1001</v>
      </c>
      <c r="S1824" s="973" t="s">
        <v>1002</v>
      </c>
      <c r="AE1824" s="423" t="str">
        <f t="shared" si="28"/>
        <v/>
      </c>
    </row>
    <row r="1825" spans="4:31" x14ac:dyDescent="0.25">
      <c r="D1825" s="973" t="s">
        <v>990</v>
      </c>
      <c r="E1825" s="973" t="s">
        <v>991</v>
      </c>
      <c r="F1825" s="973" t="s">
        <v>992</v>
      </c>
      <c r="G1825" s="973" t="s">
        <v>1997</v>
      </c>
      <c r="H1825" s="973" t="s">
        <v>1998</v>
      </c>
      <c r="I1825" s="973" t="s">
        <v>1999</v>
      </c>
      <c r="J1825" s="973" t="s">
        <v>697</v>
      </c>
      <c r="K1825" s="973" t="s">
        <v>995</v>
      </c>
      <c r="L1825" s="973" t="s">
        <v>996</v>
      </c>
      <c r="M1825" s="973" t="s">
        <v>2000</v>
      </c>
      <c r="N1825" s="973" t="s">
        <v>2001</v>
      </c>
      <c r="O1825" s="973" t="s">
        <v>1971</v>
      </c>
      <c r="P1825" s="973" t="s">
        <v>999</v>
      </c>
      <c r="Q1825" s="973" t="s">
        <v>1000</v>
      </c>
      <c r="R1825" s="973" t="s">
        <v>1001</v>
      </c>
      <c r="S1825" s="973" t="s">
        <v>1002</v>
      </c>
      <c r="AE1825" s="423" t="str">
        <f t="shared" si="28"/>
        <v/>
      </c>
    </row>
    <row r="1826" spans="4:31" x14ac:dyDescent="0.25">
      <c r="D1826" s="973" t="s">
        <v>990</v>
      </c>
      <c r="E1826" s="973" t="s">
        <v>991</v>
      </c>
      <c r="F1826" s="973" t="s">
        <v>992</v>
      </c>
      <c r="G1826" s="973" t="s">
        <v>1997</v>
      </c>
      <c r="H1826" s="973" t="s">
        <v>1998</v>
      </c>
      <c r="I1826" s="973" t="s">
        <v>1999</v>
      </c>
      <c r="J1826" s="973" t="s">
        <v>697</v>
      </c>
      <c r="K1826" s="973" t="s">
        <v>995</v>
      </c>
      <c r="L1826" s="973" t="s">
        <v>996</v>
      </c>
      <c r="M1826" s="973" t="s">
        <v>2000</v>
      </c>
      <c r="N1826" s="973" t="s">
        <v>2001</v>
      </c>
      <c r="O1826" s="973" t="s">
        <v>1971</v>
      </c>
      <c r="P1826" s="973" t="s">
        <v>999</v>
      </c>
      <c r="Q1826" s="973" t="s">
        <v>1000</v>
      </c>
      <c r="R1826" s="973" t="s">
        <v>1001</v>
      </c>
      <c r="S1826" s="973" t="s">
        <v>1002</v>
      </c>
      <c r="AE1826" s="423" t="str">
        <f t="shared" si="28"/>
        <v/>
      </c>
    </row>
    <row r="1827" spans="4:31" x14ac:dyDescent="0.25">
      <c r="D1827" s="973" t="s">
        <v>990</v>
      </c>
      <c r="E1827" s="973" t="s">
        <v>991</v>
      </c>
      <c r="F1827" s="973" t="s">
        <v>992</v>
      </c>
      <c r="G1827" s="973" t="s">
        <v>1997</v>
      </c>
      <c r="H1827" s="973" t="s">
        <v>1998</v>
      </c>
      <c r="I1827" s="973" t="s">
        <v>1999</v>
      </c>
      <c r="J1827" s="973" t="s">
        <v>697</v>
      </c>
      <c r="K1827" s="973" t="s">
        <v>995</v>
      </c>
      <c r="L1827" s="973" t="s">
        <v>996</v>
      </c>
      <c r="M1827" s="973" t="s">
        <v>2000</v>
      </c>
      <c r="N1827" s="973" t="s">
        <v>2001</v>
      </c>
      <c r="O1827" s="973" t="s">
        <v>1971</v>
      </c>
      <c r="P1827" s="973" t="s">
        <v>999</v>
      </c>
      <c r="Q1827" s="973" t="s">
        <v>1000</v>
      </c>
      <c r="R1827" s="973" t="s">
        <v>1001</v>
      </c>
      <c r="S1827" s="973" t="s">
        <v>1002</v>
      </c>
      <c r="AE1827" s="423" t="str">
        <f t="shared" si="28"/>
        <v/>
      </c>
    </row>
    <row r="1828" spans="4:31" x14ac:dyDescent="0.25">
      <c r="D1828" s="973" t="s">
        <v>990</v>
      </c>
      <c r="E1828" s="973" t="s">
        <v>991</v>
      </c>
      <c r="F1828" s="973" t="s">
        <v>992</v>
      </c>
      <c r="G1828" s="973" t="s">
        <v>1997</v>
      </c>
      <c r="H1828" s="973" t="s">
        <v>1998</v>
      </c>
      <c r="I1828" s="973" t="s">
        <v>1999</v>
      </c>
      <c r="J1828" s="973" t="s">
        <v>697</v>
      </c>
      <c r="K1828" s="973" t="s">
        <v>995</v>
      </c>
      <c r="L1828" s="973" t="s">
        <v>996</v>
      </c>
      <c r="M1828" s="973" t="s">
        <v>2000</v>
      </c>
      <c r="N1828" s="973" t="s">
        <v>2001</v>
      </c>
      <c r="O1828" s="973" t="s">
        <v>1971</v>
      </c>
      <c r="P1828" s="973" t="s">
        <v>999</v>
      </c>
      <c r="Q1828" s="973" t="s">
        <v>1000</v>
      </c>
      <c r="R1828" s="973" t="s">
        <v>1001</v>
      </c>
      <c r="S1828" s="973" t="s">
        <v>1002</v>
      </c>
      <c r="AE1828" s="423" t="str">
        <f t="shared" si="28"/>
        <v/>
      </c>
    </row>
    <row r="1829" spans="4:31" x14ac:dyDescent="0.25">
      <c r="D1829" s="973" t="s">
        <v>990</v>
      </c>
      <c r="E1829" s="973" t="s">
        <v>991</v>
      </c>
      <c r="F1829" s="973" t="s">
        <v>992</v>
      </c>
      <c r="G1829" s="973" t="s">
        <v>1997</v>
      </c>
      <c r="H1829" s="973" t="s">
        <v>1998</v>
      </c>
      <c r="I1829" s="973" t="s">
        <v>1999</v>
      </c>
      <c r="J1829" s="973" t="s">
        <v>697</v>
      </c>
      <c r="K1829" s="973" t="s">
        <v>995</v>
      </c>
      <c r="L1829" s="973" t="s">
        <v>996</v>
      </c>
      <c r="M1829" s="973" t="s">
        <v>2000</v>
      </c>
      <c r="N1829" s="973" t="s">
        <v>2001</v>
      </c>
      <c r="O1829" s="973" t="s">
        <v>1971</v>
      </c>
      <c r="P1829" s="973" t="s">
        <v>999</v>
      </c>
      <c r="Q1829" s="973" t="s">
        <v>1000</v>
      </c>
      <c r="R1829" s="973" t="s">
        <v>1001</v>
      </c>
      <c r="S1829" s="973" t="s">
        <v>1002</v>
      </c>
      <c r="AE1829" s="423" t="str">
        <f t="shared" si="28"/>
        <v/>
      </c>
    </row>
    <row r="1830" spans="4:31" x14ac:dyDescent="0.25">
      <c r="D1830" s="973" t="s">
        <v>990</v>
      </c>
      <c r="E1830" s="973" t="s">
        <v>991</v>
      </c>
      <c r="F1830" s="973" t="s">
        <v>992</v>
      </c>
      <c r="G1830" s="973" t="s">
        <v>1997</v>
      </c>
      <c r="H1830" s="973" t="s">
        <v>1998</v>
      </c>
      <c r="I1830" s="973" t="s">
        <v>1999</v>
      </c>
      <c r="J1830" s="973" t="s">
        <v>697</v>
      </c>
      <c r="K1830" s="973" t="s">
        <v>995</v>
      </c>
      <c r="L1830" s="973" t="s">
        <v>996</v>
      </c>
      <c r="M1830" s="973" t="s">
        <v>2000</v>
      </c>
      <c r="N1830" s="973" t="s">
        <v>2001</v>
      </c>
      <c r="O1830" s="973" t="s">
        <v>1971</v>
      </c>
      <c r="P1830" s="973" t="s">
        <v>999</v>
      </c>
      <c r="Q1830" s="973" t="s">
        <v>1000</v>
      </c>
      <c r="R1830" s="973" t="s">
        <v>1001</v>
      </c>
      <c r="S1830" s="973" t="s">
        <v>1002</v>
      </c>
      <c r="AE1830" s="423" t="str">
        <f t="shared" si="28"/>
        <v/>
      </c>
    </row>
    <row r="1831" spans="4:31" x14ac:dyDescent="0.25">
      <c r="D1831" s="973" t="s">
        <v>990</v>
      </c>
      <c r="E1831" s="973" t="s">
        <v>991</v>
      </c>
      <c r="F1831" s="973" t="s">
        <v>992</v>
      </c>
      <c r="G1831" s="973" t="s">
        <v>1997</v>
      </c>
      <c r="H1831" s="973" t="s">
        <v>1998</v>
      </c>
      <c r="I1831" s="973" t="s">
        <v>1999</v>
      </c>
      <c r="J1831" s="973" t="s">
        <v>697</v>
      </c>
      <c r="K1831" s="973" t="s">
        <v>995</v>
      </c>
      <c r="L1831" s="973" t="s">
        <v>996</v>
      </c>
      <c r="M1831" s="973" t="s">
        <v>2000</v>
      </c>
      <c r="N1831" s="973" t="s">
        <v>2001</v>
      </c>
      <c r="O1831" s="973" t="s">
        <v>1971</v>
      </c>
      <c r="P1831" s="973" t="s">
        <v>999</v>
      </c>
      <c r="Q1831" s="973" t="s">
        <v>1000</v>
      </c>
      <c r="R1831" s="973" t="s">
        <v>1001</v>
      </c>
      <c r="S1831" s="973" t="s">
        <v>1002</v>
      </c>
      <c r="AE1831" s="423" t="str">
        <f t="shared" si="28"/>
        <v/>
      </c>
    </row>
    <row r="1832" spans="4:31" x14ac:dyDescent="0.25">
      <c r="D1832" s="973" t="s">
        <v>990</v>
      </c>
      <c r="E1832" s="973" t="s">
        <v>991</v>
      </c>
      <c r="F1832" s="973" t="s">
        <v>992</v>
      </c>
      <c r="G1832" s="973" t="s">
        <v>1997</v>
      </c>
      <c r="H1832" s="973" t="s">
        <v>1998</v>
      </c>
      <c r="I1832" s="973" t="s">
        <v>1999</v>
      </c>
      <c r="J1832" s="973" t="s">
        <v>697</v>
      </c>
      <c r="K1832" s="973" t="s">
        <v>995</v>
      </c>
      <c r="L1832" s="973" t="s">
        <v>996</v>
      </c>
      <c r="M1832" s="973" t="s">
        <v>2000</v>
      </c>
      <c r="N1832" s="973" t="s">
        <v>2001</v>
      </c>
      <c r="O1832" s="973" t="s">
        <v>1971</v>
      </c>
      <c r="P1832" s="973" t="s">
        <v>999</v>
      </c>
      <c r="Q1832" s="973" t="s">
        <v>1000</v>
      </c>
      <c r="R1832" s="973" t="s">
        <v>1001</v>
      </c>
      <c r="S1832" s="973" t="s">
        <v>1002</v>
      </c>
      <c r="AE1832" s="423" t="str">
        <f t="shared" si="28"/>
        <v/>
      </c>
    </row>
    <row r="1833" spans="4:31" x14ac:dyDescent="0.25">
      <c r="D1833" s="973" t="s">
        <v>990</v>
      </c>
      <c r="E1833" s="973" t="s">
        <v>991</v>
      </c>
      <c r="F1833" s="973" t="s">
        <v>992</v>
      </c>
      <c r="G1833" s="973" t="s">
        <v>1997</v>
      </c>
      <c r="H1833" s="973" t="s">
        <v>1998</v>
      </c>
      <c r="I1833" s="973" t="s">
        <v>1999</v>
      </c>
      <c r="J1833" s="973" t="s">
        <v>697</v>
      </c>
      <c r="K1833" s="973" t="s">
        <v>995</v>
      </c>
      <c r="L1833" s="973" t="s">
        <v>996</v>
      </c>
      <c r="M1833" s="973" t="s">
        <v>2000</v>
      </c>
      <c r="N1833" s="973" t="s">
        <v>2001</v>
      </c>
      <c r="O1833" s="973" t="s">
        <v>1971</v>
      </c>
      <c r="P1833" s="973" t="s">
        <v>999</v>
      </c>
      <c r="Q1833" s="973" t="s">
        <v>1000</v>
      </c>
      <c r="R1833" s="973" t="s">
        <v>1001</v>
      </c>
      <c r="S1833" s="973" t="s">
        <v>1002</v>
      </c>
      <c r="AE1833" s="423" t="str">
        <f t="shared" si="28"/>
        <v/>
      </c>
    </row>
    <row r="1834" spans="4:31" x14ac:dyDescent="0.25">
      <c r="D1834" s="973" t="s">
        <v>990</v>
      </c>
      <c r="E1834" s="973" t="s">
        <v>991</v>
      </c>
      <c r="F1834" s="973" t="s">
        <v>992</v>
      </c>
      <c r="G1834" s="973" t="s">
        <v>1997</v>
      </c>
      <c r="H1834" s="973" t="s">
        <v>1998</v>
      </c>
      <c r="I1834" s="973" t="s">
        <v>1999</v>
      </c>
      <c r="J1834" s="973" t="s">
        <v>697</v>
      </c>
      <c r="K1834" s="973" t="s">
        <v>995</v>
      </c>
      <c r="L1834" s="973" t="s">
        <v>996</v>
      </c>
      <c r="M1834" s="973" t="s">
        <v>2000</v>
      </c>
      <c r="N1834" s="973" t="s">
        <v>2001</v>
      </c>
      <c r="O1834" s="973" t="s">
        <v>1971</v>
      </c>
      <c r="P1834" s="973" t="s">
        <v>999</v>
      </c>
      <c r="Q1834" s="973" t="s">
        <v>1000</v>
      </c>
      <c r="R1834" s="973" t="s">
        <v>1001</v>
      </c>
      <c r="S1834" s="973" t="s">
        <v>1002</v>
      </c>
      <c r="AE1834" s="423" t="str">
        <f t="shared" si="28"/>
        <v/>
      </c>
    </row>
    <row r="1835" spans="4:31" x14ac:dyDescent="0.25">
      <c r="D1835" s="973" t="s">
        <v>990</v>
      </c>
      <c r="E1835" s="973" t="s">
        <v>991</v>
      </c>
      <c r="F1835" s="973" t="s">
        <v>992</v>
      </c>
      <c r="G1835" s="973" t="s">
        <v>1997</v>
      </c>
      <c r="H1835" s="973" t="s">
        <v>1998</v>
      </c>
      <c r="I1835" s="973" t="s">
        <v>1999</v>
      </c>
      <c r="J1835" s="973" t="s">
        <v>697</v>
      </c>
      <c r="K1835" s="973" t="s">
        <v>995</v>
      </c>
      <c r="L1835" s="973" t="s">
        <v>996</v>
      </c>
      <c r="M1835" s="973" t="s">
        <v>2000</v>
      </c>
      <c r="N1835" s="973" t="s">
        <v>2001</v>
      </c>
      <c r="O1835" s="973" t="s">
        <v>1971</v>
      </c>
      <c r="P1835" s="973" t="s">
        <v>999</v>
      </c>
      <c r="Q1835" s="973" t="s">
        <v>1000</v>
      </c>
      <c r="R1835" s="973" t="s">
        <v>1001</v>
      </c>
      <c r="S1835" s="973" t="s">
        <v>1002</v>
      </c>
      <c r="AE1835" s="423" t="str">
        <f t="shared" si="28"/>
        <v/>
      </c>
    </row>
    <row r="1836" spans="4:31" x14ac:dyDescent="0.25">
      <c r="D1836" s="973" t="s">
        <v>990</v>
      </c>
      <c r="E1836" s="973" t="s">
        <v>991</v>
      </c>
      <c r="F1836" s="973" t="s">
        <v>992</v>
      </c>
      <c r="G1836" s="973" t="s">
        <v>1997</v>
      </c>
      <c r="H1836" s="973" t="s">
        <v>1998</v>
      </c>
      <c r="I1836" s="973" t="s">
        <v>1999</v>
      </c>
      <c r="J1836" s="973" t="s">
        <v>697</v>
      </c>
      <c r="K1836" s="973" t="s">
        <v>995</v>
      </c>
      <c r="L1836" s="973" t="s">
        <v>996</v>
      </c>
      <c r="M1836" s="973" t="s">
        <v>2000</v>
      </c>
      <c r="N1836" s="973" t="s">
        <v>2001</v>
      </c>
      <c r="O1836" s="973" t="s">
        <v>1971</v>
      </c>
      <c r="P1836" s="973" t="s">
        <v>999</v>
      </c>
      <c r="Q1836" s="973" t="s">
        <v>1000</v>
      </c>
      <c r="R1836" s="973" t="s">
        <v>1001</v>
      </c>
      <c r="S1836" s="973" t="s">
        <v>1002</v>
      </c>
      <c r="AE1836" s="423" t="str">
        <f t="shared" si="28"/>
        <v/>
      </c>
    </row>
    <row r="1837" spans="4:31" x14ac:dyDescent="0.25">
      <c r="D1837" s="973" t="s">
        <v>990</v>
      </c>
      <c r="E1837" s="973" t="s">
        <v>991</v>
      </c>
      <c r="F1837" s="973" t="s">
        <v>992</v>
      </c>
      <c r="G1837" s="973" t="s">
        <v>1997</v>
      </c>
      <c r="H1837" s="973" t="s">
        <v>1998</v>
      </c>
      <c r="I1837" s="973" t="s">
        <v>1999</v>
      </c>
      <c r="J1837" s="973" t="s">
        <v>697</v>
      </c>
      <c r="K1837" s="973" t="s">
        <v>995</v>
      </c>
      <c r="L1837" s="973" t="s">
        <v>996</v>
      </c>
      <c r="M1837" s="973" t="s">
        <v>2000</v>
      </c>
      <c r="N1837" s="973" t="s">
        <v>2001</v>
      </c>
      <c r="O1837" s="973" t="s">
        <v>1971</v>
      </c>
      <c r="P1837" s="973" t="s">
        <v>999</v>
      </c>
      <c r="Q1837" s="973" t="s">
        <v>1000</v>
      </c>
      <c r="R1837" s="973" t="s">
        <v>1001</v>
      </c>
      <c r="S1837" s="973" t="s">
        <v>1002</v>
      </c>
      <c r="AE1837" s="423" t="str">
        <f t="shared" si="28"/>
        <v/>
      </c>
    </row>
    <row r="1838" spans="4:31" x14ac:dyDescent="0.25">
      <c r="D1838" s="973" t="s">
        <v>990</v>
      </c>
      <c r="E1838" s="973" t="s">
        <v>991</v>
      </c>
      <c r="F1838" s="973" t="s">
        <v>992</v>
      </c>
      <c r="G1838" s="973" t="s">
        <v>1997</v>
      </c>
      <c r="H1838" s="973" t="s">
        <v>1998</v>
      </c>
      <c r="I1838" s="973" t="s">
        <v>1999</v>
      </c>
      <c r="J1838" s="973" t="s">
        <v>697</v>
      </c>
      <c r="K1838" s="973" t="s">
        <v>995</v>
      </c>
      <c r="L1838" s="973" t="s">
        <v>996</v>
      </c>
      <c r="M1838" s="973" t="s">
        <v>2000</v>
      </c>
      <c r="N1838" s="973" t="s">
        <v>2001</v>
      </c>
      <c r="O1838" s="973" t="s">
        <v>1971</v>
      </c>
      <c r="P1838" s="973" t="s">
        <v>999</v>
      </c>
      <c r="Q1838" s="973" t="s">
        <v>1000</v>
      </c>
      <c r="R1838" s="973" t="s">
        <v>1001</v>
      </c>
      <c r="S1838" s="973" t="s">
        <v>1002</v>
      </c>
      <c r="AE1838" s="423" t="str">
        <f t="shared" si="28"/>
        <v/>
      </c>
    </row>
    <row r="1839" spans="4:31" x14ac:dyDescent="0.25">
      <c r="D1839" s="973" t="s">
        <v>990</v>
      </c>
      <c r="E1839" s="973" t="s">
        <v>991</v>
      </c>
      <c r="F1839" s="973" t="s">
        <v>992</v>
      </c>
      <c r="G1839" s="973" t="s">
        <v>1997</v>
      </c>
      <c r="H1839" s="973" t="s">
        <v>1998</v>
      </c>
      <c r="I1839" s="973" t="s">
        <v>1999</v>
      </c>
      <c r="J1839" s="973" t="s">
        <v>697</v>
      </c>
      <c r="K1839" s="973" t="s">
        <v>995</v>
      </c>
      <c r="L1839" s="973" t="s">
        <v>996</v>
      </c>
      <c r="M1839" s="973" t="s">
        <v>2000</v>
      </c>
      <c r="N1839" s="973" t="s">
        <v>2001</v>
      </c>
      <c r="O1839" s="973" t="s">
        <v>1971</v>
      </c>
      <c r="P1839" s="973" t="s">
        <v>999</v>
      </c>
      <c r="Q1839" s="973" t="s">
        <v>1000</v>
      </c>
      <c r="R1839" s="973" t="s">
        <v>1001</v>
      </c>
      <c r="S1839" s="973" t="s">
        <v>1002</v>
      </c>
      <c r="AE1839" s="423" t="str">
        <f t="shared" si="28"/>
        <v/>
      </c>
    </row>
    <row r="1840" spans="4:31" x14ac:dyDescent="0.25">
      <c r="D1840" s="973" t="s">
        <v>990</v>
      </c>
      <c r="E1840" s="973" t="s">
        <v>991</v>
      </c>
      <c r="F1840" s="973" t="s">
        <v>992</v>
      </c>
      <c r="G1840" s="973" t="s">
        <v>1997</v>
      </c>
      <c r="H1840" s="973" t="s">
        <v>1998</v>
      </c>
      <c r="I1840" s="973" t="s">
        <v>1999</v>
      </c>
      <c r="J1840" s="973" t="s">
        <v>697</v>
      </c>
      <c r="K1840" s="973" t="s">
        <v>995</v>
      </c>
      <c r="L1840" s="973" t="s">
        <v>996</v>
      </c>
      <c r="M1840" s="973" t="s">
        <v>2000</v>
      </c>
      <c r="N1840" s="973" t="s">
        <v>2001</v>
      </c>
      <c r="O1840" s="973" t="s">
        <v>1971</v>
      </c>
      <c r="P1840" s="973" t="s">
        <v>999</v>
      </c>
      <c r="Q1840" s="973" t="s">
        <v>1000</v>
      </c>
      <c r="R1840" s="973" t="s">
        <v>1001</v>
      </c>
      <c r="S1840" s="973" t="s">
        <v>1002</v>
      </c>
      <c r="AE1840" s="423" t="str">
        <f t="shared" si="28"/>
        <v/>
      </c>
    </row>
    <row r="1841" spans="4:31" x14ac:dyDescent="0.25">
      <c r="D1841" s="973" t="s">
        <v>990</v>
      </c>
      <c r="E1841" s="973" t="s">
        <v>991</v>
      </c>
      <c r="F1841" s="973" t="s">
        <v>992</v>
      </c>
      <c r="G1841" s="973" t="s">
        <v>1997</v>
      </c>
      <c r="H1841" s="973" t="s">
        <v>1998</v>
      </c>
      <c r="I1841" s="973" t="s">
        <v>1999</v>
      </c>
      <c r="J1841" s="973" t="s">
        <v>697</v>
      </c>
      <c r="K1841" s="973" t="s">
        <v>995</v>
      </c>
      <c r="L1841" s="973" t="s">
        <v>996</v>
      </c>
      <c r="M1841" s="973" t="s">
        <v>2000</v>
      </c>
      <c r="N1841" s="973" t="s">
        <v>2001</v>
      </c>
      <c r="O1841" s="973" t="s">
        <v>1971</v>
      </c>
      <c r="P1841" s="973" t="s">
        <v>999</v>
      </c>
      <c r="Q1841" s="973" t="s">
        <v>1000</v>
      </c>
      <c r="R1841" s="973" t="s">
        <v>1001</v>
      </c>
      <c r="S1841" s="973" t="s">
        <v>1002</v>
      </c>
      <c r="AE1841" s="423" t="str">
        <f t="shared" si="28"/>
        <v/>
      </c>
    </row>
    <row r="1842" spans="4:31" x14ac:dyDescent="0.25">
      <c r="D1842" s="973" t="s">
        <v>990</v>
      </c>
      <c r="E1842" s="973" t="s">
        <v>991</v>
      </c>
      <c r="F1842" s="973" t="s">
        <v>992</v>
      </c>
      <c r="G1842" s="973" t="s">
        <v>1997</v>
      </c>
      <c r="H1842" s="973" t="s">
        <v>1998</v>
      </c>
      <c r="I1842" s="973" t="s">
        <v>1999</v>
      </c>
      <c r="J1842" s="973" t="s">
        <v>697</v>
      </c>
      <c r="K1842" s="973" t="s">
        <v>995</v>
      </c>
      <c r="L1842" s="973" t="s">
        <v>996</v>
      </c>
      <c r="M1842" s="973" t="s">
        <v>2000</v>
      </c>
      <c r="N1842" s="973" t="s">
        <v>2001</v>
      </c>
      <c r="O1842" s="973" t="s">
        <v>1971</v>
      </c>
      <c r="P1842" s="973" t="s">
        <v>999</v>
      </c>
      <c r="Q1842" s="973" t="s">
        <v>1000</v>
      </c>
      <c r="R1842" s="973" t="s">
        <v>1001</v>
      </c>
      <c r="S1842" s="973" t="s">
        <v>1002</v>
      </c>
      <c r="AE1842" s="423" t="str">
        <f t="shared" si="28"/>
        <v/>
      </c>
    </row>
    <row r="1843" spans="4:31" x14ac:dyDescent="0.25">
      <c r="D1843" s="973" t="s">
        <v>990</v>
      </c>
      <c r="E1843" s="973" t="s">
        <v>991</v>
      </c>
      <c r="F1843" s="973" t="s">
        <v>992</v>
      </c>
      <c r="G1843" s="973" t="s">
        <v>1997</v>
      </c>
      <c r="H1843" s="973" t="s">
        <v>1998</v>
      </c>
      <c r="I1843" s="973" t="s">
        <v>1999</v>
      </c>
      <c r="J1843" s="973" t="s">
        <v>697</v>
      </c>
      <c r="K1843" s="973" t="s">
        <v>995</v>
      </c>
      <c r="L1843" s="973" t="s">
        <v>996</v>
      </c>
      <c r="M1843" s="973" t="s">
        <v>2000</v>
      </c>
      <c r="N1843" s="973" t="s">
        <v>2001</v>
      </c>
      <c r="O1843" s="973" t="s">
        <v>1971</v>
      </c>
      <c r="P1843" s="973" t="s">
        <v>999</v>
      </c>
      <c r="Q1843" s="973" t="s">
        <v>1000</v>
      </c>
      <c r="R1843" s="973" t="s">
        <v>1001</v>
      </c>
      <c r="S1843" s="973" t="s">
        <v>1002</v>
      </c>
      <c r="AE1843" s="423" t="str">
        <f t="shared" si="28"/>
        <v/>
      </c>
    </row>
    <row r="1844" spans="4:31" x14ac:dyDescent="0.25">
      <c r="D1844" s="973" t="s">
        <v>990</v>
      </c>
      <c r="E1844" s="973" t="s">
        <v>991</v>
      </c>
      <c r="F1844" s="973" t="s">
        <v>992</v>
      </c>
      <c r="G1844" s="973" t="s">
        <v>1997</v>
      </c>
      <c r="H1844" s="973" t="s">
        <v>1998</v>
      </c>
      <c r="I1844" s="973" t="s">
        <v>1999</v>
      </c>
      <c r="J1844" s="973" t="s">
        <v>697</v>
      </c>
      <c r="K1844" s="973" t="s">
        <v>995</v>
      </c>
      <c r="L1844" s="973" t="s">
        <v>996</v>
      </c>
      <c r="M1844" s="973" t="s">
        <v>2000</v>
      </c>
      <c r="N1844" s="973" t="s">
        <v>2001</v>
      </c>
      <c r="O1844" s="973" t="s">
        <v>1971</v>
      </c>
      <c r="P1844" s="973" t="s">
        <v>999</v>
      </c>
      <c r="Q1844" s="973" t="s">
        <v>1000</v>
      </c>
      <c r="R1844" s="973" t="s">
        <v>1001</v>
      </c>
      <c r="S1844" s="973" t="s">
        <v>1002</v>
      </c>
      <c r="AE1844" s="423" t="str">
        <f t="shared" si="28"/>
        <v/>
      </c>
    </row>
    <row r="1845" spans="4:31" x14ac:dyDescent="0.25">
      <c r="D1845" s="973" t="s">
        <v>990</v>
      </c>
      <c r="E1845" s="973" t="s">
        <v>991</v>
      </c>
      <c r="F1845" s="973" t="s">
        <v>992</v>
      </c>
      <c r="G1845" s="973" t="s">
        <v>1997</v>
      </c>
      <c r="H1845" s="973" t="s">
        <v>1998</v>
      </c>
      <c r="I1845" s="973" t="s">
        <v>1999</v>
      </c>
      <c r="J1845" s="973" t="s">
        <v>697</v>
      </c>
      <c r="K1845" s="973" t="s">
        <v>995</v>
      </c>
      <c r="L1845" s="973" t="s">
        <v>996</v>
      </c>
      <c r="M1845" s="973" t="s">
        <v>2000</v>
      </c>
      <c r="N1845" s="973" t="s">
        <v>2001</v>
      </c>
      <c r="O1845" s="973" t="s">
        <v>1971</v>
      </c>
      <c r="P1845" s="973" t="s">
        <v>999</v>
      </c>
      <c r="Q1845" s="973" t="s">
        <v>1000</v>
      </c>
      <c r="R1845" s="973" t="s">
        <v>1001</v>
      </c>
      <c r="S1845" s="973" t="s">
        <v>1002</v>
      </c>
      <c r="AE1845" s="423" t="str">
        <f t="shared" si="28"/>
        <v/>
      </c>
    </row>
    <row r="1846" spans="4:31" x14ac:dyDescent="0.25">
      <c r="D1846" s="973" t="s">
        <v>990</v>
      </c>
      <c r="E1846" s="973" t="s">
        <v>991</v>
      </c>
      <c r="F1846" s="973" t="s">
        <v>992</v>
      </c>
      <c r="G1846" s="973" t="s">
        <v>1997</v>
      </c>
      <c r="H1846" s="973" t="s">
        <v>1998</v>
      </c>
      <c r="I1846" s="973" t="s">
        <v>1999</v>
      </c>
      <c r="J1846" s="973" t="s">
        <v>697</v>
      </c>
      <c r="K1846" s="973" t="s">
        <v>995</v>
      </c>
      <c r="L1846" s="973" t="s">
        <v>996</v>
      </c>
      <c r="M1846" s="973" t="s">
        <v>2000</v>
      </c>
      <c r="N1846" s="973" t="s">
        <v>2001</v>
      </c>
      <c r="O1846" s="973" t="s">
        <v>1971</v>
      </c>
      <c r="P1846" s="973" t="s">
        <v>999</v>
      </c>
      <c r="Q1846" s="973" t="s">
        <v>1000</v>
      </c>
      <c r="R1846" s="973" t="s">
        <v>1001</v>
      </c>
      <c r="S1846" s="973" t="s">
        <v>1002</v>
      </c>
      <c r="AE1846" s="423" t="str">
        <f t="shared" si="28"/>
        <v/>
      </c>
    </row>
    <row r="1847" spans="4:31" x14ac:dyDescent="0.25">
      <c r="D1847" s="973" t="s">
        <v>990</v>
      </c>
      <c r="E1847" s="973" t="s">
        <v>991</v>
      </c>
      <c r="F1847" s="973" t="s">
        <v>992</v>
      </c>
      <c r="G1847" s="973" t="s">
        <v>1997</v>
      </c>
      <c r="H1847" s="973" t="s">
        <v>1998</v>
      </c>
      <c r="I1847" s="973" t="s">
        <v>1999</v>
      </c>
      <c r="J1847" s="973" t="s">
        <v>697</v>
      </c>
      <c r="K1847" s="973" t="s">
        <v>995</v>
      </c>
      <c r="L1847" s="973" t="s">
        <v>996</v>
      </c>
      <c r="M1847" s="973" t="s">
        <v>2000</v>
      </c>
      <c r="N1847" s="973" t="s">
        <v>2001</v>
      </c>
      <c r="O1847" s="973" t="s">
        <v>1971</v>
      </c>
      <c r="P1847" s="973" t="s">
        <v>999</v>
      </c>
      <c r="Q1847" s="973" t="s">
        <v>1000</v>
      </c>
      <c r="R1847" s="973" t="s">
        <v>1001</v>
      </c>
      <c r="S1847" s="973" t="s">
        <v>1002</v>
      </c>
      <c r="AE1847" s="423" t="str">
        <f t="shared" si="28"/>
        <v/>
      </c>
    </row>
    <row r="1848" spans="4:31" x14ac:dyDescent="0.25">
      <c r="D1848" s="973" t="s">
        <v>990</v>
      </c>
      <c r="E1848" s="973" t="s">
        <v>991</v>
      </c>
      <c r="F1848" s="973" t="s">
        <v>992</v>
      </c>
      <c r="G1848" s="973" t="s">
        <v>1997</v>
      </c>
      <c r="H1848" s="973" t="s">
        <v>1998</v>
      </c>
      <c r="I1848" s="973" t="s">
        <v>1999</v>
      </c>
      <c r="J1848" s="973" t="s">
        <v>697</v>
      </c>
      <c r="K1848" s="973" t="s">
        <v>995</v>
      </c>
      <c r="L1848" s="973" t="s">
        <v>996</v>
      </c>
      <c r="M1848" s="973" t="s">
        <v>2000</v>
      </c>
      <c r="N1848" s="973" t="s">
        <v>2001</v>
      </c>
      <c r="O1848" s="973" t="s">
        <v>1971</v>
      </c>
      <c r="P1848" s="973" t="s">
        <v>999</v>
      </c>
      <c r="Q1848" s="973" t="s">
        <v>1000</v>
      </c>
      <c r="R1848" s="973" t="s">
        <v>1001</v>
      </c>
      <c r="S1848" s="973" t="s">
        <v>1002</v>
      </c>
      <c r="AE1848" s="423" t="str">
        <f t="shared" si="28"/>
        <v/>
      </c>
    </row>
    <row r="1849" spans="4:31" x14ac:dyDescent="0.25">
      <c r="D1849" s="973" t="s">
        <v>990</v>
      </c>
      <c r="E1849" s="973" t="s">
        <v>991</v>
      </c>
      <c r="F1849" s="973" t="s">
        <v>992</v>
      </c>
      <c r="G1849" s="973" t="s">
        <v>1997</v>
      </c>
      <c r="H1849" s="973" t="s">
        <v>1998</v>
      </c>
      <c r="I1849" s="973" t="s">
        <v>1999</v>
      </c>
      <c r="J1849" s="973" t="s">
        <v>697</v>
      </c>
      <c r="K1849" s="973" t="s">
        <v>995</v>
      </c>
      <c r="L1849" s="973" t="s">
        <v>996</v>
      </c>
      <c r="M1849" s="973" t="s">
        <v>2000</v>
      </c>
      <c r="N1849" s="973" t="s">
        <v>2001</v>
      </c>
      <c r="O1849" s="973" t="s">
        <v>1971</v>
      </c>
      <c r="P1849" s="973" t="s">
        <v>999</v>
      </c>
      <c r="Q1849" s="973" t="s">
        <v>1000</v>
      </c>
      <c r="R1849" s="973" t="s">
        <v>1001</v>
      </c>
      <c r="S1849" s="973" t="s">
        <v>1002</v>
      </c>
      <c r="AE1849" s="423" t="str">
        <f t="shared" si="28"/>
        <v/>
      </c>
    </row>
    <row r="1850" spans="4:31" x14ac:dyDescent="0.25">
      <c r="D1850" s="973" t="s">
        <v>990</v>
      </c>
      <c r="E1850" s="973" t="s">
        <v>991</v>
      </c>
      <c r="F1850" s="973" t="s">
        <v>992</v>
      </c>
      <c r="G1850" s="973" t="s">
        <v>1997</v>
      </c>
      <c r="H1850" s="973" t="s">
        <v>1998</v>
      </c>
      <c r="I1850" s="973" t="s">
        <v>1999</v>
      </c>
      <c r="J1850" s="973" t="s">
        <v>697</v>
      </c>
      <c r="K1850" s="973" t="s">
        <v>995</v>
      </c>
      <c r="L1850" s="973" t="s">
        <v>996</v>
      </c>
      <c r="M1850" s="973" t="s">
        <v>2000</v>
      </c>
      <c r="N1850" s="973" t="s">
        <v>2001</v>
      </c>
      <c r="O1850" s="973" t="s">
        <v>1971</v>
      </c>
      <c r="P1850" s="973" t="s">
        <v>999</v>
      </c>
      <c r="Q1850" s="973" t="s">
        <v>1000</v>
      </c>
      <c r="R1850" s="973" t="s">
        <v>1001</v>
      </c>
      <c r="S1850" s="973" t="s">
        <v>1002</v>
      </c>
      <c r="AE1850" s="423" t="str">
        <f t="shared" si="28"/>
        <v/>
      </c>
    </row>
    <row r="1851" spans="4:31" x14ac:dyDescent="0.25">
      <c r="D1851" s="973" t="s">
        <v>990</v>
      </c>
      <c r="E1851" s="973" t="s">
        <v>991</v>
      </c>
      <c r="F1851" s="973" t="s">
        <v>992</v>
      </c>
      <c r="G1851" s="973" t="s">
        <v>1997</v>
      </c>
      <c r="H1851" s="973" t="s">
        <v>1998</v>
      </c>
      <c r="I1851" s="973" t="s">
        <v>1999</v>
      </c>
      <c r="J1851" s="973" t="s">
        <v>697</v>
      </c>
      <c r="K1851" s="973" t="s">
        <v>995</v>
      </c>
      <c r="L1851" s="973" t="s">
        <v>996</v>
      </c>
      <c r="M1851" s="973" t="s">
        <v>2000</v>
      </c>
      <c r="N1851" s="973" t="s">
        <v>2001</v>
      </c>
      <c r="O1851" s="973" t="s">
        <v>1971</v>
      </c>
      <c r="P1851" s="973" t="s">
        <v>999</v>
      </c>
      <c r="Q1851" s="973" t="s">
        <v>1000</v>
      </c>
      <c r="R1851" s="973" t="s">
        <v>1001</v>
      </c>
      <c r="S1851" s="973" t="s">
        <v>1002</v>
      </c>
      <c r="AE1851" s="423" t="str">
        <f t="shared" si="28"/>
        <v/>
      </c>
    </row>
    <row r="1852" spans="4:31" x14ac:dyDescent="0.25">
      <c r="D1852" s="973" t="s">
        <v>990</v>
      </c>
      <c r="E1852" s="973" t="s">
        <v>991</v>
      </c>
      <c r="F1852" s="973" t="s">
        <v>992</v>
      </c>
      <c r="G1852" s="973" t="s">
        <v>1997</v>
      </c>
      <c r="H1852" s="973" t="s">
        <v>1998</v>
      </c>
      <c r="I1852" s="973" t="s">
        <v>1999</v>
      </c>
      <c r="J1852" s="973" t="s">
        <v>697</v>
      </c>
      <c r="K1852" s="973" t="s">
        <v>995</v>
      </c>
      <c r="L1852" s="973" t="s">
        <v>996</v>
      </c>
      <c r="M1852" s="973" t="s">
        <v>2000</v>
      </c>
      <c r="N1852" s="973" t="s">
        <v>2001</v>
      </c>
      <c r="O1852" s="973" t="s">
        <v>1971</v>
      </c>
      <c r="P1852" s="973" t="s">
        <v>999</v>
      </c>
      <c r="Q1852" s="973" t="s">
        <v>1000</v>
      </c>
      <c r="R1852" s="973" t="s">
        <v>1001</v>
      </c>
      <c r="S1852" s="973" t="s">
        <v>1002</v>
      </c>
      <c r="AE1852" s="423" t="str">
        <f t="shared" si="28"/>
        <v/>
      </c>
    </row>
    <row r="1853" spans="4:31" x14ac:dyDescent="0.25">
      <c r="D1853" s="973" t="s">
        <v>990</v>
      </c>
      <c r="E1853" s="973" t="s">
        <v>991</v>
      </c>
      <c r="F1853" s="973" t="s">
        <v>992</v>
      </c>
      <c r="G1853" s="973" t="s">
        <v>1997</v>
      </c>
      <c r="H1853" s="973" t="s">
        <v>1998</v>
      </c>
      <c r="I1853" s="973" t="s">
        <v>1999</v>
      </c>
      <c r="J1853" s="973" t="s">
        <v>697</v>
      </c>
      <c r="K1853" s="973" t="s">
        <v>995</v>
      </c>
      <c r="L1853" s="973" t="s">
        <v>996</v>
      </c>
      <c r="M1853" s="973" t="s">
        <v>2000</v>
      </c>
      <c r="N1853" s="973" t="s">
        <v>2001</v>
      </c>
      <c r="O1853" s="973" t="s">
        <v>1971</v>
      </c>
      <c r="P1853" s="973" t="s">
        <v>999</v>
      </c>
      <c r="Q1853" s="973" t="s">
        <v>1000</v>
      </c>
      <c r="R1853" s="973" t="s">
        <v>1001</v>
      </c>
      <c r="S1853" s="973" t="s">
        <v>1002</v>
      </c>
      <c r="AE1853" s="423" t="str">
        <f t="shared" si="28"/>
        <v/>
      </c>
    </row>
    <row r="1854" spans="4:31" x14ac:dyDescent="0.25">
      <c r="D1854" s="973" t="s">
        <v>990</v>
      </c>
      <c r="E1854" s="973" t="s">
        <v>991</v>
      </c>
      <c r="F1854" s="973" t="s">
        <v>992</v>
      </c>
      <c r="G1854" s="973" t="s">
        <v>1997</v>
      </c>
      <c r="H1854" s="973" t="s">
        <v>1998</v>
      </c>
      <c r="I1854" s="973" t="s">
        <v>1999</v>
      </c>
      <c r="J1854" s="973" t="s">
        <v>697</v>
      </c>
      <c r="K1854" s="973" t="s">
        <v>995</v>
      </c>
      <c r="L1854" s="973" t="s">
        <v>996</v>
      </c>
      <c r="M1854" s="973" t="s">
        <v>2000</v>
      </c>
      <c r="N1854" s="973" t="s">
        <v>2001</v>
      </c>
      <c r="O1854" s="973" t="s">
        <v>1971</v>
      </c>
      <c r="P1854" s="973" t="s">
        <v>999</v>
      </c>
      <c r="Q1854" s="973" t="s">
        <v>1000</v>
      </c>
      <c r="R1854" s="973" t="s">
        <v>1001</v>
      </c>
      <c r="S1854" s="973" t="s">
        <v>1002</v>
      </c>
      <c r="AE1854" s="423" t="str">
        <f t="shared" si="28"/>
        <v/>
      </c>
    </row>
    <row r="1855" spans="4:31" x14ac:dyDescent="0.25">
      <c r="D1855" s="973" t="s">
        <v>990</v>
      </c>
      <c r="E1855" s="973" t="s">
        <v>991</v>
      </c>
      <c r="F1855" s="973" t="s">
        <v>992</v>
      </c>
      <c r="G1855" s="973" t="s">
        <v>1997</v>
      </c>
      <c r="H1855" s="973" t="s">
        <v>1998</v>
      </c>
      <c r="I1855" s="973" t="s">
        <v>1999</v>
      </c>
      <c r="J1855" s="973" t="s">
        <v>697</v>
      </c>
      <c r="K1855" s="973" t="s">
        <v>995</v>
      </c>
      <c r="L1855" s="973" t="s">
        <v>996</v>
      </c>
      <c r="M1855" s="973" t="s">
        <v>2000</v>
      </c>
      <c r="N1855" s="973" t="s">
        <v>2001</v>
      </c>
      <c r="O1855" s="973" t="s">
        <v>1971</v>
      </c>
      <c r="P1855" s="973" t="s">
        <v>999</v>
      </c>
      <c r="Q1855" s="973" t="s">
        <v>1000</v>
      </c>
      <c r="R1855" s="973" t="s">
        <v>1001</v>
      </c>
      <c r="S1855" s="973" t="s">
        <v>1002</v>
      </c>
      <c r="AE1855" s="423" t="str">
        <f t="shared" si="28"/>
        <v/>
      </c>
    </row>
    <row r="1856" spans="4:31" x14ac:dyDescent="0.25">
      <c r="D1856" s="973" t="s">
        <v>990</v>
      </c>
      <c r="E1856" s="973" t="s">
        <v>991</v>
      </c>
      <c r="F1856" s="973" t="s">
        <v>992</v>
      </c>
      <c r="G1856" s="973" t="s">
        <v>1997</v>
      </c>
      <c r="H1856" s="973" t="s">
        <v>1998</v>
      </c>
      <c r="I1856" s="973" t="s">
        <v>1999</v>
      </c>
      <c r="J1856" s="973" t="s">
        <v>697</v>
      </c>
      <c r="K1856" s="973" t="s">
        <v>995</v>
      </c>
      <c r="L1856" s="973" t="s">
        <v>996</v>
      </c>
      <c r="M1856" s="973" t="s">
        <v>2000</v>
      </c>
      <c r="N1856" s="973" t="s">
        <v>2001</v>
      </c>
      <c r="O1856" s="973" t="s">
        <v>1971</v>
      </c>
      <c r="P1856" s="973" t="s">
        <v>999</v>
      </c>
      <c r="Q1856" s="973" t="s">
        <v>1000</v>
      </c>
      <c r="R1856" s="973" t="s">
        <v>1001</v>
      </c>
      <c r="S1856" s="973" t="s">
        <v>1002</v>
      </c>
      <c r="AE1856" s="423" t="str">
        <f t="shared" si="28"/>
        <v/>
      </c>
    </row>
    <row r="1857" spans="4:31" x14ac:dyDescent="0.25">
      <c r="D1857" s="973" t="s">
        <v>990</v>
      </c>
      <c r="E1857" s="973" t="s">
        <v>991</v>
      </c>
      <c r="F1857" s="973" t="s">
        <v>992</v>
      </c>
      <c r="G1857" s="973" t="s">
        <v>1997</v>
      </c>
      <c r="H1857" s="973" t="s">
        <v>1998</v>
      </c>
      <c r="I1857" s="973" t="s">
        <v>1999</v>
      </c>
      <c r="J1857" s="973" t="s">
        <v>697</v>
      </c>
      <c r="K1857" s="973" t="s">
        <v>995</v>
      </c>
      <c r="L1857" s="973" t="s">
        <v>996</v>
      </c>
      <c r="M1857" s="973" t="s">
        <v>2000</v>
      </c>
      <c r="N1857" s="973" t="s">
        <v>2001</v>
      </c>
      <c r="O1857" s="973" t="s">
        <v>1971</v>
      </c>
      <c r="P1857" s="973" t="s">
        <v>999</v>
      </c>
      <c r="Q1857" s="973" t="s">
        <v>1000</v>
      </c>
      <c r="R1857" s="973" t="s">
        <v>1001</v>
      </c>
      <c r="S1857" s="973" t="s">
        <v>1002</v>
      </c>
      <c r="AE1857" s="423" t="str">
        <f t="shared" si="28"/>
        <v/>
      </c>
    </row>
    <row r="1858" spans="4:31" x14ac:dyDescent="0.25">
      <c r="D1858" s="973" t="s">
        <v>990</v>
      </c>
      <c r="E1858" s="973" t="s">
        <v>991</v>
      </c>
      <c r="F1858" s="973" t="s">
        <v>992</v>
      </c>
      <c r="G1858" s="973" t="s">
        <v>1997</v>
      </c>
      <c r="H1858" s="973" t="s">
        <v>1998</v>
      </c>
      <c r="I1858" s="973" t="s">
        <v>1999</v>
      </c>
      <c r="J1858" s="973" t="s">
        <v>697</v>
      </c>
      <c r="K1858" s="973" t="s">
        <v>995</v>
      </c>
      <c r="L1858" s="973" t="s">
        <v>996</v>
      </c>
      <c r="M1858" s="973" t="s">
        <v>2000</v>
      </c>
      <c r="N1858" s="973" t="s">
        <v>2001</v>
      </c>
      <c r="O1858" s="973" t="s">
        <v>1971</v>
      </c>
      <c r="P1858" s="973" t="s">
        <v>999</v>
      </c>
      <c r="Q1858" s="973" t="s">
        <v>1000</v>
      </c>
      <c r="R1858" s="973" t="s">
        <v>1001</v>
      </c>
      <c r="S1858" s="973" t="s">
        <v>1002</v>
      </c>
      <c r="AE1858" s="423" t="str">
        <f t="shared" si="28"/>
        <v/>
      </c>
    </row>
    <row r="1859" spans="4:31" x14ac:dyDescent="0.25">
      <c r="D1859" s="973" t="s">
        <v>990</v>
      </c>
      <c r="E1859" s="973" t="s">
        <v>991</v>
      </c>
      <c r="F1859" s="973" t="s">
        <v>992</v>
      </c>
      <c r="G1859" s="973" t="s">
        <v>1997</v>
      </c>
      <c r="H1859" s="973" t="s">
        <v>1998</v>
      </c>
      <c r="I1859" s="973" t="s">
        <v>1999</v>
      </c>
      <c r="J1859" s="973" t="s">
        <v>697</v>
      </c>
      <c r="K1859" s="973" t="s">
        <v>995</v>
      </c>
      <c r="L1859" s="973" t="s">
        <v>996</v>
      </c>
      <c r="M1859" s="973" t="s">
        <v>2000</v>
      </c>
      <c r="N1859" s="973" t="s">
        <v>2001</v>
      </c>
      <c r="O1859" s="973" t="s">
        <v>1971</v>
      </c>
      <c r="P1859" s="973" t="s">
        <v>999</v>
      </c>
      <c r="Q1859" s="973" t="s">
        <v>1000</v>
      </c>
      <c r="R1859" s="973" t="s">
        <v>1001</v>
      </c>
      <c r="S1859" s="973" t="s">
        <v>1002</v>
      </c>
      <c r="AE1859" s="423" t="str">
        <f t="shared" ref="AE1859:AE1922" si="29">B1859&amp;C1859</f>
        <v/>
      </c>
    </row>
    <row r="1860" spans="4:31" x14ac:dyDescent="0.25">
      <c r="D1860" s="973" t="s">
        <v>990</v>
      </c>
      <c r="E1860" s="973" t="s">
        <v>991</v>
      </c>
      <c r="F1860" s="973" t="s">
        <v>992</v>
      </c>
      <c r="G1860" s="973" t="s">
        <v>1997</v>
      </c>
      <c r="H1860" s="973" t="s">
        <v>1998</v>
      </c>
      <c r="I1860" s="973" t="s">
        <v>1999</v>
      </c>
      <c r="J1860" s="973" t="s">
        <v>697</v>
      </c>
      <c r="K1860" s="973" t="s">
        <v>995</v>
      </c>
      <c r="L1860" s="973" t="s">
        <v>996</v>
      </c>
      <c r="M1860" s="973" t="s">
        <v>2000</v>
      </c>
      <c r="N1860" s="973" t="s">
        <v>2001</v>
      </c>
      <c r="O1860" s="973" t="s">
        <v>1971</v>
      </c>
      <c r="P1860" s="973" t="s">
        <v>999</v>
      </c>
      <c r="Q1860" s="973" t="s">
        <v>1000</v>
      </c>
      <c r="R1860" s="973" t="s">
        <v>1001</v>
      </c>
      <c r="S1860" s="973" t="s">
        <v>1002</v>
      </c>
      <c r="AE1860" s="423" t="str">
        <f t="shared" si="29"/>
        <v/>
      </c>
    </row>
    <row r="1861" spans="4:31" x14ac:dyDescent="0.25">
      <c r="D1861" s="973" t="s">
        <v>990</v>
      </c>
      <c r="E1861" s="973" t="s">
        <v>991</v>
      </c>
      <c r="F1861" s="973" t="s">
        <v>992</v>
      </c>
      <c r="G1861" s="973" t="s">
        <v>1997</v>
      </c>
      <c r="H1861" s="973" t="s">
        <v>1998</v>
      </c>
      <c r="I1861" s="973" t="s">
        <v>1999</v>
      </c>
      <c r="J1861" s="973" t="s">
        <v>697</v>
      </c>
      <c r="K1861" s="973" t="s">
        <v>995</v>
      </c>
      <c r="L1861" s="973" t="s">
        <v>996</v>
      </c>
      <c r="M1861" s="973" t="s">
        <v>2000</v>
      </c>
      <c r="N1861" s="973" t="s">
        <v>2001</v>
      </c>
      <c r="O1861" s="973" t="s">
        <v>1971</v>
      </c>
      <c r="P1861" s="973" t="s">
        <v>999</v>
      </c>
      <c r="Q1861" s="973" t="s">
        <v>1000</v>
      </c>
      <c r="R1861" s="973" t="s">
        <v>1001</v>
      </c>
      <c r="S1861" s="973" t="s">
        <v>1002</v>
      </c>
      <c r="AE1861" s="423" t="str">
        <f t="shared" si="29"/>
        <v/>
      </c>
    </row>
    <row r="1862" spans="4:31" x14ac:dyDescent="0.25">
      <c r="D1862" s="973" t="s">
        <v>990</v>
      </c>
      <c r="E1862" s="973" t="s">
        <v>991</v>
      </c>
      <c r="F1862" s="973" t="s">
        <v>992</v>
      </c>
      <c r="G1862" s="973" t="s">
        <v>1997</v>
      </c>
      <c r="H1862" s="973" t="s">
        <v>1998</v>
      </c>
      <c r="I1862" s="973" t="s">
        <v>1999</v>
      </c>
      <c r="J1862" s="973" t="s">
        <v>697</v>
      </c>
      <c r="K1862" s="973" t="s">
        <v>995</v>
      </c>
      <c r="L1862" s="973" t="s">
        <v>996</v>
      </c>
      <c r="M1862" s="973" t="s">
        <v>2000</v>
      </c>
      <c r="N1862" s="973" t="s">
        <v>2001</v>
      </c>
      <c r="O1862" s="973" t="s">
        <v>1971</v>
      </c>
      <c r="P1862" s="973" t="s">
        <v>999</v>
      </c>
      <c r="Q1862" s="973" t="s">
        <v>1000</v>
      </c>
      <c r="R1862" s="973" t="s">
        <v>1001</v>
      </c>
      <c r="S1862" s="973" t="s">
        <v>1002</v>
      </c>
      <c r="AE1862" s="423" t="str">
        <f t="shared" si="29"/>
        <v/>
      </c>
    </row>
    <row r="1863" spans="4:31" x14ac:dyDescent="0.25">
      <c r="D1863" s="973" t="s">
        <v>990</v>
      </c>
      <c r="E1863" s="973" t="s">
        <v>991</v>
      </c>
      <c r="F1863" s="973" t="s">
        <v>992</v>
      </c>
      <c r="G1863" s="973" t="s">
        <v>1997</v>
      </c>
      <c r="H1863" s="973" t="s">
        <v>1998</v>
      </c>
      <c r="I1863" s="973" t="s">
        <v>1999</v>
      </c>
      <c r="J1863" s="973" t="s">
        <v>697</v>
      </c>
      <c r="K1863" s="973" t="s">
        <v>995</v>
      </c>
      <c r="L1863" s="973" t="s">
        <v>996</v>
      </c>
      <c r="M1863" s="973" t="s">
        <v>2000</v>
      </c>
      <c r="N1863" s="973" t="s">
        <v>2001</v>
      </c>
      <c r="O1863" s="973" t="s">
        <v>1971</v>
      </c>
      <c r="P1863" s="973" t="s">
        <v>999</v>
      </c>
      <c r="Q1863" s="973" t="s">
        <v>1000</v>
      </c>
      <c r="R1863" s="973" t="s">
        <v>1001</v>
      </c>
      <c r="S1863" s="973" t="s">
        <v>1002</v>
      </c>
      <c r="AE1863" s="423" t="str">
        <f t="shared" si="29"/>
        <v/>
      </c>
    </row>
    <row r="1864" spans="4:31" x14ac:dyDescent="0.25">
      <c r="D1864" s="973" t="s">
        <v>990</v>
      </c>
      <c r="E1864" s="973" t="s">
        <v>991</v>
      </c>
      <c r="F1864" s="973" t="s">
        <v>992</v>
      </c>
      <c r="G1864" s="973" t="s">
        <v>1997</v>
      </c>
      <c r="H1864" s="973" t="s">
        <v>1998</v>
      </c>
      <c r="I1864" s="973" t="s">
        <v>1999</v>
      </c>
      <c r="J1864" s="973" t="s">
        <v>697</v>
      </c>
      <c r="K1864" s="973" t="s">
        <v>995</v>
      </c>
      <c r="L1864" s="973" t="s">
        <v>996</v>
      </c>
      <c r="M1864" s="973" t="s">
        <v>2000</v>
      </c>
      <c r="N1864" s="973" t="s">
        <v>2001</v>
      </c>
      <c r="O1864" s="973" t="s">
        <v>1971</v>
      </c>
      <c r="P1864" s="973" t="s">
        <v>999</v>
      </c>
      <c r="Q1864" s="973" t="s">
        <v>1000</v>
      </c>
      <c r="R1864" s="973" t="s">
        <v>1001</v>
      </c>
      <c r="S1864" s="973" t="s">
        <v>1002</v>
      </c>
      <c r="AE1864" s="423" t="str">
        <f t="shared" si="29"/>
        <v/>
      </c>
    </row>
    <row r="1865" spans="4:31" x14ac:dyDescent="0.25">
      <c r="D1865" s="973" t="s">
        <v>990</v>
      </c>
      <c r="E1865" s="973" t="s">
        <v>991</v>
      </c>
      <c r="F1865" s="973" t="s">
        <v>992</v>
      </c>
      <c r="G1865" s="973" t="s">
        <v>1997</v>
      </c>
      <c r="H1865" s="973" t="s">
        <v>1998</v>
      </c>
      <c r="I1865" s="973" t="s">
        <v>1999</v>
      </c>
      <c r="J1865" s="973" t="s">
        <v>697</v>
      </c>
      <c r="K1865" s="973" t="s">
        <v>995</v>
      </c>
      <c r="L1865" s="973" t="s">
        <v>996</v>
      </c>
      <c r="M1865" s="973" t="s">
        <v>2000</v>
      </c>
      <c r="N1865" s="973" t="s">
        <v>2001</v>
      </c>
      <c r="O1865" s="973" t="s">
        <v>1971</v>
      </c>
      <c r="P1865" s="973" t="s">
        <v>999</v>
      </c>
      <c r="Q1865" s="973" t="s">
        <v>1000</v>
      </c>
      <c r="R1865" s="973" t="s">
        <v>1001</v>
      </c>
      <c r="S1865" s="973" t="s">
        <v>1002</v>
      </c>
      <c r="AE1865" s="423" t="str">
        <f t="shared" si="29"/>
        <v/>
      </c>
    </row>
    <row r="1866" spans="4:31" x14ac:dyDescent="0.25">
      <c r="D1866" s="973" t="s">
        <v>990</v>
      </c>
      <c r="E1866" s="973" t="s">
        <v>991</v>
      </c>
      <c r="F1866" s="973" t="s">
        <v>992</v>
      </c>
      <c r="G1866" s="973" t="s">
        <v>1997</v>
      </c>
      <c r="H1866" s="973" t="s">
        <v>1998</v>
      </c>
      <c r="I1866" s="973" t="s">
        <v>1999</v>
      </c>
      <c r="J1866" s="973" t="s">
        <v>697</v>
      </c>
      <c r="K1866" s="973" t="s">
        <v>995</v>
      </c>
      <c r="L1866" s="973" t="s">
        <v>996</v>
      </c>
      <c r="M1866" s="973" t="s">
        <v>2000</v>
      </c>
      <c r="N1866" s="973" t="s">
        <v>2001</v>
      </c>
      <c r="O1866" s="973" t="s">
        <v>1971</v>
      </c>
      <c r="P1866" s="973" t="s">
        <v>999</v>
      </c>
      <c r="Q1866" s="973" t="s">
        <v>1000</v>
      </c>
      <c r="R1866" s="973" t="s">
        <v>1001</v>
      </c>
      <c r="S1866" s="973" t="s">
        <v>1002</v>
      </c>
      <c r="AE1866" s="423" t="str">
        <f t="shared" si="29"/>
        <v/>
      </c>
    </row>
    <row r="1867" spans="4:31" x14ac:dyDescent="0.25">
      <c r="D1867" s="973" t="s">
        <v>990</v>
      </c>
      <c r="E1867" s="973" t="s">
        <v>991</v>
      </c>
      <c r="F1867" s="973" t="s">
        <v>992</v>
      </c>
      <c r="G1867" s="973" t="s">
        <v>1997</v>
      </c>
      <c r="H1867" s="973" t="s">
        <v>1998</v>
      </c>
      <c r="I1867" s="973" t="s">
        <v>1999</v>
      </c>
      <c r="J1867" s="973" t="s">
        <v>697</v>
      </c>
      <c r="K1867" s="973" t="s">
        <v>995</v>
      </c>
      <c r="L1867" s="973" t="s">
        <v>996</v>
      </c>
      <c r="M1867" s="973" t="s">
        <v>2000</v>
      </c>
      <c r="N1867" s="973" t="s">
        <v>2001</v>
      </c>
      <c r="O1867" s="973" t="s">
        <v>1971</v>
      </c>
      <c r="P1867" s="973" t="s">
        <v>999</v>
      </c>
      <c r="Q1867" s="973" t="s">
        <v>1000</v>
      </c>
      <c r="R1867" s="973" t="s">
        <v>1001</v>
      </c>
      <c r="S1867" s="973" t="s">
        <v>1002</v>
      </c>
      <c r="AE1867" s="423" t="str">
        <f t="shared" si="29"/>
        <v/>
      </c>
    </row>
    <row r="1868" spans="4:31" x14ac:dyDescent="0.25">
      <c r="D1868" s="973" t="s">
        <v>990</v>
      </c>
      <c r="E1868" s="973" t="s">
        <v>991</v>
      </c>
      <c r="F1868" s="973" t="s">
        <v>992</v>
      </c>
      <c r="G1868" s="973" t="s">
        <v>1997</v>
      </c>
      <c r="H1868" s="973" t="s">
        <v>1998</v>
      </c>
      <c r="I1868" s="973" t="s">
        <v>1999</v>
      </c>
      <c r="J1868" s="973" t="s">
        <v>697</v>
      </c>
      <c r="K1868" s="973" t="s">
        <v>995</v>
      </c>
      <c r="L1868" s="973" t="s">
        <v>996</v>
      </c>
      <c r="M1868" s="973" t="s">
        <v>2000</v>
      </c>
      <c r="N1868" s="973" t="s">
        <v>2001</v>
      </c>
      <c r="O1868" s="973" t="s">
        <v>1971</v>
      </c>
      <c r="P1868" s="973" t="s">
        <v>999</v>
      </c>
      <c r="Q1868" s="973" t="s">
        <v>1000</v>
      </c>
      <c r="R1868" s="973" t="s">
        <v>1001</v>
      </c>
      <c r="S1868" s="973" t="s">
        <v>1002</v>
      </c>
      <c r="AE1868" s="423" t="str">
        <f t="shared" si="29"/>
        <v/>
      </c>
    </row>
    <row r="1869" spans="4:31" x14ac:dyDescent="0.25">
      <c r="D1869" s="973" t="s">
        <v>990</v>
      </c>
      <c r="E1869" s="973" t="s">
        <v>991</v>
      </c>
      <c r="F1869" s="973" t="s">
        <v>992</v>
      </c>
      <c r="G1869" s="973" t="s">
        <v>1997</v>
      </c>
      <c r="H1869" s="973" t="s">
        <v>1998</v>
      </c>
      <c r="I1869" s="973" t="s">
        <v>1999</v>
      </c>
      <c r="J1869" s="973" t="s">
        <v>697</v>
      </c>
      <c r="K1869" s="973" t="s">
        <v>995</v>
      </c>
      <c r="L1869" s="973" t="s">
        <v>996</v>
      </c>
      <c r="M1869" s="973" t="s">
        <v>2000</v>
      </c>
      <c r="N1869" s="973" t="s">
        <v>2001</v>
      </c>
      <c r="O1869" s="973" t="s">
        <v>1971</v>
      </c>
      <c r="P1869" s="973" t="s">
        <v>999</v>
      </c>
      <c r="Q1869" s="973" t="s">
        <v>1000</v>
      </c>
      <c r="R1869" s="973" t="s">
        <v>1001</v>
      </c>
      <c r="S1869" s="973" t="s">
        <v>1002</v>
      </c>
      <c r="AE1869" s="423" t="str">
        <f t="shared" si="29"/>
        <v/>
      </c>
    </row>
    <row r="1870" spans="4:31" x14ac:dyDescent="0.25">
      <c r="D1870" s="973" t="s">
        <v>990</v>
      </c>
      <c r="E1870" s="973" t="s">
        <v>991</v>
      </c>
      <c r="F1870" s="973" t="s">
        <v>992</v>
      </c>
      <c r="G1870" s="973" t="s">
        <v>1997</v>
      </c>
      <c r="H1870" s="973" t="s">
        <v>1998</v>
      </c>
      <c r="I1870" s="973" t="s">
        <v>1999</v>
      </c>
      <c r="J1870" s="973" t="s">
        <v>697</v>
      </c>
      <c r="K1870" s="973" t="s">
        <v>995</v>
      </c>
      <c r="L1870" s="973" t="s">
        <v>996</v>
      </c>
      <c r="M1870" s="973" t="s">
        <v>2000</v>
      </c>
      <c r="N1870" s="973" t="s">
        <v>2001</v>
      </c>
      <c r="O1870" s="973" t="s">
        <v>1971</v>
      </c>
      <c r="P1870" s="973" t="s">
        <v>999</v>
      </c>
      <c r="Q1870" s="973" t="s">
        <v>1000</v>
      </c>
      <c r="R1870" s="973" t="s">
        <v>1001</v>
      </c>
      <c r="S1870" s="973" t="s">
        <v>1002</v>
      </c>
      <c r="AE1870" s="423" t="str">
        <f t="shared" si="29"/>
        <v/>
      </c>
    </row>
    <row r="1871" spans="4:31" x14ac:dyDescent="0.25">
      <c r="D1871" s="973" t="s">
        <v>990</v>
      </c>
      <c r="E1871" s="973" t="s">
        <v>991</v>
      </c>
      <c r="F1871" s="973" t="s">
        <v>992</v>
      </c>
      <c r="G1871" s="973" t="s">
        <v>1997</v>
      </c>
      <c r="H1871" s="973" t="s">
        <v>1998</v>
      </c>
      <c r="I1871" s="973" t="s">
        <v>1999</v>
      </c>
      <c r="J1871" s="973" t="s">
        <v>697</v>
      </c>
      <c r="K1871" s="973" t="s">
        <v>995</v>
      </c>
      <c r="L1871" s="973" t="s">
        <v>996</v>
      </c>
      <c r="M1871" s="973" t="s">
        <v>2000</v>
      </c>
      <c r="N1871" s="973" t="s">
        <v>2001</v>
      </c>
      <c r="O1871" s="973" t="s">
        <v>1971</v>
      </c>
      <c r="P1871" s="973" t="s">
        <v>999</v>
      </c>
      <c r="Q1871" s="973" t="s">
        <v>1000</v>
      </c>
      <c r="R1871" s="973" t="s">
        <v>1001</v>
      </c>
      <c r="S1871" s="973" t="s">
        <v>1002</v>
      </c>
      <c r="AE1871" s="423" t="str">
        <f t="shared" si="29"/>
        <v/>
      </c>
    </row>
    <row r="1872" spans="4:31" x14ac:dyDescent="0.25">
      <c r="D1872" s="973" t="s">
        <v>990</v>
      </c>
      <c r="E1872" s="973" t="s">
        <v>991</v>
      </c>
      <c r="F1872" s="973" t="s">
        <v>992</v>
      </c>
      <c r="G1872" s="973" t="s">
        <v>1997</v>
      </c>
      <c r="H1872" s="973" t="s">
        <v>1998</v>
      </c>
      <c r="I1872" s="973" t="s">
        <v>1999</v>
      </c>
      <c r="J1872" s="973" t="s">
        <v>697</v>
      </c>
      <c r="K1872" s="973" t="s">
        <v>995</v>
      </c>
      <c r="L1872" s="973" t="s">
        <v>996</v>
      </c>
      <c r="M1872" s="973" t="s">
        <v>2000</v>
      </c>
      <c r="N1872" s="973" t="s">
        <v>2001</v>
      </c>
      <c r="O1872" s="973" t="s">
        <v>1971</v>
      </c>
      <c r="P1872" s="973" t="s">
        <v>999</v>
      </c>
      <c r="Q1872" s="973" t="s">
        <v>1000</v>
      </c>
      <c r="R1872" s="973" t="s">
        <v>1001</v>
      </c>
      <c r="S1872" s="973" t="s">
        <v>1002</v>
      </c>
      <c r="AE1872" s="423" t="str">
        <f t="shared" si="29"/>
        <v/>
      </c>
    </row>
    <row r="1873" spans="4:31" x14ac:dyDescent="0.25">
      <c r="D1873" s="973" t="s">
        <v>990</v>
      </c>
      <c r="E1873" s="973" t="s">
        <v>991</v>
      </c>
      <c r="F1873" s="973" t="s">
        <v>992</v>
      </c>
      <c r="G1873" s="973" t="s">
        <v>1997</v>
      </c>
      <c r="H1873" s="973" t="s">
        <v>1998</v>
      </c>
      <c r="I1873" s="973" t="s">
        <v>1999</v>
      </c>
      <c r="J1873" s="973" t="s">
        <v>697</v>
      </c>
      <c r="K1873" s="973" t="s">
        <v>995</v>
      </c>
      <c r="L1873" s="973" t="s">
        <v>996</v>
      </c>
      <c r="M1873" s="973" t="s">
        <v>2000</v>
      </c>
      <c r="N1873" s="973" t="s">
        <v>2001</v>
      </c>
      <c r="O1873" s="973" t="s">
        <v>1971</v>
      </c>
      <c r="P1873" s="973" t="s">
        <v>999</v>
      </c>
      <c r="Q1873" s="973" t="s">
        <v>1000</v>
      </c>
      <c r="R1873" s="973" t="s">
        <v>1001</v>
      </c>
      <c r="S1873" s="973" t="s">
        <v>1002</v>
      </c>
      <c r="AE1873" s="423" t="str">
        <f t="shared" si="29"/>
        <v/>
      </c>
    </row>
    <row r="1874" spans="4:31" x14ac:dyDescent="0.25">
      <c r="D1874" s="973" t="s">
        <v>990</v>
      </c>
      <c r="E1874" s="973" t="s">
        <v>991</v>
      </c>
      <c r="F1874" s="973" t="s">
        <v>992</v>
      </c>
      <c r="G1874" s="973" t="s">
        <v>1997</v>
      </c>
      <c r="H1874" s="973" t="s">
        <v>1998</v>
      </c>
      <c r="I1874" s="973" t="s">
        <v>1999</v>
      </c>
      <c r="J1874" s="973" t="s">
        <v>697</v>
      </c>
      <c r="K1874" s="973" t="s">
        <v>995</v>
      </c>
      <c r="L1874" s="973" t="s">
        <v>996</v>
      </c>
      <c r="M1874" s="973" t="s">
        <v>2000</v>
      </c>
      <c r="N1874" s="973" t="s">
        <v>2001</v>
      </c>
      <c r="O1874" s="973" t="s">
        <v>1971</v>
      </c>
      <c r="P1874" s="973" t="s">
        <v>999</v>
      </c>
      <c r="Q1874" s="973" t="s">
        <v>1000</v>
      </c>
      <c r="R1874" s="973" t="s">
        <v>1001</v>
      </c>
      <c r="S1874" s="973" t="s">
        <v>1002</v>
      </c>
      <c r="AE1874" s="423" t="str">
        <f t="shared" si="29"/>
        <v/>
      </c>
    </row>
    <row r="1875" spans="4:31" x14ac:dyDescent="0.25">
      <c r="D1875" s="973" t="s">
        <v>990</v>
      </c>
      <c r="E1875" s="973" t="s">
        <v>991</v>
      </c>
      <c r="F1875" s="973" t="s">
        <v>992</v>
      </c>
      <c r="G1875" s="973" t="s">
        <v>1997</v>
      </c>
      <c r="H1875" s="973" t="s">
        <v>1998</v>
      </c>
      <c r="I1875" s="973" t="s">
        <v>1999</v>
      </c>
      <c r="J1875" s="973" t="s">
        <v>697</v>
      </c>
      <c r="K1875" s="973" t="s">
        <v>995</v>
      </c>
      <c r="L1875" s="973" t="s">
        <v>996</v>
      </c>
      <c r="M1875" s="973" t="s">
        <v>2000</v>
      </c>
      <c r="N1875" s="973" t="s">
        <v>2001</v>
      </c>
      <c r="O1875" s="973" t="s">
        <v>1971</v>
      </c>
      <c r="P1875" s="973" t="s">
        <v>999</v>
      </c>
      <c r="Q1875" s="973" t="s">
        <v>1000</v>
      </c>
      <c r="R1875" s="973" t="s">
        <v>1001</v>
      </c>
      <c r="S1875" s="973" t="s">
        <v>1002</v>
      </c>
      <c r="AE1875" s="423" t="str">
        <f t="shared" si="29"/>
        <v/>
      </c>
    </row>
    <row r="1876" spans="4:31" x14ac:dyDescent="0.25">
      <c r="D1876" s="973" t="s">
        <v>990</v>
      </c>
      <c r="E1876" s="973" t="s">
        <v>991</v>
      </c>
      <c r="F1876" s="973" t="s">
        <v>992</v>
      </c>
      <c r="G1876" s="973" t="s">
        <v>1997</v>
      </c>
      <c r="H1876" s="973" t="s">
        <v>1998</v>
      </c>
      <c r="I1876" s="973" t="s">
        <v>1999</v>
      </c>
      <c r="J1876" s="973" t="s">
        <v>697</v>
      </c>
      <c r="K1876" s="973" t="s">
        <v>995</v>
      </c>
      <c r="L1876" s="973" t="s">
        <v>996</v>
      </c>
      <c r="M1876" s="973" t="s">
        <v>2000</v>
      </c>
      <c r="N1876" s="973" t="s">
        <v>2001</v>
      </c>
      <c r="O1876" s="973" t="s">
        <v>1971</v>
      </c>
      <c r="P1876" s="973" t="s">
        <v>999</v>
      </c>
      <c r="Q1876" s="973" t="s">
        <v>1000</v>
      </c>
      <c r="R1876" s="973" t="s">
        <v>1001</v>
      </c>
      <c r="S1876" s="973" t="s">
        <v>1002</v>
      </c>
      <c r="AE1876" s="423" t="str">
        <f t="shared" si="29"/>
        <v/>
      </c>
    </row>
    <row r="1877" spans="4:31" x14ac:dyDescent="0.25">
      <c r="D1877" s="973" t="s">
        <v>990</v>
      </c>
      <c r="E1877" s="973" t="s">
        <v>991</v>
      </c>
      <c r="F1877" s="973" t="s">
        <v>992</v>
      </c>
      <c r="G1877" s="973" t="s">
        <v>1997</v>
      </c>
      <c r="H1877" s="973" t="s">
        <v>1998</v>
      </c>
      <c r="I1877" s="973" t="s">
        <v>1999</v>
      </c>
      <c r="J1877" s="973" t="s">
        <v>697</v>
      </c>
      <c r="K1877" s="973" t="s">
        <v>995</v>
      </c>
      <c r="L1877" s="973" t="s">
        <v>996</v>
      </c>
      <c r="M1877" s="973" t="s">
        <v>2000</v>
      </c>
      <c r="N1877" s="973" t="s">
        <v>2001</v>
      </c>
      <c r="O1877" s="973" t="s">
        <v>1971</v>
      </c>
      <c r="P1877" s="973" t="s">
        <v>999</v>
      </c>
      <c r="Q1877" s="973" t="s">
        <v>1000</v>
      </c>
      <c r="R1877" s="973" t="s">
        <v>1001</v>
      </c>
      <c r="S1877" s="973" t="s">
        <v>1002</v>
      </c>
      <c r="AE1877" s="423" t="str">
        <f t="shared" si="29"/>
        <v/>
      </c>
    </row>
    <row r="1878" spans="4:31" x14ac:dyDescent="0.25">
      <c r="D1878" s="973" t="s">
        <v>990</v>
      </c>
      <c r="E1878" s="973" t="s">
        <v>991</v>
      </c>
      <c r="F1878" s="973" t="s">
        <v>992</v>
      </c>
      <c r="G1878" s="973" t="s">
        <v>1997</v>
      </c>
      <c r="H1878" s="973" t="s">
        <v>1998</v>
      </c>
      <c r="I1878" s="973" t="s">
        <v>1999</v>
      </c>
      <c r="J1878" s="973" t="s">
        <v>697</v>
      </c>
      <c r="K1878" s="973" t="s">
        <v>995</v>
      </c>
      <c r="L1878" s="973" t="s">
        <v>996</v>
      </c>
      <c r="M1878" s="973" t="s">
        <v>2000</v>
      </c>
      <c r="N1878" s="973" t="s">
        <v>2001</v>
      </c>
      <c r="O1878" s="973" t="s">
        <v>1971</v>
      </c>
      <c r="P1878" s="973" t="s">
        <v>999</v>
      </c>
      <c r="Q1878" s="973" t="s">
        <v>1000</v>
      </c>
      <c r="R1878" s="973" t="s">
        <v>1001</v>
      </c>
      <c r="S1878" s="973" t="s">
        <v>1002</v>
      </c>
      <c r="AE1878" s="423" t="str">
        <f t="shared" si="29"/>
        <v/>
      </c>
    </row>
    <row r="1879" spans="4:31" x14ac:dyDescent="0.25">
      <c r="D1879" s="973" t="s">
        <v>990</v>
      </c>
      <c r="E1879" s="973" t="s">
        <v>991</v>
      </c>
      <c r="F1879" s="973" t="s">
        <v>992</v>
      </c>
      <c r="G1879" s="973" t="s">
        <v>1997</v>
      </c>
      <c r="H1879" s="973" t="s">
        <v>1998</v>
      </c>
      <c r="I1879" s="973" t="s">
        <v>1999</v>
      </c>
      <c r="J1879" s="973" t="s">
        <v>697</v>
      </c>
      <c r="K1879" s="973" t="s">
        <v>995</v>
      </c>
      <c r="L1879" s="973" t="s">
        <v>996</v>
      </c>
      <c r="M1879" s="973" t="s">
        <v>2000</v>
      </c>
      <c r="N1879" s="973" t="s">
        <v>2001</v>
      </c>
      <c r="O1879" s="973" t="s">
        <v>1971</v>
      </c>
      <c r="P1879" s="973" t="s">
        <v>999</v>
      </c>
      <c r="Q1879" s="973" t="s">
        <v>1000</v>
      </c>
      <c r="R1879" s="973" t="s">
        <v>1001</v>
      </c>
      <c r="S1879" s="973" t="s">
        <v>1002</v>
      </c>
      <c r="AE1879" s="423" t="str">
        <f t="shared" si="29"/>
        <v/>
      </c>
    </row>
    <row r="1880" spans="4:31" x14ac:dyDescent="0.25">
      <c r="D1880" s="973" t="s">
        <v>990</v>
      </c>
      <c r="E1880" s="973" t="s">
        <v>991</v>
      </c>
      <c r="F1880" s="973" t="s">
        <v>992</v>
      </c>
      <c r="G1880" s="973" t="s">
        <v>1997</v>
      </c>
      <c r="H1880" s="973" t="s">
        <v>1998</v>
      </c>
      <c r="I1880" s="973" t="s">
        <v>1999</v>
      </c>
      <c r="J1880" s="973" t="s">
        <v>697</v>
      </c>
      <c r="K1880" s="973" t="s">
        <v>995</v>
      </c>
      <c r="L1880" s="973" t="s">
        <v>996</v>
      </c>
      <c r="M1880" s="973" t="s">
        <v>2000</v>
      </c>
      <c r="N1880" s="973" t="s">
        <v>2001</v>
      </c>
      <c r="O1880" s="973" t="s">
        <v>1971</v>
      </c>
      <c r="P1880" s="973" t="s">
        <v>999</v>
      </c>
      <c r="Q1880" s="973" t="s">
        <v>1000</v>
      </c>
      <c r="R1880" s="973" t="s">
        <v>1001</v>
      </c>
      <c r="S1880" s="973" t="s">
        <v>1002</v>
      </c>
      <c r="AE1880" s="423" t="str">
        <f t="shared" si="29"/>
        <v/>
      </c>
    </row>
    <row r="1881" spans="4:31" x14ac:dyDescent="0.25">
      <c r="D1881" s="973" t="s">
        <v>990</v>
      </c>
      <c r="E1881" s="973" t="s">
        <v>991</v>
      </c>
      <c r="F1881" s="973" t="s">
        <v>992</v>
      </c>
      <c r="G1881" s="973" t="s">
        <v>1997</v>
      </c>
      <c r="H1881" s="973" t="s">
        <v>1998</v>
      </c>
      <c r="I1881" s="973" t="s">
        <v>1999</v>
      </c>
      <c r="J1881" s="973" t="s">
        <v>697</v>
      </c>
      <c r="K1881" s="973" t="s">
        <v>995</v>
      </c>
      <c r="L1881" s="973" t="s">
        <v>996</v>
      </c>
      <c r="M1881" s="973" t="s">
        <v>2000</v>
      </c>
      <c r="N1881" s="973" t="s">
        <v>2001</v>
      </c>
      <c r="O1881" s="973" t="s">
        <v>1971</v>
      </c>
      <c r="P1881" s="973" t="s">
        <v>999</v>
      </c>
      <c r="Q1881" s="973" t="s">
        <v>1000</v>
      </c>
      <c r="R1881" s="973" t="s">
        <v>1001</v>
      </c>
      <c r="S1881" s="973" t="s">
        <v>1002</v>
      </c>
      <c r="AE1881" s="423" t="str">
        <f t="shared" si="29"/>
        <v/>
      </c>
    </row>
    <row r="1882" spans="4:31" x14ac:dyDescent="0.25">
      <c r="D1882" s="973" t="s">
        <v>990</v>
      </c>
      <c r="E1882" s="973" t="s">
        <v>991</v>
      </c>
      <c r="F1882" s="973" t="s">
        <v>992</v>
      </c>
      <c r="G1882" s="973" t="s">
        <v>1997</v>
      </c>
      <c r="H1882" s="973" t="s">
        <v>1998</v>
      </c>
      <c r="I1882" s="973" t="s">
        <v>1999</v>
      </c>
      <c r="J1882" s="973" t="s">
        <v>697</v>
      </c>
      <c r="K1882" s="973" t="s">
        <v>995</v>
      </c>
      <c r="L1882" s="973" t="s">
        <v>996</v>
      </c>
      <c r="M1882" s="973" t="s">
        <v>2000</v>
      </c>
      <c r="N1882" s="973" t="s">
        <v>2001</v>
      </c>
      <c r="O1882" s="973" t="s">
        <v>1971</v>
      </c>
      <c r="P1882" s="973" t="s">
        <v>999</v>
      </c>
      <c r="Q1882" s="973" t="s">
        <v>1000</v>
      </c>
      <c r="R1882" s="973" t="s">
        <v>1001</v>
      </c>
      <c r="S1882" s="973" t="s">
        <v>1002</v>
      </c>
      <c r="AE1882" s="423" t="str">
        <f t="shared" si="29"/>
        <v/>
      </c>
    </row>
    <row r="1883" spans="4:31" x14ac:dyDescent="0.25">
      <c r="D1883" s="973" t="s">
        <v>990</v>
      </c>
      <c r="E1883" s="973" t="s">
        <v>991</v>
      </c>
      <c r="F1883" s="973" t="s">
        <v>992</v>
      </c>
      <c r="G1883" s="973" t="s">
        <v>1997</v>
      </c>
      <c r="H1883" s="973" t="s">
        <v>1998</v>
      </c>
      <c r="I1883" s="973" t="s">
        <v>1999</v>
      </c>
      <c r="J1883" s="973" t="s">
        <v>697</v>
      </c>
      <c r="K1883" s="973" t="s">
        <v>995</v>
      </c>
      <c r="L1883" s="973" t="s">
        <v>996</v>
      </c>
      <c r="M1883" s="973" t="s">
        <v>2000</v>
      </c>
      <c r="N1883" s="973" t="s">
        <v>2001</v>
      </c>
      <c r="O1883" s="973" t="s">
        <v>1971</v>
      </c>
      <c r="P1883" s="973" t="s">
        <v>999</v>
      </c>
      <c r="Q1883" s="973" t="s">
        <v>1000</v>
      </c>
      <c r="R1883" s="973" t="s">
        <v>1001</v>
      </c>
      <c r="S1883" s="973" t="s">
        <v>1002</v>
      </c>
      <c r="AE1883" s="423" t="str">
        <f t="shared" si="29"/>
        <v/>
      </c>
    </row>
    <row r="1884" spans="4:31" x14ac:dyDescent="0.25">
      <c r="D1884" s="973" t="s">
        <v>990</v>
      </c>
      <c r="E1884" s="973" t="s">
        <v>991</v>
      </c>
      <c r="F1884" s="973" t="s">
        <v>992</v>
      </c>
      <c r="G1884" s="973" t="s">
        <v>1997</v>
      </c>
      <c r="H1884" s="973" t="s">
        <v>1998</v>
      </c>
      <c r="I1884" s="973" t="s">
        <v>1999</v>
      </c>
      <c r="J1884" s="973" t="s">
        <v>697</v>
      </c>
      <c r="K1884" s="973" t="s">
        <v>995</v>
      </c>
      <c r="L1884" s="973" t="s">
        <v>996</v>
      </c>
      <c r="M1884" s="973" t="s">
        <v>2000</v>
      </c>
      <c r="N1884" s="973" t="s">
        <v>2001</v>
      </c>
      <c r="O1884" s="973" t="s">
        <v>1971</v>
      </c>
      <c r="P1884" s="973" t="s">
        <v>999</v>
      </c>
      <c r="Q1884" s="973" t="s">
        <v>1000</v>
      </c>
      <c r="R1884" s="973" t="s">
        <v>1001</v>
      </c>
      <c r="S1884" s="973" t="s">
        <v>1002</v>
      </c>
      <c r="AE1884" s="423" t="str">
        <f t="shared" si="29"/>
        <v/>
      </c>
    </row>
    <row r="1885" spans="4:31" x14ac:dyDescent="0.25">
      <c r="D1885" s="973" t="s">
        <v>990</v>
      </c>
      <c r="E1885" s="973" t="s">
        <v>991</v>
      </c>
      <c r="F1885" s="973" t="s">
        <v>992</v>
      </c>
      <c r="G1885" s="973" t="s">
        <v>1997</v>
      </c>
      <c r="H1885" s="973" t="s">
        <v>1998</v>
      </c>
      <c r="I1885" s="973" t="s">
        <v>1999</v>
      </c>
      <c r="J1885" s="973" t="s">
        <v>697</v>
      </c>
      <c r="K1885" s="973" t="s">
        <v>995</v>
      </c>
      <c r="L1885" s="973" t="s">
        <v>996</v>
      </c>
      <c r="M1885" s="973" t="s">
        <v>2000</v>
      </c>
      <c r="N1885" s="973" t="s">
        <v>2001</v>
      </c>
      <c r="O1885" s="973" t="s">
        <v>1971</v>
      </c>
      <c r="P1885" s="973" t="s">
        <v>999</v>
      </c>
      <c r="Q1885" s="973" t="s">
        <v>1000</v>
      </c>
      <c r="R1885" s="973" t="s">
        <v>1001</v>
      </c>
      <c r="S1885" s="973" t="s">
        <v>1002</v>
      </c>
      <c r="AE1885" s="423" t="str">
        <f t="shared" si="29"/>
        <v/>
      </c>
    </row>
    <row r="1886" spans="4:31" x14ac:dyDescent="0.25">
      <c r="D1886" s="973" t="s">
        <v>990</v>
      </c>
      <c r="E1886" s="973" t="s">
        <v>991</v>
      </c>
      <c r="F1886" s="973" t="s">
        <v>992</v>
      </c>
      <c r="G1886" s="973" t="s">
        <v>1997</v>
      </c>
      <c r="H1886" s="973" t="s">
        <v>1998</v>
      </c>
      <c r="I1886" s="973" t="s">
        <v>1999</v>
      </c>
      <c r="J1886" s="973" t="s">
        <v>697</v>
      </c>
      <c r="K1886" s="973" t="s">
        <v>995</v>
      </c>
      <c r="L1886" s="973" t="s">
        <v>996</v>
      </c>
      <c r="M1886" s="973" t="s">
        <v>2000</v>
      </c>
      <c r="N1886" s="973" t="s">
        <v>2001</v>
      </c>
      <c r="O1886" s="973" t="s">
        <v>1971</v>
      </c>
      <c r="P1886" s="973" t="s">
        <v>999</v>
      </c>
      <c r="Q1886" s="973" t="s">
        <v>1000</v>
      </c>
      <c r="R1886" s="973" t="s">
        <v>1001</v>
      </c>
      <c r="S1886" s="973" t="s">
        <v>1002</v>
      </c>
      <c r="AE1886" s="423" t="str">
        <f t="shared" si="29"/>
        <v/>
      </c>
    </row>
    <row r="1887" spans="4:31" x14ac:dyDescent="0.25">
      <c r="D1887" s="973" t="s">
        <v>990</v>
      </c>
      <c r="E1887" s="973" t="s">
        <v>991</v>
      </c>
      <c r="F1887" s="973" t="s">
        <v>992</v>
      </c>
      <c r="G1887" s="973" t="s">
        <v>1997</v>
      </c>
      <c r="H1887" s="973" t="s">
        <v>1998</v>
      </c>
      <c r="I1887" s="973" t="s">
        <v>1999</v>
      </c>
      <c r="J1887" s="973" t="s">
        <v>697</v>
      </c>
      <c r="K1887" s="973" t="s">
        <v>995</v>
      </c>
      <c r="L1887" s="973" t="s">
        <v>996</v>
      </c>
      <c r="M1887" s="973" t="s">
        <v>2000</v>
      </c>
      <c r="N1887" s="973" t="s">
        <v>2001</v>
      </c>
      <c r="O1887" s="973" t="s">
        <v>1971</v>
      </c>
      <c r="P1887" s="973" t="s">
        <v>999</v>
      </c>
      <c r="Q1887" s="973" t="s">
        <v>1000</v>
      </c>
      <c r="R1887" s="973" t="s">
        <v>1001</v>
      </c>
      <c r="S1887" s="973" t="s">
        <v>1002</v>
      </c>
      <c r="AE1887" s="423" t="str">
        <f t="shared" si="29"/>
        <v/>
      </c>
    </row>
    <row r="1888" spans="4:31" x14ac:dyDescent="0.25">
      <c r="D1888" s="973" t="s">
        <v>990</v>
      </c>
      <c r="E1888" s="973" t="s">
        <v>991</v>
      </c>
      <c r="F1888" s="973" t="s">
        <v>992</v>
      </c>
      <c r="G1888" s="973" t="s">
        <v>1997</v>
      </c>
      <c r="H1888" s="973" t="s">
        <v>1998</v>
      </c>
      <c r="I1888" s="973" t="s">
        <v>1999</v>
      </c>
      <c r="J1888" s="973" t="s">
        <v>697</v>
      </c>
      <c r="K1888" s="973" t="s">
        <v>995</v>
      </c>
      <c r="L1888" s="973" t="s">
        <v>996</v>
      </c>
      <c r="M1888" s="973" t="s">
        <v>2000</v>
      </c>
      <c r="N1888" s="973" t="s">
        <v>2001</v>
      </c>
      <c r="O1888" s="973" t="s">
        <v>1971</v>
      </c>
      <c r="P1888" s="973" t="s">
        <v>999</v>
      </c>
      <c r="Q1888" s="973" t="s">
        <v>1000</v>
      </c>
      <c r="R1888" s="973" t="s">
        <v>1001</v>
      </c>
      <c r="S1888" s="973" t="s">
        <v>1002</v>
      </c>
      <c r="AE1888" s="423" t="str">
        <f t="shared" si="29"/>
        <v/>
      </c>
    </row>
    <row r="1889" spans="4:31" x14ac:dyDescent="0.25">
      <c r="D1889" s="973" t="s">
        <v>990</v>
      </c>
      <c r="E1889" s="973" t="s">
        <v>991</v>
      </c>
      <c r="F1889" s="973" t="s">
        <v>992</v>
      </c>
      <c r="G1889" s="973" t="s">
        <v>1997</v>
      </c>
      <c r="H1889" s="973" t="s">
        <v>1998</v>
      </c>
      <c r="I1889" s="973" t="s">
        <v>1999</v>
      </c>
      <c r="J1889" s="973" t="s">
        <v>697</v>
      </c>
      <c r="K1889" s="973" t="s">
        <v>995</v>
      </c>
      <c r="L1889" s="973" t="s">
        <v>996</v>
      </c>
      <c r="M1889" s="973" t="s">
        <v>2000</v>
      </c>
      <c r="N1889" s="973" t="s">
        <v>2001</v>
      </c>
      <c r="O1889" s="973" t="s">
        <v>1971</v>
      </c>
      <c r="P1889" s="973" t="s">
        <v>999</v>
      </c>
      <c r="Q1889" s="973" t="s">
        <v>1000</v>
      </c>
      <c r="R1889" s="973" t="s">
        <v>1001</v>
      </c>
      <c r="S1889" s="973" t="s">
        <v>1002</v>
      </c>
      <c r="AE1889" s="423" t="str">
        <f t="shared" si="29"/>
        <v/>
      </c>
    </row>
    <row r="1890" spans="4:31" x14ac:dyDescent="0.25">
      <c r="D1890" s="973" t="s">
        <v>990</v>
      </c>
      <c r="E1890" s="973" t="s">
        <v>991</v>
      </c>
      <c r="F1890" s="973" t="s">
        <v>992</v>
      </c>
      <c r="G1890" s="973" t="s">
        <v>1997</v>
      </c>
      <c r="H1890" s="973" t="s">
        <v>1998</v>
      </c>
      <c r="I1890" s="973" t="s">
        <v>1999</v>
      </c>
      <c r="J1890" s="973" t="s">
        <v>697</v>
      </c>
      <c r="K1890" s="973" t="s">
        <v>995</v>
      </c>
      <c r="L1890" s="973" t="s">
        <v>996</v>
      </c>
      <c r="M1890" s="973" t="s">
        <v>2000</v>
      </c>
      <c r="N1890" s="973" t="s">
        <v>2001</v>
      </c>
      <c r="O1890" s="973" t="s">
        <v>1971</v>
      </c>
      <c r="P1890" s="973" t="s">
        <v>999</v>
      </c>
      <c r="Q1890" s="973" t="s">
        <v>1000</v>
      </c>
      <c r="R1890" s="973" t="s">
        <v>1001</v>
      </c>
      <c r="S1890" s="973" t="s">
        <v>1002</v>
      </c>
      <c r="AE1890" s="423" t="str">
        <f t="shared" si="29"/>
        <v/>
      </c>
    </row>
    <row r="1891" spans="4:31" x14ac:dyDescent="0.25">
      <c r="D1891" s="973" t="s">
        <v>990</v>
      </c>
      <c r="E1891" s="973" t="s">
        <v>991</v>
      </c>
      <c r="F1891" s="973" t="s">
        <v>992</v>
      </c>
      <c r="G1891" s="973" t="s">
        <v>1997</v>
      </c>
      <c r="H1891" s="973" t="s">
        <v>1998</v>
      </c>
      <c r="I1891" s="973" t="s">
        <v>1999</v>
      </c>
      <c r="J1891" s="973" t="s">
        <v>697</v>
      </c>
      <c r="K1891" s="973" t="s">
        <v>995</v>
      </c>
      <c r="L1891" s="973" t="s">
        <v>996</v>
      </c>
      <c r="M1891" s="973" t="s">
        <v>2000</v>
      </c>
      <c r="N1891" s="973" t="s">
        <v>2001</v>
      </c>
      <c r="O1891" s="973" t="s">
        <v>1971</v>
      </c>
      <c r="P1891" s="973" t="s">
        <v>999</v>
      </c>
      <c r="Q1891" s="973" t="s">
        <v>1000</v>
      </c>
      <c r="R1891" s="973" t="s">
        <v>1001</v>
      </c>
      <c r="S1891" s="973" t="s">
        <v>1002</v>
      </c>
      <c r="AE1891" s="423" t="str">
        <f t="shared" si="29"/>
        <v/>
      </c>
    </row>
    <row r="1892" spans="4:31" x14ac:dyDescent="0.25">
      <c r="D1892" s="973" t="s">
        <v>990</v>
      </c>
      <c r="E1892" s="973" t="s">
        <v>991</v>
      </c>
      <c r="F1892" s="973" t="s">
        <v>992</v>
      </c>
      <c r="G1892" s="973" t="s">
        <v>1997</v>
      </c>
      <c r="H1892" s="973" t="s">
        <v>1998</v>
      </c>
      <c r="I1892" s="973" t="s">
        <v>1999</v>
      </c>
      <c r="J1892" s="973" t="s">
        <v>697</v>
      </c>
      <c r="K1892" s="973" t="s">
        <v>995</v>
      </c>
      <c r="L1892" s="973" t="s">
        <v>996</v>
      </c>
      <c r="M1892" s="973" t="s">
        <v>2000</v>
      </c>
      <c r="N1892" s="973" t="s">
        <v>2001</v>
      </c>
      <c r="O1892" s="973" t="s">
        <v>1971</v>
      </c>
      <c r="P1892" s="973" t="s">
        <v>999</v>
      </c>
      <c r="Q1892" s="973" t="s">
        <v>1000</v>
      </c>
      <c r="R1892" s="973" t="s">
        <v>1001</v>
      </c>
      <c r="S1892" s="973" t="s">
        <v>1002</v>
      </c>
      <c r="AE1892" s="423" t="str">
        <f t="shared" si="29"/>
        <v/>
      </c>
    </row>
    <row r="1893" spans="4:31" x14ac:dyDescent="0.25">
      <c r="D1893" s="973" t="s">
        <v>990</v>
      </c>
      <c r="E1893" s="973" t="s">
        <v>991</v>
      </c>
      <c r="F1893" s="973" t="s">
        <v>992</v>
      </c>
      <c r="G1893" s="973" t="s">
        <v>1997</v>
      </c>
      <c r="H1893" s="973" t="s">
        <v>1998</v>
      </c>
      <c r="I1893" s="973" t="s">
        <v>1999</v>
      </c>
      <c r="J1893" s="973" t="s">
        <v>697</v>
      </c>
      <c r="K1893" s="973" t="s">
        <v>995</v>
      </c>
      <c r="L1893" s="973" t="s">
        <v>996</v>
      </c>
      <c r="M1893" s="973" t="s">
        <v>2000</v>
      </c>
      <c r="N1893" s="973" t="s">
        <v>2001</v>
      </c>
      <c r="O1893" s="973" t="s">
        <v>1971</v>
      </c>
      <c r="P1893" s="973" t="s">
        <v>999</v>
      </c>
      <c r="Q1893" s="973" t="s">
        <v>1000</v>
      </c>
      <c r="R1893" s="973" t="s">
        <v>1001</v>
      </c>
      <c r="S1893" s="973" t="s">
        <v>1002</v>
      </c>
      <c r="AE1893" s="423" t="str">
        <f t="shared" si="29"/>
        <v/>
      </c>
    </row>
    <row r="1894" spans="4:31" x14ac:dyDescent="0.25">
      <c r="D1894" s="973" t="s">
        <v>990</v>
      </c>
      <c r="E1894" s="973" t="s">
        <v>991</v>
      </c>
      <c r="F1894" s="973" t="s">
        <v>992</v>
      </c>
      <c r="G1894" s="973" t="s">
        <v>1997</v>
      </c>
      <c r="H1894" s="973" t="s">
        <v>1998</v>
      </c>
      <c r="I1894" s="973" t="s">
        <v>1999</v>
      </c>
      <c r="J1894" s="973" t="s">
        <v>697</v>
      </c>
      <c r="K1894" s="973" t="s">
        <v>995</v>
      </c>
      <c r="L1894" s="973" t="s">
        <v>996</v>
      </c>
      <c r="M1894" s="973" t="s">
        <v>2000</v>
      </c>
      <c r="N1894" s="973" t="s">
        <v>2001</v>
      </c>
      <c r="O1894" s="973" t="s">
        <v>1971</v>
      </c>
      <c r="P1894" s="973" t="s">
        <v>999</v>
      </c>
      <c r="Q1894" s="973" t="s">
        <v>1000</v>
      </c>
      <c r="R1894" s="973" t="s">
        <v>1001</v>
      </c>
      <c r="S1894" s="973" t="s">
        <v>1002</v>
      </c>
      <c r="AE1894" s="423" t="str">
        <f t="shared" si="29"/>
        <v/>
      </c>
    </row>
    <row r="1895" spans="4:31" x14ac:dyDescent="0.25">
      <c r="D1895" s="973" t="s">
        <v>990</v>
      </c>
      <c r="E1895" s="973" t="s">
        <v>991</v>
      </c>
      <c r="F1895" s="973" t="s">
        <v>992</v>
      </c>
      <c r="G1895" s="973" t="s">
        <v>1997</v>
      </c>
      <c r="H1895" s="973" t="s">
        <v>1998</v>
      </c>
      <c r="I1895" s="973" t="s">
        <v>1999</v>
      </c>
      <c r="J1895" s="973" t="s">
        <v>697</v>
      </c>
      <c r="K1895" s="973" t="s">
        <v>995</v>
      </c>
      <c r="L1895" s="973" t="s">
        <v>996</v>
      </c>
      <c r="M1895" s="973" t="s">
        <v>2000</v>
      </c>
      <c r="N1895" s="973" t="s">
        <v>2001</v>
      </c>
      <c r="O1895" s="973" t="s">
        <v>1971</v>
      </c>
      <c r="P1895" s="973" t="s">
        <v>999</v>
      </c>
      <c r="Q1895" s="973" t="s">
        <v>1000</v>
      </c>
      <c r="R1895" s="973" t="s">
        <v>1001</v>
      </c>
      <c r="S1895" s="973" t="s">
        <v>1002</v>
      </c>
      <c r="AE1895" s="423" t="str">
        <f t="shared" si="29"/>
        <v/>
      </c>
    </row>
    <row r="1896" spans="4:31" x14ac:dyDescent="0.25">
      <c r="D1896" s="973" t="s">
        <v>990</v>
      </c>
      <c r="E1896" s="973" t="s">
        <v>991</v>
      </c>
      <c r="F1896" s="973" t="s">
        <v>992</v>
      </c>
      <c r="G1896" s="973" t="s">
        <v>1997</v>
      </c>
      <c r="H1896" s="973" t="s">
        <v>1998</v>
      </c>
      <c r="I1896" s="973" t="s">
        <v>1999</v>
      </c>
      <c r="J1896" s="973" t="s">
        <v>697</v>
      </c>
      <c r="K1896" s="973" t="s">
        <v>995</v>
      </c>
      <c r="L1896" s="973" t="s">
        <v>996</v>
      </c>
      <c r="M1896" s="973" t="s">
        <v>2000</v>
      </c>
      <c r="N1896" s="973" t="s">
        <v>2001</v>
      </c>
      <c r="O1896" s="973" t="s">
        <v>1971</v>
      </c>
      <c r="P1896" s="973" t="s">
        <v>999</v>
      </c>
      <c r="Q1896" s="973" t="s">
        <v>1000</v>
      </c>
      <c r="R1896" s="973" t="s">
        <v>1001</v>
      </c>
      <c r="S1896" s="973" t="s">
        <v>1002</v>
      </c>
      <c r="AE1896" s="423" t="str">
        <f t="shared" si="29"/>
        <v/>
      </c>
    </row>
    <row r="1897" spans="4:31" x14ac:dyDescent="0.25">
      <c r="D1897" s="973" t="s">
        <v>990</v>
      </c>
      <c r="E1897" s="973" t="s">
        <v>991</v>
      </c>
      <c r="F1897" s="973" t="s">
        <v>992</v>
      </c>
      <c r="G1897" s="973" t="s">
        <v>1997</v>
      </c>
      <c r="H1897" s="973" t="s">
        <v>1998</v>
      </c>
      <c r="I1897" s="973" t="s">
        <v>1999</v>
      </c>
      <c r="J1897" s="973" t="s">
        <v>697</v>
      </c>
      <c r="K1897" s="973" t="s">
        <v>995</v>
      </c>
      <c r="L1897" s="973" t="s">
        <v>996</v>
      </c>
      <c r="M1897" s="973" t="s">
        <v>2000</v>
      </c>
      <c r="N1897" s="973" t="s">
        <v>2001</v>
      </c>
      <c r="O1897" s="973" t="s">
        <v>1971</v>
      </c>
      <c r="P1897" s="973" t="s">
        <v>999</v>
      </c>
      <c r="Q1897" s="973" t="s">
        <v>1000</v>
      </c>
      <c r="R1897" s="973" t="s">
        <v>1001</v>
      </c>
      <c r="S1897" s="973" t="s">
        <v>1002</v>
      </c>
      <c r="AE1897" s="423" t="str">
        <f t="shared" si="29"/>
        <v/>
      </c>
    </row>
    <row r="1898" spans="4:31" x14ac:dyDescent="0.25">
      <c r="D1898" s="973" t="s">
        <v>990</v>
      </c>
      <c r="E1898" s="973" t="s">
        <v>991</v>
      </c>
      <c r="F1898" s="973" t="s">
        <v>992</v>
      </c>
      <c r="G1898" s="973" t="s">
        <v>1997</v>
      </c>
      <c r="H1898" s="973" t="s">
        <v>1998</v>
      </c>
      <c r="I1898" s="973" t="s">
        <v>1999</v>
      </c>
      <c r="J1898" s="973" t="s">
        <v>697</v>
      </c>
      <c r="K1898" s="973" t="s">
        <v>995</v>
      </c>
      <c r="L1898" s="973" t="s">
        <v>996</v>
      </c>
      <c r="M1898" s="973" t="s">
        <v>2000</v>
      </c>
      <c r="N1898" s="973" t="s">
        <v>2001</v>
      </c>
      <c r="O1898" s="973" t="s">
        <v>1971</v>
      </c>
      <c r="P1898" s="973" t="s">
        <v>999</v>
      </c>
      <c r="Q1898" s="973" t="s">
        <v>1000</v>
      </c>
      <c r="R1898" s="973" t="s">
        <v>1001</v>
      </c>
      <c r="S1898" s="973" t="s">
        <v>1002</v>
      </c>
      <c r="AE1898" s="423" t="str">
        <f t="shared" si="29"/>
        <v/>
      </c>
    </row>
    <row r="1899" spans="4:31" x14ac:dyDescent="0.25">
      <c r="D1899" s="973" t="s">
        <v>990</v>
      </c>
      <c r="E1899" s="973" t="s">
        <v>991</v>
      </c>
      <c r="F1899" s="973" t="s">
        <v>992</v>
      </c>
      <c r="G1899" s="973" t="s">
        <v>1997</v>
      </c>
      <c r="H1899" s="973" t="s">
        <v>1998</v>
      </c>
      <c r="I1899" s="973" t="s">
        <v>1999</v>
      </c>
      <c r="J1899" s="973" t="s">
        <v>697</v>
      </c>
      <c r="K1899" s="973" t="s">
        <v>995</v>
      </c>
      <c r="L1899" s="973" t="s">
        <v>996</v>
      </c>
      <c r="M1899" s="973" t="s">
        <v>2000</v>
      </c>
      <c r="N1899" s="973" t="s">
        <v>2001</v>
      </c>
      <c r="O1899" s="973" t="s">
        <v>1971</v>
      </c>
      <c r="P1899" s="973" t="s">
        <v>999</v>
      </c>
      <c r="Q1899" s="973" t="s">
        <v>1000</v>
      </c>
      <c r="R1899" s="973" t="s">
        <v>1001</v>
      </c>
      <c r="S1899" s="973" t="s">
        <v>1002</v>
      </c>
      <c r="AE1899" s="423" t="str">
        <f t="shared" si="29"/>
        <v/>
      </c>
    </row>
    <row r="1900" spans="4:31" x14ac:dyDescent="0.25">
      <c r="D1900" s="973" t="s">
        <v>990</v>
      </c>
      <c r="E1900" s="973" t="s">
        <v>991</v>
      </c>
      <c r="F1900" s="973" t="s">
        <v>992</v>
      </c>
      <c r="G1900" s="973" t="s">
        <v>1997</v>
      </c>
      <c r="H1900" s="973" t="s">
        <v>1998</v>
      </c>
      <c r="I1900" s="973" t="s">
        <v>1999</v>
      </c>
      <c r="J1900" s="973" t="s">
        <v>697</v>
      </c>
      <c r="K1900" s="973" t="s">
        <v>995</v>
      </c>
      <c r="L1900" s="973" t="s">
        <v>996</v>
      </c>
      <c r="M1900" s="973" t="s">
        <v>2000</v>
      </c>
      <c r="N1900" s="973" t="s">
        <v>2001</v>
      </c>
      <c r="O1900" s="973" t="s">
        <v>1971</v>
      </c>
      <c r="P1900" s="973" t="s">
        <v>999</v>
      </c>
      <c r="Q1900" s="973" t="s">
        <v>1000</v>
      </c>
      <c r="R1900" s="973" t="s">
        <v>1001</v>
      </c>
      <c r="S1900" s="973" t="s">
        <v>1002</v>
      </c>
      <c r="AE1900" s="423" t="str">
        <f t="shared" si="29"/>
        <v/>
      </c>
    </row>
    <row r="1901" spans="4:31" x14ac:dyDescent="0.25">
      <c r="D1901" s="973" t="s">
        <v>990</v>
      </c>
      <c r="E1901" s="973" t="s">
        <v>991</v>
      </c>
      <c r="F1901" s="973" t="s">
        <v>992</v>
      </c>
      <c r="G1901" s="973" t="s">
        <v>1997</v>
      </c>
      <c r="H1901" s="973" t="s">
        <v>1998</v>
      </c>
      <c r="I1901" s="973" t="s">
        <v>1999</v>
      </c>
      <c r="J1901" s="973" t="s">
        <v>697</v>
      </c>
      <c r="K1901" s="973" t="s">
        <v>995</v>
      </c>
      <c r="L1901" s="973" t="s">
        <v>996</v>
      </c>
      <c r="M1901" s="973" t="s">
        <v>2000</v>
      </c>
      <c r="N1901" s="973" t="s">
        <v>2001</v>
      </c>
      <c r="O1901" s="973" t="s">
        <v>1971</v>
      </c>
      <c r="P1901" s="973" t="s">
        <v>999</v>
      </c>
      <c r="Q1901" s="973" t="s">
        <v>1000</v>
      </c>
      <c r="R1901" s="973" t="s">
        <v>1001</v>
      </c>
      <c r="S1901" s="973" t="s">
        <v>1002</v>
      </c>
      <c r="AE1901" s="423" t="str">
        <f t="shared" si="29"/>
        <v/>
      </c>
    </row>
    <row r="1902" spans="4:31" x14ac:dyDescent="0.25">
      <c r="D1902" s="973" t="s">
        <v>990</v>
      </c>
      <c r="E1902" s="973" t="s">
        <v>991</v>
      </c>
      <c r="F1902" s="973" t="s">
        <v>992</v>
      </c>
      <c r="G1902" s="973" t="s">
        <v>1997</v>
      </c>
      <c r="H1902" s="973" t="s">
        <v>1998</v>
      </c>
      <c r="I1902" s="973" t="s">
        <v>1999</v>
      </c>
      <c r="J1902" s="973" t="s">
        <v>697</v>
      </c>
      <c r="K1902" s="973" t="s">
        <v>995</v>
      </c>
      <c r="L1902" s="973" t="s">
        <v>996</v>
      </c>
      <c r="M1902" s="973" t="s">
        <v>2000</v>
      </c>
      <c r="N1902" s="973" t="s">
        <v>2001</v>
      </c>
      <c r="O1902" s="973" t="s">
        <v>1971</v>
      </c>
      <c r="P1902" s="973" t="s">
        <v>999</v>
      </c>
      <c r="Q1902" s="973" t="s">
        <v>1000</v>
      </c>
      <c r="R1902" s="973" t="s">
        <v>1001</v>
      </c>
      <c r="S1902" s="973" t="s">
        <v>1002</v>
      </c>
      <c r="AE1902" s="423" t="str">
        <f t="shared" si="29"/>
        <v/>
      </c>
    </row>
    <row r="1903" spans="4:31" x14ac:dyDescent="0.25">
      <c r="D1903" s="973" t="s">
        <v>990</v>
      </c>
      <c r="E1903" s="973" t="s">
        <v>991</v>
      </c>
      <c r="F1903" s="973" t="s">
        <v>992</v>
      </c>
      <c r="G1903" s="973" t="s">
        <v>1997</v>
      </c>
      <c r="H1903" s="973" t="s">
        <v>1998</v>
      </c>
      <c r="I1903" s="973" t="s">
        <v>1999</v>
      </c>
      <c r="J1903" s="973" t="s">
        <v>697</v>
      </c>
      <c r="K1903" s="973" t="s">
        <v>995</v>
      </c>
      <c r="L1903" s="973" t="s">
        <v>996</v>
      </c>
      <c r="M1903" s="973" t="s">
        <v>2000</v>
      </c>
      <c r="N1903" s="973" t="s">
        <v>2001</v>
      </c>
      <c r="O1903" s="973" t="s">
        <v>1971</v>
      </c>
      <c r="P1903" s="973" t="s">
        <v>999</v>
      </c>
      <c r="Q1903" s="973" t="s">
        <v>1000</v>
      </c>
      <c r="R1903" s="973" t="s">
        <v>1001</v>
      </c>
      <c r="S1903" s="973" t="s">
        <v>1002</v>
      </c>
      <c r="AE1903" s="423" t="str">
        <f t="shared" si="29"/>
        <v/>
      </c>
    </row>
    <row r="1904" spans="4:31" x14ac:dyDescent="0.25">
      <c r="D1904" s="973" t="s">
        <v>990</v>
      </c>
      <c r="E1904" s="973" t="s">
        <v>991</v>
      </c>
      <c r="F1904" s="973" t="s">
        <v>992</v>
      </c>
      <c r="G1904" s="973" t="s">
        <v>1997</v>
      </c>
      <c r="H1904" s="973" t="s">
        <v>1998</v>
      </c>
      <c r="I1904" s="973" t="s">
        <v>1999</v>
      </c>
      <c r="J1904" s="973" t="s">
        <v>697</v>
      </c>
      <c r="K1904" s="973" t="s">
        <v>995</v>
      </c>
      <c r="L1904" s="973" t="s">
        <v>996</v>
      </c>
      <c r="M1904" s="973" t="s">
        <v>2000</v>
      </c>
      <c r="N1904" s="973" t="s">
        <v>2001</v>
      </c>
      <c r="O1904" s="973" t="s">
        <v>1971</v>
      </c>
      <c r="P1904" s="973" t="s">
        <v>999</v>
      </c>
      <c r="Q1904" s="973" t="s">
        <v>1000</v>
      </c>
      <c r="R1904" s="973" t="s">
        <v>1001</v>
      </c>
      <c r="S1904" s="973" t="s">
        <v>1002</v>
      </c>
      <c r="AE1904" s="423" t="str">
        <f t="shared" si="29"/>
        <v/>
      </c>
    </row>
    <row r="1905" spans="4:31" x14ac:dyDescent="0.25">
      <c r="D1905" s="973" t="s">
        <v>990</v>
      </c>
      <c r="E1905" s="973" t="s">
        <v>991</v>
      </c>
      <c r="F1905" s="973" t="s">
        <v>992</v>
      </c>
      <c r="G1905" s="973" t="s">
        <v>1997</v>
      </c>
      <c r="H1905" s="973" t="s">
        <v>1998</v>
      </c>
      <c r="I1905" s="973" t="s">
        <v>1999</v>
      </c>
      <c r="J1905" s="973" t="s">
        <v>697</v>
      </c>
      <c r="K1905" s="973" t="s">
        <v>995</v>
      </c>
      <c r="L1905" s="973" t="s">
        <v>996</v>
      </c>
      <c r="M1905" s="973" t="s">
        <v>2000</v>
      </c>
      <c r="N1905" s="973" t="s">
        <v>2001</v>
      </c>
      <c r="O1905" s="973" t="s">
        <v>1971</v>
      </c>
      <c r="P1905" s="973" t="s">
        <v>999</v>
      </c>
      <c r="Q1905" s="973" t="s">
        <v>1000</v>
      </c>
      <c r="R1905" s="973" t="s">
        <v>1001</v>
      </c>
      <c r="S1905" s="973" t="s">
        <v>1002</v>
      </c>
      <c r="AE1905" s="423" t="str">
        <f t="shared" si="29"/>
        <v/>
      </c>
    </row>
    <row r="1906" spans="4:31" x14ac:dyDescent="0.25">
      <c r="D1906" s="973" t="s">
        <v>990</v>
      </c>
      <c r="E1906" s="973" t="s">
        <v>991</v>
      </c>
      <c r="F1906" s="973" t="s">
        <v>992</v>
      </c>
      <c r="G1906" s="973" t="s">
        <v>1997</v>
      </c>
      <c r="H1906" s="973" t="s">
        <v>1998</v>
      </c>
      <c r="I1906" s="973" t="s">
        <v>1999</v>
      </c>
      <c r="J1906" s="973" t="s">
        <v>697</v>
      </c>
      <c r="K1906" s="973" t="s">
        <v>995</v>
      </c>
      <c r="L1906" s="973" t="s">
        <v>996</v>
      </c>
      <c r="M1906" s="973" t="s">
        <v>2000</v>
      </c>
      <c r="N1906" s="973" t="s">
        <v>2001</v>
      </c>
      <c r="O1906" s="973" t="s">
        <v>1971</v>
      </c>
      <c r="P1906" s="973" t="s">
        <v>999</v>
      </c>
      <c r="Q1906" s="973" t="s">
        <v>1000</v>
      </c>
      <c r="R1906" s="973" t="s">
        <v>1001</v>
      </c>
      <c r="S1906" s="973" t="s">
        <v>1002</v>
      </c>
      <c r="AE1906" s="423" t="str">
        <f t="shared" si="29"/>
        <v/>
      </c>
    </row>
    <row r="1907" spans="4:31" x14ac:dyDescent="0.25">
      <c r="D1907" s="973" t="s">
        <v>990</v>
      </c>
      <c r="E1907" s="973" t="s">
        <v>991</v>
      </c>
      <c r="F1907" s="973" t="s">
        <v>992</v>
      </c>
      <c r="G1907" s="973" t="s">
        <v>1997</v>
      </c>
      <c r="H1907" s="973" t="s">
        <v>1998</v>
      </c>
      <c r="I1907" s="973" t="s">
        <v>1999</v>
      </c>
      <c r="J1907" s="973" t="s">
        <v>697</v>
      </c>
      <c r="K1907" s="973" t="s">
        <v>995</v>
      </c>
      <c r="L1907" s="973" t="s">
        <v>996</v>
      </c>
      <c r="M1907" s="973" t="s">
        <v>2000</v>
      </c>
      <c r="N1907" s="973" t="s">
        <v>2001</v>
      </c>
      <c r="O1907" s="973" t="s">
        <v>1971</v>
      </c>
      <c r="P1907" s="973" t="s">
        <v>999</v>
      </c>
      <c r="Q1907" s="973" t="s">
        <v>1000</v>
      </c>
      <c r="R1907" s="973" t="s">
        <v>1001</v>
      </c>
      <c r="S1907" s="973" t="s">
        <v>1002</v>
      </c>
      <c r="AE1907" s="423" t="str">
        <f t="shared" si="29"/>
        <v/>
      </c>
    </row>
    <row r="1908" spans="4:31" x14ac:dyDescent="0.25">
      <c r="D1908" s="973" t="s">
        <v>990</v>
      </c>
      <c r="E1908" s="973" t="s">
        <v>991</v>
      </c>
      <c r="F1908" s="973" t="s">
        <v>992</v>
      </c>
      <c r="G1908" s="973" t="s">
        <v>1997</v>
      </c>
      <c r="H1908" s="973" t="s">
        <v>1998</v>
      </c>
      <c r="I1908" s="973" t="s">
        <v>1999</v>
      </c>
      <c r="J1908" s="973" t="s">
        <v>697</v>
      </c>
      <c r="K1908" s="973" t="s">
        <v>995</v>
      </c>
      <c r="L1908" s="973" t="s">
        <v>996</v>
      </c>
      <c r="M1908" s="973" t="s">
        <v>2000</v>
      </c>
      <c r="N1908" s="973" t="s">
        <v>2001</v>
      </c>
      <c r="O1908" s="973" t="s">
        <v>1971</v>
      </c>
      <c r="P1908" s="973" t="s">
        <v>999</v>
      </c>
      <c r="Q1908" s="973" t="s">
        <v>1000</v>
      </c>
      <c r="R1908" s="973" t="s">
        <v>1001</v>
      </c>
      <c r="S1908" s="973" t="s">
        <v>1002</v>
      </c>
      <c r="AE1908" s="423" t="str">
        <f t="shared" si="29"/>
        <v/>
      </c>
    </row>
    <row r="1909" spans="4:31" x14ac:dyDescent="0.25">
      <c r="D1909" s="973" t="s">
        <v>990</v>
      </c>
      <c r="E1909" s="973" t="s">
        <v>991</v>
      </c>
      <c r="F1909" s="973" t="s">
        <v>992</v>
      </c>
      <c r="G1909" s="973" t="s">
        <v>1997</v>
      </c>
      <c r="H1909" s="973" t="s">
        <v>1998</v>
      </c>
      <c r="I1909" s="973" t="s">
        <v>1999</v>
      </c>
      <c r="J1909" s="973" t="s">
        <v>697</v>
      </c>
      <c r="K1909" s="973" t="s">
        <v>995</v>
      </c>
      <c r="L1909" s="973" t="s">
        <v>996</v>
      </c>
      <c r="M1909" s="973" t="s">
        <v>2000</v>
      </c>
      <c r="N1909" s="973" t="s">
        <v>2001</v>
      </c>
      <c r="O1909" s="973" t="s">
        <v>1971</v>
      </c>
      <c r="P1909" s="973" t="s">
        <v>999</v>
      </c>
      <c r="Q1909" s="973" t="s">
        <v>1000</v>
      </c>
      <c r="R1909" s="973" t="s">
        <v>1001</v>
      </c>
      <c r="S1909" s="973" t="s">
        <v>1002</v>
      </c>
      <c r="AE1909" s="423" t="str">
        <f t="shared" si="29"/>
        <v/>
      </c>
    </row>
    <row r="1910" spans="4:31" x14ac:dyDescent="0.25">
      <c r="D1910" s="973" t="s">
        <v>990</v>
      </c>
      <c r="E1910" s="973" t="s">
        <v>991</v>
      </c>
      <c r="F1910" s="973" t="s">
        <v>992</v>
      </c>
      <c r="G1910" s="973" t="s">
        <v>1997</v>
      </c>
      <c r="H1910" s="973" t="s">
        <v>1998</v>
      </c>
      <c r="I1910" s="973" t="s">
        <v>1999</v>
      </c>
      <c r="J1910" s="973" t="s">
        <v>697</v>
      </c>
      <c r="K1910" s="973" t="s">
        <v>995</v>
      </c>
      <c r="L1910" s="973" t="s">
        <v>996</v>
      </c>
      <c r="M1910" s="973" t="s">
        <v>2000</v>
      </c>
      <c r="N1910" s="973" t="s">
        <v>2001</v>
      </c>
      <c r="O1910" s="973" t="s">
        <v>1971</v>
      </c>
      <c r="P1910" s="973" t="s">
        <v>999</v>
      </c>
      <c r="Q1910" s="973" t="s">
        <v>1000</v>
      </c>
      <c r="R1910" s="973" t="s">
        <v>1001</v>
      </c>
      <c r="S1910" s="973" t="s">
        <v>1002</v>
      </c>
      <c r="AE1910" s="423" t="str">
        <f t="shared" si="29"/>
        <v/>
      </c>
    </row>
    <row r="1911" spans="4:31" x14ac:dyDescent="0.25">
      <c r="D1911" s="973" t="s">
        <v>990</v>
      </c>
      <c r="E1911" s="973" t="s">
        <v>991</v>
      </c>
      <c r="F1911" s="973" t="s">
        <v>992</v>
      </c>
      <c r="G1911" s="973" t="s">
        <v>1997</v>
      </c>
      <c r="H1911" s="973" t="s">
        <v>1998</v>
      </c>
      <c r="I1911" s="973" t="s">
        <v>1999</v>
      </c>
      <c r="J1911" s="973" t="s">
        <v>697</v>
      </c>
      <c r="K1911" s="973" t="s">
        <v>995</v>
      </c>
      <c r="L1911" s="973" t="s">
        <v>996</v>
      </c>
      <c r="M1911" s="973" t="s">
        <v>2000</v>
      </c>
      <c r="N1911" s="973" t="s">
        <v>2001</v>
      </c>
      <c r="O1911" s="973" t="s">
        <v>1971</v>
      </c>
      <c r="P1911" s="973" t="s">
        <v>999</v>
      </c>
      <c r="Q1911" s="973" t="s">
        <v>1000</v>
      </c>
      <c r="R1911" s="973" t="s">
        <v>1001</v>
      </c>
      <c r="S1911" s="973" t="s">
        <v>1002</v>
      </c>
      <c r="AE1911" s="423" t="str">
        <f t="shared" si="29"/>
        <v/>
      </c>
    </row>
    <row r="1912" spans="4:31" x14ac:dyDescent="0.25">
      <c r="D1912" s="973" t="s">
        <v>990</v>
      </c>
      <c r="E1912" s="973" t="s">
        <v>991</v>
      </c>
      <c r="F1912" s="973" t="s">
        <v>992</v>
      </c>
      <c r="G1912" s="973" t="s">
        <v>1997</v>
      </c>
      <c r="H1912" s="973" t="s">
        <v>1998</v>
      </c>
      <c r="I1912" s="973" t="s">
        <v>1999</v>
      </c>
      <c r="J1912" s="973" t="s">
        <v>697</v>
      </c>
      <c r="K1912" s="973" t="s">
        <v>995</v>
      </c>
      <c r="L1912" s="973" t="s">
        <v>996</v>
      </c>
      <c r="M1912" s="973" t="s">
        <v>2000</v>
      </c>
      <c r="N1912" s="973" t="s">
        <v>2001</v>
      </c>
      <c r="O1912" s="973" t="s">
        <v>1971</v>
      </c>
      <c r="P1912" s="973" t="s">
        <v>999</v>
      </c>
      <c r="Q1912" s="973" t="s">
        <v>1000</v>
      </c>
      <c r="R1912" s="973" t="s">
        <v>1001</v>
      </c>
      <c r="S1912" s="973" t="s">
        <v>1002</v>
      </c>
      <c r="AE1912" s="423" t="str">
        <f t="shared" si="29"/>
        <v/>
      </c>
    </row>
    <row r="1913" spans="4:31" x14ac:dyDescent="0.25">
      <c r="D1913" s="973" t="s">
        <v>990</v>
      </c>
      <c r="E1913" s="973" t="s">
        <v>991</v>
      </c>
      <c r="F1913" s="973" t="s">
        <v>992</v>
      </c>
      <c r="G1913" s="973" t="s">
        <v>1997</v>
      </c>
      <c r="H1913" s="973" t="s">
        <v>1998</v>
      </c>
      <c r="I1913" s="973" t="s">
        <v>1999</v>
      </c>
      <c r="J1913" s="973" t="s">
        <v>697</v>
      </c>
      <c r="K1913" s="973" t="s">
        <v>995</v>
      </c>
      <c r="L1913" s="973" t="s">
        <v>996</v>
      </c>
      <c r="M1913" s="973" t="s">
        <v>2000</v>
      </c>
      <c r="N1913" s="973" t="s">
        <v>2001</v>
      </c>
      <c r="O1913" s="973" t="s">
        <v>1971</v>
      </c>
      <c r="P1913" s="973" t="s">
        <v>999</v>
      </c>
      <c r="Q1913" s="973" t="s">
        <v>1000</v>
      </c>
      <c r="R1913" s="973" t="s">
        <v>1001</v>
      </c>
      <c r="S1913" s="973" t="s">
        <v>1002</v>
      </c>
      <c r="AE1913" s="423" t="str">
        <f t="shared" si="29"/>
        <v/>
      </c>
    </row>
    <row r="1914" spans="4:31" x14ac:dyDescent="0.25">
      <c r="D1914" s="973" t="s">
        <v>990</v>
      </c>
      <c r="E1914" s="973" t="s">
        <v>991</v>
      </c>
      <c r="F1914" s="973" t="s">
        <v>992</v>
      </c>
      <c r="G1914" s="973" t="s">
        <v>1997</v>
      </c>
      <c r="H1914" s="973" t="s">
        <v>1998</v>
      </c>
      <c r="I1914" s="973" t="s">
        <v>1999</v>
      </c>
      <c r="J1914" s="973" t="s">
        <v>697</v>
      </c>
      <c r="K1914" s="973" t="s">
        <v>995</v>
      </c>
      <c r="L1914" s="973" t="s">
        <v>996</v>
      </c>
      <c r="M1914" s="973" t="s">
        <v>2000</v>
      </c>
      <c r="N1914" s="973" t="s">
        <v>2001</v>
      </c>
      <c r="O1914" s="973" t="s">
        <v>1971</v>
      </c>
      <c r="P1914" s="973" t="s">
        <v>999</v>
      </c>
      <c r="Q1914" s="973" t="s">
        <v>1000</v>
      </c>
      <c r="R1914" s="973" t="s">
        <v>1001</v>
      </c>
      <c r="S1914" s="973" t="s">
        <v>1002</v>
      </c>
      <c r="AE1914" s="423" t="str">
        <f t="shared" si="29"/>
        <v/>
      </c>
    </row>
    <row r="1915" spans="4:31" x14ac:dyDescent="0.25">
      <c r="D1915" s="973" t="s">
        <v>990</v>
      </c>
      <c r="E1915" s="973" t="s">
        <v>991</v>
      </c>
      <c r="F1915" s="973" t="s">
        <v>992</v>
      </c>
      <c r="G1915" s="973" t="s">
        <v>1997</v>
      </c>
      <c r="H1915" s="973" t="s">
        <v>1998</v>
      </c>
      <c r="I1915" s="973" t="s">
        <v>1999</v>
      </c>
      <c r="J1915" s="973" t="s">
        <v>697</v>
      </c>
      <c r="K1915" s="973" t="s">
        <v>995</v>
      </c>
      <c r="L1915" s="973" t="s">
        <v>996</v>
      </c>
      <c r="M1915" s="973" t="s">
        <v>2000</v>
      </c>
      <c r="N1915" s="973" t="s">
        <v>2001</v>
      </c>
      <c r="O1915" s="973" t="s">
        <v>1971</v>
      </c>
      <c r="P1915" s="973" t="s">
        <v>999</v>
      </c>
      <c r="Q1915" s="973" t="s">
        <v>1000</v>
      </c>
      <c r="R1915" s="973" t="s">
        <v>1001</v>
      </c>
      <c r="S1915" s="973" t="s">
        <v>1002</v>
      </c>
      <c r="AE1915" s="423" t="str">
        <f t="shared" si="29"/>
        <v/>
      </c>
    </row>
    <row r="1916" spans="4:31" x14ac:dyDescent="0.25">
      <c r="D1916" s="973" t="s">
        <v>990</v>
      </c>
      <c r="E1916" s="973" t="s">
        <v>991</v>
      </c>
      <c r="F1916" s="973" t="s">
        <v>992</v>
      </c>
      <c r="G1916" s="973" t="s">
        <v>1997</v>
      </c>
      <c r="H1916" s="973" t="s">
        <v>1998</v>
      </c>
      <c r="I1916" s="973" t="s">
        <v>1999</v>
      </c>
      <c r="J1916" s="973" t="s">
        <v>697</v>
      </c>
      <c r="K1916" s="973" t="s">
        <v>995</v>
      </c>
      <c r="L1916" s="973" t="s">
        <v>996</v>
      </c>
      <c r="M1916" s="973" t="s">
        <v>2000</v>
      </c>
      <c r="N1916" s="973" t="s">
        <v>2001</v>
      </c>
      <c r="O1916" s="973" t="s">
        <v>1971</v>
      </c>
      <c r="P1916" s="973" t="s">
        <v>999</v>
      </c>
      <c r="Q1916" s="973" t="s">
        <v>1000</v>
      </c>
      <c r="R1916" s="973" t="s">
        <v>1001</v>
      </c>
      <c r="S1916" s="973" t="s">
        <v>1002</v>
      </c>
      <c r="AE1916" s="423" t="str">
        <f t="shared" si="29"/>
        <v/>
      </c>
    </row>
    <row r="1917" spans="4:31" x14ac:dyDescent="0.25">
      <c r="D1917" s="973" t="s">
        <v>990</v>
      </c>
      <c r="E1917" s="973" t="s">
        <v>991</v>
      </c>
      <c r="F1917" s="973" t="s">
        <v>992</v>
      </c>
      <c r="G1917" s="973" t="s">
        <v>1997</v>
      </c>
      <c r="H1917" s="973" t="s">
        <v>1998</v>
      </c>
      <c r="I1917" s="973" t="s">
        <v>1999</v>
      </c>
      <c r="J1917" s="973" t="s">
        <v>697</v>
      </c>
      <c r="K1917" s="973" t="s">
        <v>995</v>
      </c>
      <c r="L1917" s="973" t="s">
        <v>996</v>
      </c>
      <c r="M1917" s="973" t="s">
        <v>2000</v>
      </c>
      <c r="N1917" s="973" t="s">
        <v>2001</v>
      </c>
      <c r="O1917" s="973" t="s">
        <v>1971</v>
      </c>
      <c r="P1917" s="973" t="s">
        <v>999</v>
      </c>
      <c r="Q1917" s="973" t="s">
        <v>1000</v>
      </c>
      <c r="R1917" s="973" t="s">
        <v>1001</v>
      </c>
      <c r="S1917" s="973" t="s">
        <v>1002</v>
      </c>
      <c r="AE1917" s="423" t="str">
        <f t="shared" si="29"/>
        <v/>
      </c>
    </row>
    <row r="1918" spans="4:31" x14ac:dyDescent="0.25">
      <c r="D1918" s="973" t="s">
        <v>990</v>
      </c>
      <c r="E1918" s="973" t="s">
        <v>991</v>
      </c>
      <c r="F1918" s="973" t="s">
        <v>992</v>
      </c>
      <c r="G1918" s="973" t="s">
        <v>1997</v>
      </c>
      <c r="H1918" s="973" t="s">
        <v>1998</v>
      </c>
      <c r="I1918" s="973" t="s">
        <v>1999</v>
      </c>
      <c r="J1918" s="973" t="s">
        <v>697</v>
      </c>
      <c r="K1918" s="973" t="s">
        <v>995</v>
      </c>
      <c r="L1918" s="973" t="s">
        <v>996</v>
      </c>
      <c r="M1918" s="973" t="s">
        <v>2000</v>
      </c>
      <c r="N1918" s="973" t="s">
        <v>2001</v>
      </c>
      <c r="O1918" s="973" t="s">
        <v>1971</v>
      </c>
      <c r="P1918" s="973" t="s">
        <v>999</v>
      </c>
      <c r="Q1918" s="973" t="s">
        <v>1000</v>
      </c>
      <c r="R1918" s="973" t="s">
        <v>1001</v>
      </c>
      <c r="S1918" s="973" t="s">
        <v>1002</v>
      </c>
      <c r="AE1918" s="423" t="str">
        <f t="shared" si="29"/>
        <v/>
      </c>
    </row>
    <row r="1919" spans="4:31" x14ac:dyDescent="0.25">
      <c r="D1919" s="973" t="s">
        <v>990</v>
      </c>
      <c r="E1919" s="973" t="s">
        <v>991</v>
      </c>
      <c r="F1919" s="973" t="s">
        <v>992</v>
      </c>
      <c r="G1919" s="973" t="s">
        <v>1997</v>
      </c>
      <c r="H1919" s="973" t="s">
        <v>1998</v>
      </c>
      <c r="I1919" s="973" t="s">
        <v>1999</v>
      </c>
      <c r="J1919" s="973" t="s">
        <v>697</v>
      </c>
      <c r="K1919" s="973" t="s">
        <v>995</v>
      </c>
      <c r="L1919" s="973" t="s">
        <v>996</v>
      </c>
      <c r="M1919" s="973" t="s">
        <v>2000</v>
      </c>
      <c r="N1919" s="973" t="s">
        <v>2001</v>
      </c>
      <c r="O1919" s="973" t="s">
        <v>1971</v>
      </c>
      <c r="P1919" s="973" t="s">
        <v>999</v>
      </c>
      <c r="Q1919" s="973" t="s">
        <v>1000</v>
      </c>
      <c r="R1919" s="973" t="s">
        <v>1001</v>
      </c>
      <c r="S1919" s="973" t="s">
        <v>1002</v>
      </c>
      <c r="AE1919" s="423" t="str">
        <f t="shared" si="29"/>
        <v/>
      </c>
    </row>
    <row r="1920" spans="4:31" x14ac:dyDescent="0.25">
      <c r="D1920" s="973" t="s">
        <v>990</v>
      </c>
      <c r="E1920" s="973" t="s">
        <v>991</v>
      </c>
      <c r="F1920" s="973" t="s">
        <v>992</v>
      </c>
      <c r="G1920" s="973" t="s">
        <v>1997</v>
      </c>
      <c r="H1920" s="973" t="s">
        <v>1998</v>
      </c>
      <c r="I1920" s="973" t="s">
        <v>1999</v>
      </c>
      <c r="J1920" s="973" t="s">
        <v>697</v>
      </c>
      <c r="K1920" s="973" t="s">
        <v>995</v>
      </c>
      <c r="L1920" s="973" t="s">
        <v>996</v>
      </c>
      <c r="M1920" s="973" t="s">
        <v>2000</v>
      </c>
      <c r="N1920" s="973" t="s">
        <v>2001</v>
      </c>
      <c r="O1920" s="973" t="s">
        <v>1971</v>
      </c>
      <c r="P1920" s="973" t="s">
        <v>999</v>
      </c>
      <c r="Q1920" s="973" t="s">
        <v>1000</v>
      </c>
      <c r="R1920" s="973" t="s">
        <v>1001</v>
      </c>
      <c r="S1920" s="973" t="s">
        <v>1002</v>
      </c>
      <c r="AE1920" s="423" t="str">
        <f t="shared" si="29"/>
        <v/>
      </c>
    </row>
    <row r="1921" spans="4:31" x14ac:dyDescent="0.25">
      <c r="D1921" s="973" t="s">
        <v>990</v>
      </c>
      <c r="E1921" s="973" t="s">
        <v>991</v>
      </c>
      <c r="F1921" s="973" t="s">
        <v>992</v>
      </c>
      <c r="G1921" s="973" t="s">
        <v>1997</v>
      </c>
      <c r="H1921" s="973" t="s">
        <v>1998</v>
      </c>
      <c r="I1921" s="973" t="s">
        <v>1999</v>
      </c>
      <c r="J1921" s="973" t="s">
        <v>697</v>
      </c>
      <c r="K1921" s="973" t="s">
        <v>995</v>
      </c>
      <c r="L1921" s="973" t="s">
        <v>996</v>
      </c>
      <c r="M1921" s="973" t="s">
        <v>2000</v>
      </c>
      <c r="N1921" s="973" t="s">
        <v>2001</v>
      </c>
      <c r="O1921" s="973" t="s">
        <v>1971</v>
      </c>
      <c r="P1921" s="973" t="s">
        <v>999</v>
      </c>
      <c r="Q1921" s="973" t="s">
        <v>1000</v>
      </c>
      <c r="R1921" s="973" t="s">
        <v>1001</v>
      </c>
      <c r="S1921" s="973" t="s">
        <v>1002</v>
      </c>
      <c r="AE1921" s="423" t="str">
        <f t="shared" si="29"/>
        <v/>
      </c>
    </row>
    <row r="1922" spans="4:31" x14ac:dyDescent="0.25">
      <c r="D1922" s="973" t="s">
        <v>990</v>
      </c>
      <c r="E1922" s="973" t="s">
        <v>991</v>
      </c>
      <c r="F1922" s="973" t="s">
        <v>992</v>
      </c>
      <c r="G1922" s="973" t="s">
        <v>1997</v>
      </c>
      <c r="H1922" s="973" t="s">
        <v>1998</v>
      </c>
      <c r="I1922" s="973" t="s">
        <v>1999</v>
      </c>
      <c r="J1922" s="973" t="s">
        <v>697</v>
      </c>
      <c r="K1922" s="973" t="s">
        <v>995</v>
      </c>
      <c r="L1922" s="973" t="s">
        <v>996</v>
      </c>
      <c r="M1922" s="973" t="s">
        <v>2000</v>
      </c>
      <c r="N1922" s="973" t="s">
        <v>2001</v>
      </c>
      <c r="O1922" s="973" t="s">
        <v>1971</v>
      </c>
      <c r="P1922" s="973" t="s">
        <v>999</v>
      </c>
      <c r="Q1922" s="973" t="s">
        <v>1000</v>
      </c>
      <c r="R1922" s="973" t="s">
        <v>1001</v>
      </c>
      <c r="S1922" s="973" t="s">
        <v>1002</v>
      </c>
      <c r="AE1922" s="423" t="str">
        <f t="shared" si="29"/>
        <v/>
      </c>
    </row>
    <row r="1923" spans="4:31" x14ac:dyDescent="0.25">
      <c r="D1923" s="973" t="s">
        <v>990</v>
      </c>
      <c r="E1923" s="973" t="s">
        <v>991</v>
      </c>
      <c r="F1923" s="973" t="s">
        <v>992</v>
      </c>
      <c r="G1923" s="973" t="s">
        <v>1997</v>
      </c>
      <c r="H1923" s="973" t="s">
        <v>1998</v>
      </c>
      <c r="I1923" s="973" t="s">
        <v>1999</v>
      </c>
      <c r="J1923" s="973" t="s">
        <v>697</v>
      </c>
      <c r="K1923" s="973" t="s">
        <v>995</v>
      </c>
      <c r="L1923" s="973" t="s">
        <v>996</v>
      </c>
      <c r="M1923" s="973" t="s">
        <v>2000</v>
      </c>
      <c r="N1923" s="973" t="s">
        <v>2001</v>
      </c>
      <c r="O1923" s="973" t="s">
        <v>1971</v>
      </c>
      <c r="P1923" s="973" t="s">
        <v>999</v>
      </c>
      <c r="Q1923" s="973" t="s">
        <v>1000</v>
      </c>
      <c r="R1923" s="973" t="s">
        <v>1001</v>
      </c>
      <c r="S1923" s="973" t="s">
        <v>1002</v>
      </c>
      <c r="AE1923" s="423" t="str">
        <f t="shared" ref="AE1923:AE1986" si="30">B1923&amp;C1923</f>
        <v/>
      </c>
    </row>
    <row r="1924" spans="4:31" x14ac:dyDescent="0.25">
      <c r="D1924" s="973" t="s">
        <v>990</v>
      </c>
      <c r="E1924" s="973" t="s">
        <v>991</v>
      </c>
      <c r="F1924" s="973" t="s">
        <v>992</v>
      </c>
      <c r="G1924" s="973" t="s">
        <v>1997</v>
      </c>
      <c r="H1924" s="973" t="s">
        <v>1998</v>
      </c>
      <c r="I1924" s="973" t="s">
        <v>1999</v>
      </c>
      <c r="J1924" s="973" t="s">
        <v>697</v>
      </c>
      <c r="K1924" s="973" t="s">
        <v>995</v>
      </c>
      <c r="L1924" s="973" t="s">
        <v>996</v>
      </c>
      <c r="M1924" s="973" t="s">
        <v>2000</v>
      </c>
      <c r="N1924" s="973" t="s">
        <v>2001</v>
      </c>
      <c r="O1924" s="973" t="s">
        <v>1971</v>
      </c>
      <c r="P1924" s="973" t="s">
        <v>999</v>
      </c>
      <c r="Q1924" s="973" t="s">
        <v>1000</v>
      </c>
      <c r="R1924" s="973" t="s">
        <v>1001</v>
      </c>
      <c r="S1924" s="973" t="s">
        <v>1002</v>
      </c>
      <c r="AE1924" s="423" t="str">
        <f t="shared" si="30"/>
        <v/>
      </c>
    </row>
    <row r="1925" spans="4:31" x14ac:dyDescent="0.25">
      <c r="D1925" s="973" t="s">
        <v>990</v>
      </c>
      <c r="E1925" s="973" t="s">
        <v>991</v>
      </c>
      <c r="F1925" s="973" t="s">
        <v>992</v>
      </c>
      <c r="G1925" s="973" t="s">
        <v>1997</v>
      </c>
      <c r="H1925" s="973" t="s">
        <v>1998</v>
      </c>
      <c r="I1925" s="973" t="s">
        <v>1999</v>
      </c>
      <c r="J1925" s="973" t="s">
        <v>697</v>
      </c>
      <c r="K1925" s="973" t="s">
        <v>995</v>
      </c>
      <c r="L1925" s="973" t="s">
        <v>996</v>
      </c>
      <c r="M1925" s="973" t="s">
        <v>2000</v>
      </c>
      <c r="N1925" s="973" t="s">
        <v>2001</v>
      </c>
      <c r="O1925" s="973" t="s">
        <v>1971</v>
      </c>
      <c r="P1925" s="973" t="s">
        <v>999</v>
      </c>
      <c r="Q1925" s="973" t="s">
        <v>1000</v>
      </c>
      <c r="R1925" s="973" t="s">
        <v>1001</v>
      </c>
      <c r="S1925" s="973" t="s">
        <v>1002</v>
      </c>
      <c r="AE1925" s="423" t="str">
        <f t="shared" si="30"/>
        <v/>
      </c>
    </row>
    <row r="1926" spans="4:31" x14ac:dyDescent="0.25">
      <c r="D1926" s="973" t="s">
        <v>990</v>
      </c>
      <c r="E1926" s="973" t="s">
        <v>991</v>
      </c>
      <c r="F1926" s="973" t="s">
        <v>992</v>
      </c>
      <c r="G1926" s="973" t="s">
        <v>1997</v>
      </c>
      <c r="H1926" s="973" t="s">
        <v>1998</v>
      </c>
      <c r="I1926" s="973" t="s">
        <v>1999</v>
      </c>
      <c r="J1926" s="973" t="s">
        <v>697</v>
      </c>
      <c r="K1926" s="973" t="s">
        <v>995</v>
      </c>
      <c r="L1926" s="973" t="s">
        <v>996</v>
      </c>
      <c r="M1926" s="973" t="s">
        <v>2000</v>
      </c>
      <c r="N1926" s="973" t="s">
        <v>2001</v>
      </c>
      <c r="O1926" s="973" t="s">
        <v>1971</v>
      </c>
      <c r="P1926" s="973" t="s">
        <v>999</v>
      </c>
      <c r="Q1926" s="973" t="s">
        <v>1000</v>
      </c>
      <c r="R1926" s="973" t="s">
        <v>1001</v>
      </c>
      <c r="S1926" s="973" t="s">
        <v>1002</v>
      </c>
      <c r="AE1926" s="423" t="str">
        <f t="shared" si="30"/>
        <v/>
      </c>
    </row>
    <row r="1927" spans="4:31" x14ac:dyDescent="0.25">
      <c r="D1927" s="973" t="s">
        <v>990</v>
      </c>
      <c r="E1927" s="973" t="s">
        <v>991</v>
      </c>
      <c r="F1927" s="973" t="s">
        <v>992</v>
      </c>
      <c r="G1927" s="973" t="s">
        <v>1997</v>
      </c>
      <c r="H1927" s="973" t="s">
        <v>1998</v>
      </c>
      <c r="I1927" s="973" t="s">
        <v>1999</v>
      </c>
      <c r="J1927" s="973" t="s">
        <v>697</v>
      </c>
      <c r="K1927" s="973" t="s">
        <v>995</v>
      </c>
      <c r="L1927" s="973" t="s">
        <v>996</v>
      </c>
      <c r="M1927" s="973" t="s">
        <v>2000</v>
      </c>
      <c r="N1927" s="973" t="s">
        <v>2001</v>
      </c>
      <c r="O1927" s="973" t="s">
        <v>1971</v>
      </c>
      <c r="P1927" s="973" t="s">
        <v>999</v>
      </c>
      <c r="Q1927" s="973" t="s">
        <v>1000</v>
      </c>
      <c r="R1927" s="973" t="s">
        <v>1001</v>
      </c>
      <c r="S1927" s="973" t="s">
        <v>1002</v>
      </c>
      <c r="AE1927" s="423" t="str">
        <f t="shared" si="30"/>
        <v/>
      </c>
    </row>
    <row r="1928" spans="4:31" x14ac:dyDescent="0.25">
      <c r="D1928" s="973" t="s">
        <v>990</v>
      </c>
      <c r="E1928" s="973" t="s">
        <v>991</v>
      </c>
      <c r="F1928" s="973" t="s">
        <v>992</v>
      </c>
      <c r="G1928" s="973" t="s">
        <v>1997</v>
      </c>
      <c r="H1928" s="973" t="s">
        <v>1998</v>
      </c>
      <c r="I1928" s="973" t="s">
        <v>1999</v>
      </c>
      <c r="J1928" s="973" t="s">
        <v>697</v>
      </c>
      <c r="K1928" s="973" t="s">
        <v>995</v>
      </c>
      <c r="L1928" s="973" t="s">
        <v>996</v>
      </c>
      <c r="M1928" s="973" t="s">
        <v>2000</v>
      </c>
      <c r="N1928" s="973" t="s">
        <v>2001</v>
      </c>
      <c r="O1928" s="973" t="s">
        <v>1971</v>
      </c>
      <c r="P1928" s="973" t="s">
        <v>999</v>
      </c>
      <c r="Q1928" s="973" t="s">
        <v>1000</v>
      </c>
      <c r="R1928" s="973" t="s">
        <v>1001</v>
      </c>
      <c r="S1928" s="973" t="s">
        <v>1002</v>
      </c>
      <c r="AE1928" s="423" t="str">
        <f t="shared" si="30"/>
        <v/>
      </c>
    </row>
    <row r="1929" spans="4:31" x14ac:dyDescent="0.25">
      <c r="D1929" s="973" t="s">
        <v>990</v>
      </c>
      <c r="E1929" s="973" t="s">
        <v>991</v>
      </c>
      <c r="F1929" s="973" t="s">
        <v>992</v>
      </c>
      <c r="G1929" s="973" t="s">
        <v>1997</v>
      </c>
      <c r="H1929" s="973" t="s">
        <v>1998</v>
      </c>
      <c r="I1929" s="973" t="s">
        <v>1999</v>
      </c>
      <c r="J1929" s="973" t="s">
        <v>697</v>
      </c>
      <c r="K1929" s="973" t="s">
        <v>995</v>
      </c>
      <c r="L1929" s="973" t="s">
        <v>996</v>
      </c>
      <c r="M1929" s="973" t="s">
        <v>2000</v>
      </c>
      <c r="N1929" s="973" t="s">
        <v>2001</v>
      </c>
      <c r="O1929" s="973" t="s">
        <v>1971</v>
      </c>
      <c r="P1929" s="973" t="s">
        <v>999</v>
      </c>
      <c r="Q1929" s="973" t="s">
        <v>1000</v>
      </c>
      <c r="R1929" s="973" t="s">
        <v>1001</v>
      </c>
      <c r="S1929" s="973" t="s">
        <v>1002</v>
      </c>
      <c r="AE1929" s="423" t="str">
        <f t="shared" si="30"/>
        <v/>
      </c>
    </row>
    <row r="1930" spans="4:31" x14ac:dyDescent="0.25">
      <c r="D1930" s="973" t="s">
        <v>990</v>
      </c>
      <c r="E1930" s="973" t="s">
        <v>991</v>
      </c>
      <c r="F1930" s="973" t="s">
        <v>992</v>
      </c>
      <c r="G1930" s="973" t="s">
        <v>1997</v>
      </c>
      <c r="H1930" s="973" t="s">
        <v>1998</v>
      </c>
      <c r="I1930" s="973" t="s">
        <v>1999</v>
      </c>
      <c r="J1930" s="973" t="s">
        <v>697</v>
      </c>
      <c r="K1930" s="973" t="s">
        <v>995</v>
      </c>
      <c r="L1930" s="973" t="s">
        <v>996</v>
      </c>
      <c r="M1930" s="973" t="s">
        <v>2000</v>
      </c>
      <c r="N1930" s="973" t="s">
        <v>2001</v>
      </c>
      <c r="O1930" s="973" t="s">
        <v>1971</v>
      </c>
      <c r="P1930" s="973" t="s">
        <v>999</v>
      </c>
      <c r="Q1930" s="973" t="s">
        <v>1000</v>
      </c>
      <c r="R1930" s="973" t="s">
        <v>1001</v>
      </c>
      <c r="S1930" s="973" t="s">
        <v>1002</v>
      </c>
      <c r="AE1930" s="423" t="str">
        <f t="shared" si="30"/>
        <v/>
      </c>
    </row>
    <row r="1931" spans="4:31" x14ac:dyDescent="0.25">
      <c r="D1931" s="973" t="s">
        <v>990</v>
      </c>
      <c r="E1931" s="973" t="s">
        <v>991</v>
      </c>
      <c r="F1931" s="973" t="s">
        <v>992</v>
      </c>
      <c r="G1931" s="973" t="s">
        <v>1997</v>
      </c>
      <c r="H1931" s="973" t="s">
        <v>1998</v>
      </c>
      <c r="I1931" s="973" t="s">
        <v>1999</v>
      </c>
      <c r="J1931" s="973" t="s">
        <v>697</v>
      </c>
      <c r="K1931" s="973" t="s">
        <v>995</v>
      </c>
      <c r="L1931" s="973" t="s">
        <v>996</v>
      </c>
      <c r="M1931" s="973" t="s">
        <v>2000</v>
      </c>
      <c r="N1931" s="973" t="s">
        <v>2001</v>
      </c>
      <c r="O1931" s="973" t="s">
        <v>1971</v>
      </c>
      <c r="P1931" s="973" t="s">
        <v>999</v>
      </c>
      <c r="Q1931" s="973" t="s">
        <v>1000</v>
      </c>
      <c r="R1931" s="973" t="s">
        <v>1001</v>
      </c>
      <c r="S1931" s="973" t="s">
        <v>1002</v>
      </c>
      <c r="AE1931" s="423" t="str">
        <f t="shared" si="30"/>
        <v/>
      </c>
    </row>
    <row r="1932" spans="4:31" x14ac:dyDescent="0.25">
      <c r="D1932" s="973" t="s">
        <v>990</v>
      </c>
      <c r="E1932" s="973" t="s">
        <v>991</v>
      </c>
      <c r="F1932" s="973" t="s">
        <v>992</v>
      </c>
      <c r="G1932" s="973" t="s">
        <v>1997</v>
      </c>
      <c r="H1932" s="973" t="s">
        <v>1998</v>
      </c>
      <c r="I1932" s="973" t="s">
        <v>1999</v>
      </c>
      <c r="J1932" s="973" t="s">
        <v>697</v>
      </c>
      <c r="K1932" s="973" t="s">
        <v>995</v>
      </c>
      <c r="L1932" s="973" t="s">
        <v>996</v>
      </c>
      <c r="M1932" s="973" t="s">
        <v>2000</v>
      </c>
      <c r="N1932" s="973" t="s">
        <v>2001</v>
      </c>
      <c r="O1932" s="973" t="s">
        <v>1971</v>
      </c>
      <c r="P1932" s="973" t="s">
        <v>999</v>
      </c>
      <c r="Q1932" s="973" t="s">
        <v>1000</v>
      </c>
      <c r="R1932" s="973" t="s">
        <v>1001</v>
      </c>
      <c r="S1932" s="973" t="s">
        <v>1002</v>
      </c>
      <c r="AE1932" s="423" t="str">
        <f t="shared" si="30"/>
        <v/>
      </c>
    </row>
    <row r="1933" spans="4:31" x14ac:dyDescent="0.25">
      <c r="D1933" s="973" t="s">
        <v>990</v>
      </c>
      <c r="E1933" s="973" t="s">
        <v>991</v>
      </c>
      <c r="F1933" s="973" t="s">
        <v>992</v>
      </c>
      <c r="G1933" s="973" t="s">
        <v>1997</v>
      </c>
      <c r="H1933" s="973" t="s">
        <v>1998</v>
      </c>
      <c r="I1933" s="973" t="s">
        <v>1999</v>
      </c>
      <c r="J1933" s="973" t="s">
        <v>697</v>
      </c>
      <c r="K1933" s="973" t="s">
        <v>995</v>
      </c>
      <c r="L1933" s="973" t="s">
        <v>996</v>
      </c>
      <c r="M1933" s="973" t="s">
        <v>2000</v>
      </c>
      <c r="N1933" s="973" t="s">
        <v>2001</v>
      </c>
      <c r="O1933" s="973" t="s">
        <v>1971</v>
      </c>
      <c r="P1933" s="973" t="s">
        <v>999</v>
      </c>
      <c r="Q1933" s="973" t="s">
        <v>1000</v>
      </c>
      <c r="R1933" s="973" t="s">
        <v>1001</v>
      </c>
      <c r="S1933" s="973" t="s">
        <v>1002</v>
      </c>
      <c r="AE1933" s="423" t="str">
        <f t="shared" si="30"/>
        <v/>
      </c>
    </row>
    <row r="1934" spans="4:31" x14ac:dyDescent="0.25">
      <c r="D1934" s="973" t="s">
        <v>990</v>
      </c>
      <c r="E1934" s="973" t="s">
        <v>991</v>
      </c>
      <c r="F1934" s="973" t="s">
        <v>992</v>
      </c>
      <c r="G1934" s="973" t="s">
        <v>1997</v>
      </c>
      <c r="H1934" s="973" t="s">
        <v>1998</v>
      </c>
      <c r="I1934" s="973" t="s">
        <v>1999</v>
      </c>
      <c r="J1934" s="973" t="s">
        <v>697</v>
      </c>
      <c r="K1934" s="973" t="s">
        <v>995</v>
      </c>
      <c r="L1934" s="973" t="s">
        <v>996</v>
      </c>
      <c r="M1934" s="973" t="s">
        <v>2000</v>
      </c>
      <c r="N1934" s="973" t="s">
        <v>2001</v>
      </c>
      <c r="O1934" s="973" t="s">
        <v>1971</v>
      </c>
      <c r="P1934" s="973" t="s">
        <v>999</v>
      </c>
      <c r="Q1934" s="973" t="s">
        <v>1000</v>
      </c>
      <c r="R1934" s="973" t="s">
        <v>1001</v>
      </c>
      <c r="S1934" s="973" t="s">
        <v>1002</v>
      </c>
      <c r="AE1934" s="423" t="str">
        <f t="shared" si="30"/>
        <v/>
      </c>
    </row>
    <row r="1935" spans="4:31" x14ac:dyDescent="0.25">
      <c r="D1935" s="973" t="s">
        <v>990</v>
      </c>
      <c r="E1935" s="973" t="s">
        <v>991</v>
      </c>
      <c r="F1935" s="973" t="s">
        <v>992</v>
      </c>
      <c r="G1935" s="973" t="s">
        <v>1997</v>
      </c>
      <c r="H1935" s="973" t="s">
        <v>1998</v>
      </c>
      <c r="I1935" s="973" t="s">
        <v>1999</v>
      </c>
      <c r="J1935" s="973" t="s">
        <v>697</v>
      </c>
      <c r="K1935" s="973" t="s">
        <v>995</v>
      </c>
      <c r="L1935" s="973" t="s">
        <v>996</v>
      </c>
      <c r="M1935" s="973" t="s">
        <v>2000</v>
      </c>
      <c r="N1935" s="973" t="s">
        <v>2001</v>
      </c>
      <c r="O1935" s="973" t="s">
        <v>1971</v>
      </c>
      <c r="P1935" s="973" t="s">
        <v>999</v>
      </c>
      <c r="Q1935" s="973" t="s">
        <v>1000</v>
      </c>
      <c r="R1935" s="973" t="s">
        <v>1001</v>
      </c>
      <c r="S1935" s="973" t="s">
        <v>1002</v>
      </c>
      <c r="AE1935" s="423" t="str">
        <f t="shared" si="30"/>
        <v/>
      </c>
    </row>
    <row r="1936" spans="4:31" x14ac:dyDescent="0.25">
      <c r="D1936" s="973" t="s">
        <v>990</v>
      </c>
      <c r="E1936" s="973" t="s">
        <v>991</v>
      </c>
      <c r="F1936" s="973" t="s">
        <v>992</v>
      </c>
      <c r="G1936" s="973" t="s">
        <v>1997</v>
      </c>
      <c r="H1936" s="973" t="s">
        <v>1998</v>
      </c>
      <c r="I1936" s="973" t="s">
        <v>1999</v>
      </c>
      <c r="J1936" s="973" t="s">
        <v>697</v>
      </c>
      <c r="K1936" s="973" t="s">
        <v>995</v>
      </c>
      <c r="L1936" s="973" t="s">
        <v>996</v>
      </c>
      <c r="M1936" s="973" t="s">
        <v>2000</v>
      </c>
      <c r="N1936" s="973" t="s">
        <v>2001</v>
      </c>
      <c r="O1936" s="973" t="s">
        <v>1971</v>
      </c>
      <c r="P1936" s="973" t="s">
        <v>999</v>
      </c>
      <c r="Q1936" s="973" t="s">
        <v>1000</v>
      </c>
      <c r="R1936" s="973" t="s">
        <v>1001</v>
      </c>
      <c r="S1936" s="973" t="s">
        <v>1002</v>
      </c>
      <c r="AE1936" s="423" t="str">
        <f t="shared" si="30"/>
        <v/>
      </c>
    </row>
    <row r="1937" spans="4:31" x14ac:dyDescent="0.25">
      <c r="D1937" s="973" t="s">
        <v>990</v>
      </c>
      <c r="E1937" s="973" t="s">
        <v>991</v>
      </c>
      <c r="F1937" s="973" t="s">
        <v>992</v>
      </c>
      <c r="G1937" s="973" t="s">
        <v>1997</v>
      </c>
      <c r="H1937" s="973" t="s">
        <v>1998</v>
      </c>
      <c r="I1937" s="973" t="s">
        <v>1999</v>
      </c>
      <c r="J1937" s="973" t="s">
        <v>697</v>
      </c>
      <c r="K1937" s="973" t="s">
        <v>995</v>
      </c>
      <c r="L1937" s="973" t="s">
        <v>996</v>
      </c>
      <c r="M1937" s="973" t="s">
        <v>2000</v>
      </c>
      <c r="N1937" s="973" t="s">
        <v>2001</v>
      </c>
      <c r="O1937" s="973" t="s">
        <v>1971</v>
      </c>
      <c r="P1937" s="973" t="s">
        <v>999</v>
      </c>
      <c r="Q1937" s="973" t="s">
        <v>1000</v>
      </c>
      <c r="R1937" s="973" t="s">
        <v>1001</v>
      </c>
      <c r="S1937" s="973" t="s">
        <v>1002</v>
      </c>
      <c r="AE1937" s="423" t="str">
        <f t="shared" si="30"/>
        <v/>
      </c>
    </row>
    <row r="1938" spans="4:31" x14ac:dyDescent="0.25">
      <c r="D1938" s="973" t="s">
        <v>990</v>
      </c>
      <c r="E1938" s="973" t="s">
        <v>991</v>
      </c>
      <c r="F1938" s="973" t="s">
        <v>992</v>
      </c>
      <c r="G1938" s="973" t="s">
        <v>1997</v>
      </c>
      <c r="H1938" s="973" t="s">
        <v>1998</v>
      </c>
      <c r="I1938" s="973" t="s">
        <v>1999</v>
      </c>
      <c r="J1938" s="973" t="s">
        <v>697</v>
      </c>
      <c r="K1938" s="973" t="s">
        <v>995</v>
      </c>
      <c r="L1938" s="973" t="s">
        <v>996</v>
      </c>
      <c r="M1938" s="973" t="s">
        <v>2000</v>
      </c>
      <c r="N1938" s="973" t="s">
        <v>2001</v>
      </c>
      <c r="O1938" s="973" t="s">
        <v>1971</v>
      </c>
      <c r="P1938" s="973" t="s">
        <v>999</v>
      </c>
      <c r="Q1938" s="973" t="s">
        <v>1000</v>
      </c>
      <c r="R1938" s="973" t="s">
        <v>1001</v>
      </c>
      <c r="S1938" s="973" t="s">
        <v>1002</v>
      </c>
      <c r="AE1938" s="423" t="str">
        <f t="shared" si="30"/>
        <v/>
      </c>
    </row>
    <row r="1939" spans="4:31" x14ac:dyDescent="0.25">
      <c r="D1939" s="973" t="s">
        <v>990</v>
      </c>
      <c r="E1939" s="973" t="s">
        <v>991</v>
      </c>
      <c r="F1939" s="973" t="s">
        <v>992</v>
      </c>
      <c r="G1939" s="973" t="s">
        <v>1997</v>
      </c>
      <c r="H1939" s="973" t="s">
        <v>1998</v>
      </c>
      <c r="I1939" s="973" t="s">
        <v>1999</v>
      </c>
      <c r="J1939" s="973" t="s">
        <v>697</v>
      </c>
      <c r="K1939" s="973" t="s">
        <v>995</v>
      </c>
      <c r="L1939" s="973" t="s">
        <v>996</v>
      </c>
      <c r="M1939" s="973" t="s">
        <v>2000</v>
      </c>
      <c r="N1939" s="973" t="s">
        <v>2001</v>
      </c>
      <c r="O1939" s="973" t="s">
        <v>1971</v>
      </c>
      <c r="P1939" s="973" t="s">
        <v>999</v>
      </c>
      <c r="Q1939" s="973" t="s">
        <v>1000</v>
      </c>
      <c r="R1939" s="973" t="s">
        <v>1001</v>
      </c>
      <c r="S1939" s="973" t="s">
        <v>1002</v>
      </c>
      <c r="AE1939" s="423" t="str">
        <f t="shared" si="30"/>
        <v/>
      </c>
    </row>
    <row r="1940" spans="4:31" x14ac:dyDescent="0.25">
      <c r="D1940" s="973" t="s">
        <v>990</v>
      </c>
      <c r="E1940" s="973" t="s">
        <v>991</v>
      </c>
      <c r="F1940" s="973" t="s">
        <v>992</v>
      </c>
      <c r="G1940" s="973" t="s">
        <v>1997</v>
      </c>
      <c r="H1940" s="973" t="s">
        <v>1998</v>
      </c>
      <c r="I1940" s="973" t="s">
        <v>1999</v>
      </c>
      <c r="J1940" s="973" t="s">
        <v>697</v>
      </c>
      <c r="K1940" s="973" t="s">
        <v>995</v>
      </c>
      <c r="L1940" s="973" t="s">
        <v>996</v>
      </c>
      <c r="M1940" s="973" t="s">
        <v>2000</v>
      </c>
      <c r="N1940" s="973" t="s">
        <v>2001</v>
      </c>
      <c r="O1940" s="973" t="s">
        <v>1971</v>
      </c>
      <c r="P1940" s="973" t="s">
        <v>999</v>
      </c>
      <c r="Q1940" s="973" t="s">
        <v>1000</v>
      </c>
      <c r="R1940" s="973" t="s">
        <v>1001</v>
      </c>
      <c r="S1940" s="973" t="s">
        <v>1002</v>
      </c>
      <c r="AE1940" s="423" t="str">
        <f t="shared" si="30"/>
        <v/>
      </c>
    </row>
    <row r="1941" spans="4:31" x14ac:dyDescent="0.25">
      <c r="D1941" s="973" t="s">
        <v>990</v>
      </c>
      <c r="E1941" s="973" t="s">
        <v>991</v>
      </c>
      <c r="F1941" s="973" t="s">
        <v>992</v>
      </c>
      <c r="G1941" s="973" t="s">
        <v>1997</v>
      </c>
      <c r="H1941" s="973" t="s">
        <v>1998</v>
      </c>
      <c r="I1941" s="973" t="s">
        <v>1999</v>
      </c>
      <c r="J1941" s="973" t="s">
        <v>697</v>
      </c>
      <c r="K1941" s="973" t="s">
        <v>995</v>
      </c>
      <c r="L1941" s="973" t="s">
        <v>996</v>
      </c>
      <c r="M1941" s="973" t="s">
        <v>2000</v>
      </c>
      <c r="N1941" s="973" t="s">
        <v>2001</v>
      </c>
      <c r="O1941" s="973" t="s">
        <v>1971</v>
      </c>
      <c r="P1941" s="973" t="s">
        <v>999</v>
      </c>
      <c r="Q1941" s="973" t="s">
        <v>1000</v>
      </c>
      <c r="R1941" s="973" t="s">
        <v>1001</v>
      </c>
      <c r="S1941" s="973" t="s">
        <v>1002</v>
      </c>
      <c r="AE1941" s="423" t="str">
        <f t="shared" si="30"/>
        <v/>
      </c>
    </row>
    <row r="1942" spans="4:31" x14ac:dyDescent="0.25">
      <c r="D1942" s="973" t="s">
        <v>990</v>
      </c>
      <c r="E1942" s="973" t="s">
        <v>991</v>
      </c>
      <c r="F1942" s="973" t="s">
        <v>992</v>
      </c>
      <c r="G1942" s="973" t="s">
        <v>1997</v>
      </c>
      <c r="H1942" s="973" t="s">
        <v>1998</v>
      </c>
      <c r="I1942" s="973" t="s">
        <v>1999</v>
      </c>
      <c r="J1942" s="973" t="s">
        <v>697</v>
      </c>
      <c r="K1942" s="973" t="s">
        <v>995</v>
      </c>
      <c r="L1942" s="973" t="s">
        <v>996</v>
      </c>
      <c r="M1942" s="973" t="s">
        <v>2000</v>
      </c>
      <c r="N1942" s="973" t="s">
        <v>2001</v>
      </c>
      <c r="O1942" s="973" t="s">
        <v>1971</v>
      </c>
      <c r="P1942" s="973" t="s">
        <v>999</v>
      </c>
      <c r="Q1942" s="973" t="s">
        <v>1000</v>
      </c>
      <c r="R1942" s="973" t="s">
        <v>1001</v>
      </c>
      <c r="S1942" s="973" t="s">
        <v>1002</v>
      </c>
      <c r="AE1942" s="423" t="str">
        <f t="shared" si="30"/>
        <v/>
      </c>
    </row>
    <row r="1943" spans="4:31" x14ac:dyDescent="0.25">
      <c r="D1943" s="973" t="s">
        <v>990</v>
      </c>
      <c r="E1943" s="973" t="s">
        <v>991</v>
      </c>
      <c r="F1943" s="973" t="s">
        <v>992</v>
      </c>
      <c r="G1943" s="973" t="s">
        <v>1997</v>
      </c>
      <c r="H1943" s="973" t="s">
        <v>1998</v>
      </c>
      <c r="I1943" s="973" t="s">
        <v>1999</v>
      </c>
      <c r="J1943" s="973" t="s">
        <v>697</v>
      </c>
      <c r="K1943" s="973" t="s">
        <v>995</v>
      </c>
      <c r="L1943" s="973" t="s">
        <v>996</v>
      </c>
      <c r="M1943" s="973" t="s">
        <v>2000</v>
      </c>
      <c r="N1943" s="973" t="s">
        <v>2001</v>
      </c>
      <c r="O1943" s="973" t="s">
        <v>1971</v>
      </c>
      <c r="P1943" s="973" t="s">
        <v>999</v>
      </c>
      <c r="Q1943" s="973" t="s">
        <v>1000</v>
      </c>
      <c r="R1943" s="973" t="s">
        <v>1001</v>
      </c>
      <c r="S1943" s="973" t="s">
        <v>1002</v>
      </c>
      <c r="AE1943" s="423" t="str">
        <f t="shared" si="30"/>
        <v/>
      </c>
    </row>
    <row r="1944" spans="4:31" x14ac:dyDescent="0.25">
      <c r="D1944" s="973" t="s">
        <v>990</v>
      </c>
      <c r="E1944" s="973" t="s">
        <v>991</v>
      </c>
      <c r="F1944" s="973" t="s">
        <v>992</v>
      </c>
      <c r="G1944" s="973" t="s">
        <v>1997</v>
      </c>
      <c r="H1944" s="973" t="s">
        <v>1998</v>
      </c>
      <c r="I1944" s="973" t="s">
        <v>1999</v>
      </c>
      <c r="J1944" s="973" t="s">
        <v>697</v>
      </c>
      <c r="K1944" s="973" t="s">
        <v>995</v>
      </c>
      <c r="L1944" s="973" t="s">
        <v>996</v>
      </c>
      <c r="M1944" s="973" t="s">
        <v>2000</v>
      </c>
      <c r="N1944" s="973" t="s">
        <v>2001</v>
      </c>
      <c r="O1944" s="973" t="s">
        <v>1971</v>
      </c>
      <c r="P1944" s="973" t="s">
        <v>999</v>
      </c>
      <c r="Q1944" s="973" t="s">
        <v>1000</v>
      </c>
      <c r="R1944" s="973" t="s">
        <v>1001</v>
      </c>
      <c r="S1944" s="973" t="s">
        <v>1002</v>
      </c>
      <c r="AE1944" s="423" t="str">
        <f t="shared" si="30"/>
        <v/>
      </c>
    </row>
    <row r="1945" spans="4:31" x14ac:dyDescent="0.25">
      <c r="D1945" s="973" t="s">
        <v>990</v>
      </c>
      <c r="E1945" s="973" t="s">
        <v>991</v>
      </c>
      <c r="F1945" s="973" t="s">
        <v>992</v>
      </c>
      <c r="G1945" s="973" t="s">
        <v>1997</v>
      </c>
      <c r="H1945" s="973" t="s">
        <v>1998</v>
      </c>
      <c r="I1945" s="973" t="s">
        <v>1999</v>
      </c>
      <c r="J1945" s="973" t="s">
        <v>697</v>
      </c>
      <c r="K1945" s="973" t="s">
        <v>995</v>
      </c>
      <c r="L1945" s="973" t="s">
        <v>996</v>
      </c>
      <c r="M1945" s="973" t="s">
        <v>2000</v>
      </c>
      <c r="N1945" s="973" t="s">
        <v>2001</v>
      </c>
      <c r="O1945" s="973" t="s">
        <v>1971</v>
      </c>
      <c r="P1945" s="973" t="s">
        <v>999</v>
      </c>
      <c r="Q1945" s="973" t="s">
        <v>1000</v>
      </c>
      <c r="R1945" s="973" t="s">
        <v>1001</v>
      </c>
      <c r="S1945" s="973" t="s">
        <v>1002</v>
      </c>
      <c r="AE1945" s="423" t="str">
        <f t="shared" si="30"/>
        <v/>
      </c>
    </row>
    <row r="1946" spans="4:31" x14ac:dyDescent="0.25">
      <c r="D1946" s="973" t="s">
        <v>990</v>
      </c>
      <c r="E1946" s="973" t="s">
        <v>991</v>
      </c>
      <c r="F1946" s="973" t="s">
        <v>992</v>
      </c>
      <c r="G1946" s="973" t="s">
        <v>1997</v>
      </c>
      <c r="H1946" s="973" t="s">
        <v>1998</v>
      </c>
      <c r="I1946" s="973" t="s">
        <v>1999</v>
      </c>
      <c r="J1946" s="973" t="s">
        <v>697</v>
      </c>
      <c r="K1946" s="973" t="s">
        <v>995</v>
      </c>
      <c r="L1946" s="973" t="s">
        <v>996</v>
      </c>
      <c r="M1946" s="973" t="s">
        <v>2000</v>
      </c>
      <c r="N1946" s="973" t="s">
        <v>2001</v>
      </c>
      <c r="O1946" s="973" t="s">
        <v>1971</v>
      </c>
      <c r="P1946" s="973" t="s">
        <v>999</v>
      </c>
      <c r="Q1946" s="973" t="s">
        <v>1000</v>
      </c>
      <c r="R1946" s="973" t="s">
        <v>1001</v>
      </c>
      <c r="S1946" s="973" t="s">
        <v>1002</v>
      </c>
      <c r="AE1946" s="423" t="str">
        <f t="shared" si="30"/>
        <v/>
      </c>
    </row>
    <row r="1947" spans="4:31" x14ac:dyDescent="0.25">
      <c r="D1947" s="973" t="s">
        <v>990</v>
      </c>
      <c r="E1947" s="973" t="s">
        <v>991</v>
      </c>
      <c r="F1947" s="973" t="s">
        <v>992</v>
      </c>
      <c r="G1947" s="973" t="s">
        <v>1997</v>
      </c>
      <c r="H1947" s="973" t="s">
        <v>1998</v>
      </c>
      <c r="I1947" s="973" t="s">
        <v>1999</v>
      </c>
      <c r="J1947" s="973" t="s">
        <v>697</v>
      </c>
      <c r="K1947" s="973" t="s">
        <v>995</v>
      </c>
      <c r="L1947" s="973" t="s">
        <v>996</v>
      </c>
      <c r="M1947" s="973" t="s">
        <v>2000</v>
      </c>
      <c r="N1947" s="973" t="s">
        <v>2001</v>
      </c>
      <c r="O1947" s="973" t="s">
        <v>1971</v>
      </c>
      <c r="P1947" s="973" t="s">
        <v>999</v>
      </c>
      <c r="Q1947" s="973" t="s">
        <v>1000</v>
      </c>
      <c r="R1947" s="973" t="s">
        <v>1001</v>
      </c>
      <c r="S1947" s="973" t="s">
        <v>1002</v>
      </c>
      <c r="AE1947" s="423" t="str">
        <f t="shared" si="30"/>
        <v/>
      </c>
    </row>
    <row r="1948" spans="4:31" x14ac:dyDescent="0.25">
      <c r="D1948" s="973" t="s">
        <v>990</v>
      </c>
      <c r="E1948" s="973" t="s">
        <v>991</v>
      </c>
      <c r="F1948" s="973" t="s">
        <v>992</v>
      </c>
      <c r="G1948" s="973" t="s">
        <v>1997</v>
      </c>
      <c r="H1948" s="973" t="s">
        <v>1998</v>
      </c>
      <c r="I1948" s="973" t="s">
        <v>1999</v>
      </c>
      <c r="J1948" s="973" t="s">
        <v>697</v>
      </c>
      <c r="K1948" s="973" t="s">
        <v>995</v>
      </c>
      <c r="L1948" s="973" t="s">
        <v>996</v>
      </c>
      <c r="M1948" s="973" t="s">
        <v>2000</v>
      </c>
      <c r="N1948" s="973" t="s">
        <v>2001</v>
      </c>
      <c r="O1948" s="973" t="s">
        <v>1971</v>
      </c>
      <c r="P1948" s="973" t="s">
        <v>999</v>
      </c>
      <c r="Q1948" s="973" t="s">
        <v>1000</v>
      </c>
      <c r="R1948" s="973" t="s">
        <v>1001</v>
      </c>
      <c r="S1948" s="973" t="s">
        <v>1002</v>
      </c>
      <c r="AE1948" s="423" t="str">
        <f t="shared" si="30"/>
        <v/>
      </c>
    </row>
    <row r="1949" spans="4:31" x14ac:dyDescent="0.25">
      <c r="D1949" s="973" t="s">
        <v>990</v>
      </c>
      <c r="E1949" s="973" t="s">
        <v>991</v>
      </c>
      <c r="F1949" s="973" t="s">
        <v>992</v>
      </c>
      <c r="G1949" s="973" t="s">
        <v>1997</v>
      </c>
      <c r="H1949" s="973" t="s">
        <v>1998</v>
      </c>
      <c r="I1949" s="973" t="s">
        <v>1999</v>
      </c>
      <c r="J1949" s="973" t="s">
        <v>697</v>
      </c>
      <c r="K1949" s="973" t="s">
        <v>995</v>
      </c>
      <c r="L1949" s="973" t="s">
        <v>996</v>
      </c>
      <c r="M1949" s="973" t="s">
        <v>2000</v>
      </c>
      <c r="N1949" s="973" t="s">
        <v>2001</v>
      </c>
      <c r="O1949" s="973" t="s">
        <v>1971</v>
      </c>
      <c r="P1949" s="973" t="s">
        <v>999</v>
      </c>
      <c r="Q1949" s="973" t="s">
        <v>1000</v>
      </c>
      <c r="R1949" s="973" t="s">
        <v>1001</v>
      </c>
      <c r="S1949" s="973" t="s">
        <v>1002</v>
      </c>
      <c r="AE1949" s="423" t="str">
        <f t="shared" si="30"/>
        <v/>
      </c>
    </row>
    <row r="1950" spans="4:31" x14ac:dyDescent="0.25">
      <c r="D1950" s="973" t="s">
        <v>990</v>
      </c>
      <c r="E1950" s="973" t="s">
        <v>991</v>
      </c>
      <c r="F1950" s="973" t="s">
        <v>992</v>
      </c>
      <c r="G1950" s="973" t="s">
        <v>1997</v>
      </c>
      <c r="H1950" s="973" t="s">
        <v>1998</v>
      </c>
      <c r="I1950" s="973" t="s">
        <v>1999</v>
      </c>
      <c r="J1950" s="973" t="s">
        <v>697</v>
      </c>
      <c r="K1950" s="973" t="s">
        <v>995</v>
      </c>
      <c r="L1950" s="973" t="s">
        <v>996</v>
      </c>
      <c r="M1950" s="973" t="s">
        <v>2000</v>
      </c>
      <c r="N1950" s="973" t="s">
        <v>2001</v>
      </c>
      <c r="O1950" s="973" t="s">
        <v>1971</v>
      </c>
      <c r="P1950" s="973" t="s">
        <v>999</v>
      </c>
      <c r="Q1950" s="973" t="s">
        <v>1000</v>
      </c>
      <c r="R1950" s="973" t="s">
        <v>1001</v>
      </c>
      <c r="S1950" s="973" t="s">
        <v>1002</v>
      </c>
      <c r="AE1950" s="423" t="str">
        <f t="shared" si="30"/>
        <v/>
      </c>
    </row>
    <row r="1951" spans="4:31" x14ac:dyDescent="0.25">
      <c r="D1951" s="973" t="s">
        <v>990</v>
      </c>
      <c r="E1951" s="973" t="s">
        <v>991</v>
      </c>
      <c r="F1951" s="973" t="s">
        <v>992</v>
      </c>
      <c r="G1951" s="973" t="s">
        <v>1997</v>
      </c>
      <c r="H1951" s="973" t="s">
        <v>1998</v>
      </c>
      <c r="I1951" s="973" t="s">
        <v>1999</v>
      </c>
      <c r="J1951" s="973" t="s">
        <v>697</v>
      </c>
      <c r="K1951" s="973" t="s">
        <v>995</v>
      </c>
      <c r="L1951" s="973" t="s">
        <v>996</v>
      </c>
      <c r="M1951" s="973" t="s">
        <v>2000</v>
      </c>
      <c r="N1951" s="973" t="s">
        <v>2001</v>
      </c>
      <c r="O1951" s="973" t="s">
        <v>1971</v>
      </c>
      <c r="P1951" s="973" t="s">
        <v>999</v>
      </c>
      <c r="Q1951" s="973" t="s">
        <v>1000</v>
      </c>
      <c r="R1951" s="973" t="s">
        <v>1001</v>
      </c>
      <c r="S1951" s="973" t="s">
        <v>1002</v>
      </c>
      <c r="AE1951" s="423" t="str">
        <f t="shared" si="30"/>
        <v/>
      </c>
    </row>
    <row r="1952" spans="4:31" x14ac:dyDescent="0.25">
      <c r="D1952" s="973" t="s">
        <v>990</v>
      </c>
      <c r="E1952" s="973" t="s">
        <v>991</v>
      </c>
      <c r="F1952" s="973" t="s">
        <v>992</v>
      </c>
      <c r="G1952" s="973" t="s">
        <v>1997</v>
      </c>
      <c r="H1952" s="973" t="s">
        <v>1998</v>
      </c>
      <c r="I1952" s="973" t="s">
        <v>1999</v>
      </c>
      <c r="J1952" s="973" t="s">
        <v>697</v>
      </c>
      <c r="K1952" s="973" t="s">
        <v>995</v>
      </c>
      <c r="L1952" s="973" t="s">
        <v>996</v>
      </c>
      <c r="M1952" s="973" t="s">
        <v>2000</v>
      </c>
      <c r="N1952" s="973" t="s">
        <v>2001</v>
      </c>
      <c r="O1952" s="973" t="s">
        <v>1971</v>
      </c>
      <c r="P1952" s="973" t="s">
        <v>999</v>
      </c>
      <c r="Q1952" s="973" t="s">
        <v>1000</v>
      </c>
      <c r="R1952" s="973" t="s">
        <v>1001</v>
      </c>
      <c r="S1952" s="973" t="s">
        <v>1002</v>
      </c>
      <c r="AE1952" s="423" t="str">
        <f t="shared" si="30"/>
        <v/>
      </c>
    </row>
    <row r="1953" spans="4:31" x14ac:dyDescent="0.25">
      <c r="D1953" s="973" t="s">
        <v>990</v>
      </c>
      <c r="E1953" s="973" t="s">
        <v>991</v>
      </c>
      <c r="F1953" s="973" t="s">
        <v>992</v>
      </c>
      <c r="G1953" s="973" t="s">
        <v>1997</v>
      </c>
      <c r="H1953" s="973" t="s">
        <v>1998</v>
      </c>
      <c r="I1953" s="973" t="s">
        <v>1999</v>
      </c>
      <c r="J1953" s="973" t="s">
        <v>697</v>
      </c>
      <c r="K1953" s="973" t="s">
        <v>995</v>
      </c>
      <c r="L1953" s="973" t="s">
        <v>996</v>
      </c>
      <c r="M1953" s="973" t="s">
        <v>2000</v>
      </c>
      <c r="N1953" s="973" t="s">
        <v>2001</v>
      </c>
      <c r="O1953" s="973" t="s">
        <v>1971</v>
      </c>
      <c r="P1953" s="973" t="s">
        <v>999</v>
      </c>
      <c r="Q1953" s="973" t="s">
        <v>1000</v>
      </c>
      <c r="R1953" s="973" t="s">
        <v>1001</v>
      </c>
      <c r="S1953" s="973" t="s">
        <v>1002</v>
      </c>
      <c r="AE1953" s="423" t="str">
        <f t="shared" si="30"/>
        <v/>
      </c>
    </row>
    <row r="1954" spans="4:31" x14ac:dyDescent="0.25">
      <c r="D1954" s="973" t="s">
        <v>990</v>
      </c>
      <c r="E1954" s="973" t="s">
        <v>991</v>
      </c>
      <c r="F1954" s="973" t="s">
        <v>992</v>
      </c>
      <c r="G1954" s="973" t="s">
        <v>1997</v>
      </c>
      <c r="H1954" s="973" t="s">
        <v>1998</v>
      </c>
      <c r="I1954" s="973" t="s">
        <v>1999</v>
      </c>
      <c r="J1954" s="973" t="s">
        <v>697</v>
      </c>
      <c r="K1954" s="973" t="s">
        <v>995</v>
      </c>
      <c r="L1954" s="973" t="s">
        <v>996</v>
      </c>
      <c r="M1954" s="973" t="s">
        <v>2000</v>
      </c>
      <c r="N1954" s="973" t="s">
        <v>2001</v>
      </c>
      <c r="O1954" s="973" t="s">
        <v>1971</v>
      </c>
      <c r="P1954" s="973" t="s">
        <v>999</v>
      </c>
      <c r="Q1954" s="973" t="s">
        <v>1000</v>
      </c>
      <c r="R1954" s="973" t="s">
        <v>1001</v>
      </c>
      <c r="S1954" s="973" t="s">
        <v>1002</v>
      </c>
      <c r="AE1954" s="423" t="str">
        <f t="shared" si="30"/>
        <v/>
      </c>
    </row>
    <row r="1955" spans="4:31" x14ac:dyDescent="0.25">
      <c r="D1955" s="973" t="s">
        <v>990</v>
      </c>
      <c r="E1955" s="973" t="s">
        <v>991</v>
      </c>
      <c r="F1955" s="973" t="s">
        <v>992</v>
      </c>
      <c r="G1955" s="973" t="s">
        <v>1997</v>
      </c>
      <c r="H1955" s="973" t="s">
        <v>1998</v>
      </c>
      <c r="I1955" s="973" t="s">
        <v>1999</v>
      </c>
      <c r="J1955" s="973" t="s">
        <v>697</v>
      </c>
      <c r="K1955" s="973" t="s">
        <v>995</v>
      </c>
      <c r="L1955" s="973" t="s">
        <v>996</v>
      </c>
      <c r="M1955" s="973" t="s">
        <v>2000</v>
      </c>
      <c r="N1955" s="973" t="s">
        <v>2001</v>
      </c>
      <c r="O1955" s="973" t="s">
        <v>1971</v>
      </c>
      <c r="P1955" s="973" t="s">
        <v>999</v>
      </c>
      <c r="Q1955" s="973" t="s">
        <v>1000</v>
      </c>
      <c r="R1955" s="973" t="s">
        <v>1001</v>
      </c>
      <c r="S1955" s="973" t="s">
        <v>1002</v>
      </c>
      <c r="AE1955" s="423" t="str">
        <f t="shared" si="30"/>
        <v/>
      </c>
    </row>
    <row r="1956" spans="4:31" x14ac:dyDescent="0.25">
      <c r="D1956" s="973" t="s">
        <v>990</v>
      </c>
      <c r="E1956" s="973" t="s">
        <v>991</v>
      </c>
      <c r="F1956" s="973" t="s">
        <v>992</v>
      </c>
      <c r="G1956" s="973" t="s">
        <v>1997</v>
      </c>
      <c r="H1956" s="973" t="s">
        <v>1998</v>
      </c>
      <c r="I1956" s="973" t="s">
        <v>1999</v>
      </c>
      <c r="J1956" s="973" t="s">
        <v>697</v>
      </c>
      <c r="K1956" s="973" t="s">
        <v>995</v>
      </c>
      <c r="L1956" s="973" t="s">
        <v>996</v>
      </c>
      <c r="M1956" s="973" t="s">
        <v>2000</v>
      </c>
      <c r="N1956" s="973" t="s">
        <v>2001</v>
      </c>
      <c r="O1956" s="973" t="s">
        <v>1971</v>
      </c>
      <c r="P1956" s="973" t="s">
        <v>999</v>
      </c>
      <c r="Q1956" s="973" t="s">
        <v>1000</v>
      </c>
      <c r="R1956" s="973" t="s">
        <v>1001</v>
      </c>
      <c r="S1956" s="973" t="s">
        <v>1002</v>
      </c>
      <c r="AE1956" s="423" t="str">
        <f t="shared" si="30"/>
        <v/>
      </c>
    </row>
    <row r="1957" spans="4:31" x14ac:dyDescent="0.25">
      <c r="D1957" s="973" t="s">
        <v>990</v>
      </c>
      <c r="E1957" s="973" t="s">
        <v>991</v>
      </c>
      <c r="F1957" s="973" t="s">
        <v>992</v>
      </c>
      <c r="G1957" s="973" t="s">
        <v>1997</v>
      </c>
      <c r="H1957" s="973" t="s">
        <v>1998</v>
      </c>
      <c r="I1957" s="973" t="s">
        <v>1999</v>
      </c>
      <c r="J1957" s="973" t="s">
        <v>697</v>
      </c>
      <c r="K1957" s="973" t="s">
        <v>995</v>
      </c>
      <c r="L1957" s="973" t="s">
        <v>996</v>
      </c>
      <c r="M1957" s="973" t="s">
        <v>2000</v>
      </c>
      <c r="N1957" s="973" t="s">
        <v>2001</v>
      </c>
      <c r="O1957" s="973" t="s">
        <v>1971</v>
      </c>
      <c r="P1957" s="973" t="s">
        <v>999</v>
      </c>
      <c r="Q1957" s="973" t="s">
        <v>1000</v>
      </c>
      <c r="R1957" s="973" t="s">
        <v>1001</v>
      </c>
      <c r="S1957" s="973" t="s">
        <v>1002</v>
      </c>
      <c r="AE1957" s="423" t="str">
        <f t="shared" si="30"/>
        <v/>
      </c>
    </row>
    <row r="1958" spans="4:31" x14ac:dyDescent="0.25">
      <c r="D1958" s="973" t="s">
        <v>990</v>
      </c>
      <c r="E1958" s="973" t="s">
        <v>991</v>
      </c>
      <c r="F1958" s="973" t="s">
        <v>992</v>
      </c>
      <c r="G1958" s="973" t="s">
        <v>1997</v>
      </c>
      <c r="H1958" s="973" t="s">
        <v>1998</v>
      </c>
      <c r="I1958" s="973" t="s">
        <v>1999</v>
      </c>
      <c r="J1958" s="973" t="s">
        <v>697</v>
      </c>
      <c r="K1958" s="973" t="s">
        <v>995</v>
      </c>
      <c r="L1958" s="973" t="s">
        <v>996</v>
      </c>
      <c r="M1958" s="973" t="s">
        <v>2000</v>
      </c>
      <c r="N1958" s="973" t="s">
        <v>2001</v>
      </c>
      <c r="O1958" s="973" t="s">
        <v>1971</v>
      </c>
      <c r="P1958" s="973" t="s">
        <v>999</v>
      </c>
      <c r="Q1958" s="973" t="s">
        <v>1000</v>
      </c>
      <c r="R1958" s="973" t="s">
        <v>1001</v>
      </c>
      <c r="S1958" s="973" t="s">
        <v>1002</v>
      </c>
      <c r="AE1958" s="423" t="str">
        <f t="shared" si="30"/>
        <v/>
      </c>
    </row>
    <row r="1959" spans="4:31" x14ac:dyDescent="0.25">
      <c r="D1959" s="973" t="s">
        <v>990</v>
      </c>
      <c r="E1959" s="973" t="s">
        <v>991</v>
      </c>
      <c r="F1959" s="973" t="s">
        <v>992</v>
      </c>
      <c r="G1959" s="973" t="s">
        <v>1997</v>
      </c>
      <c r="H1959" s="973" t="s">
        <v>1998</v>
      </c>
      <c r="I1959" s="973" t="s">
        <v>1999</v>
      </c>
      <c r="J1959" s="973" t="s">
        <v>697</v>
      </c>
      <c r="K1959" s="973" t="s">
        <v>995</v>
      </c>
      <c r="L1959" s="973" t="s">
        <v>996</v>
      </c>
      <c r="M1959" s="973" t="s">
        <v>2000</v>
      </c>
      <c r="N1959" s="973" t="s">
        <v>2001</v>
      </c>
      <c r="O1959" s="973" t="s">
        <v>1971</v>
      </c>
      <c r="P1959" s="973" t="s">
        <v>999</v>
      </c>
      <c r="Q1959" s="973" t="s">
        <v>1000</v>
      </c>
      <c r="R1959" s="973" t="s">
        <v>1001</v>
      </c>
      <c r="S1959" s="973" t="s">
        <v>1002</v>
      </c>
      <c r="AE1959" s="423" t="str">
        <f t="shared" si="30"/>
        <v/>
      </c>
    </row>
    <row r="1960" spans="4:31" x14ac:dyDescent="0.25">
      <c r="D1960" s="973" t="s">
        <v>990</v>
      </c>
      <c r="E1960" s="973" t="s">
        <v>991</v>
      </c>
      <c r="F1960" s="973" t="s">
        <v>992</v>
      </c>
      <c r="G1960" s="973" t="s">
        <v>1997</v>
      </c>
      <c r="H1960" s="973" t="s">
        <v>1998</v>
      </c>
      <c r="I1960" s="973" t="s">
        <v>1999</v>
      </c>
      <c r="J1960" s="973" t="s">
        <v>697</v>
      </c>
      <c r="K1960" s="973" t="s">
        <v>995</v>
      </c>
      <c r="L1960" s="973" t="s">
        <v>996</v>
      </c>
      <c r="M1960" s="973" t="s">
        <v>2000</v>
      </c>
      <c r="N1960" s="973" t="s">
        <v>2001</v>
      </c>
      <c r="O1960" s="973" t="s">
        <v>1971</v>
      </c>
      <c r="P1960" s="973" t="s">
        <v>999</v>
      </c>
      <c r="Q1960" s="973" t="s">
        <v>1000</v>
      </c>
      <c r="R1960" s="973" t="s">
        <v>1001</v>
      </c>
      <c r="S1960" s="973" t="s">
        <v>1002</v>
      </c>
      <c r="AE1960" s="423" t="str">
        <f t="shared" si="30"/>
        <v/>
      </c>
    </row>
    <row r="1961" spans="4:31" x14ac:dyDescent="0.25">
      <c r="D1961" s="973" t="s">
        <v>990</v>
      </c>
      <c r="E1961" s="973" t="s">
        <v>991</v>
      </c>
      <c r="F1961" s="973" t="s">
        <v>992</v>
      </c>
      <c r="G1961" s="973" t="s">
        <v>1997</v>
      </c>
      <c r="H1961" s="973" t="s">
        <v>1998</v>
      </c>
      <c r="I1961" s="973" t="s">
        <v>1999</v>
      </c>
      <c r="J1961" s="973" t="s">
        <v>697</v>
      </c>
      <c r="K1961" s="973" t="s">
        <v>995</v>
      </c>
      <c r="L1961" s="973" t="s">
        <v>996</v>
      </c>
      <c r="M1961" s="973" t="s">
        <v>2000</v>
      </c>
      <c r="N1961" s="973" t="s">
        <v>2001</v>
      </c>
      <c r="O1961" s="973" t="s">
        <v>1971</v>
      </c>
      <c r="P1961" s="973" t="s">
        <v>999</v>
      </c>
      <c r="Q1961" s="973" t="s">
        <v>1000</v>
      </c>
      <c r="R1961" s="973" t="s">
        <v>1001</v>
      </c>
      <c r="S1961" s="973" t="s">
        <v>1002</v>
      </c>
      <c r="AE1961" s="423" t="str">
        <f t="shared" si="30"/>
        <v/>
      </c>
    </row>
    <row r="1962" spans="4:31" x14ac:dyDescent="0.25">
      <c r="D1962" s="973" t="s">
        <v>990</v>
      </c>
      <c r="E1962" s="973" t="s">
        <v>991</v>
      </c>
      <c r="F1962" s="973" t="s">
        <v>992</v>
      </c>
      <c r="G1962" s="973" t="s">
        <v>1997</v>
      </c>
      <c r="H1962" s="973" t="s">
        <v>1998</v>
      </c>
      <c r="I1962" s="973" t="s">
        <v>1999</v>
      </c>
      <c r="J1962" s="973" t="s">
        <v>697</v>
      </c>
      <c r="K1962" s="973" t="s">
        <v>995</v>
      </c>
      <c r="L1962" s="973" t="s">
        <v>996</v>
      </c>
      <c r="M1962" s="973" t="s">
        <v>2000</v>
      </c>
      <c r="N1962" s="973" t="s">
        <v>2001</v>
      </c>
      <c r="O1962" s="973" t="s">
        <v>1971</v>
      </c>
      <c r="P1962" s="973" t="s">
        <v>999</v>
      </c>
      <c r="Q1962" s="973" t="s">
        <v>1000</v>
      </c>
      <c r="R1962" s="973" t="s">
        <v>1001</v>
      </c>
      <c r="S1962" s="973" t="s">
        <v>1002</v>
      </c>
      <c r="AE1962" s="423" t="str">
        <f t="shared" si="30"/>
        <v/>
      </c>
    </row>
    <row r="1963" spans="4:31" x14ac:dyDescent="0.25">
      <c r="D1963" s="973" t="s">
        <v>990</v>
      </c>
      <c r="E1963" s="973" t="s">
        <v>991</v>
      </c>
      <c r="F1963" s="973" t="s">
        <v>992</v>
      </c>
      <c r="G1963" s="973" t="s">
        <v>1997</v>
      </c>
      <c r="H1963" s="973" t="s">
        <v>1998</v>
      </c>
      <c r="I1963" s="973" t="s">
        <v>1999</v>
      </c>
      <c r="J1963" s="973" t="s">
        <v>697</v>
      </c>
      <c r="K1963" s="973" t="s">
        <v>995</v>
      </c>
      <c r="L1963" s="973" t="s">
        <v>996</v>
      </c>
      <c r="M1963" s="973" t="s">
        <v>2000</v>
      </c>
      <c r="N1963" s="973" t="s">
        <v>2001</v>
      </c>
      <c r="O1963" s="973" t="s">
        <v>1971</v>
      </c>
      <c r="P1963" s="973" t="s">
        <v>999</v>
      </c>
      <c r="Q1963" s="973" t="s">
        <v>1000</v>
      </c>
      <c r="R1963" s="973" t="s">
        <v>1001</v>
      </c>
      <c r="S1963" s="973" t="s">
        <v>1002</v>
      </c>
      <c r="AE1963" s="423" t="str">
        <f t="shared" si="30"/>
        <v/>
      </c>
    </row>
    <row r="1964" spans="4:31" x14ac:dyDescent="0.25">
      <c r="D1964" s="973" t="s">
        <v>990</v>
      </c>
      <c r="E1964" s="973" t="s">
        <v>991</v>
      </c>
      <c r="F1964" s="973" t="s">
        <v>992</v>
      </c>
      <c r="G1964" s="973" t="s">
        <v>1997</v>
      </c>
      <c r="H1964" s="973" t="s">
        <v>1998</v>
      </c>
      <c r="I1964" s="973" t="s">
        <v>1999</v>
      </c>
      <c r="J1964" s="973" t="s">
        <v>697</v>
      </c>
      <c r="K1964" s="973" t="s">
        <v>995</v>
      </c>
      <c r="L1964" s="973" t="s">
        <v>996</v>
      </c>
      <c r="M1964" s="973" t="s">
        <v>2000</v>
      </c>
      <c r="N1964" s="973" t="s">
        <v>2001</v>
      </c>
      <c r="O1964" s="973" t="s">
        <v>1971</v>
      </c>
      <c r="P1964" s="973" t="s">
        <v>999</v>
      </c>
      <c r="Q1964" s="973" t="s">
        <v>1000</v>
      </c>
      <c r="R1964" s="973" t="s">
        <v>1001</v>
      </c>
      <c r="S1964" s="973" t="s">
        <v>1002</v>
      </c>
      <c r="AE1964" s="423" t="str">
        <f t="shared" si="30"/>
        <v/>
      </c>
    </row>
    <row r="1965" spans="4:31" x14ac:dyDescent="0.25">
      <c r="D1965" s="973" t="s">
        <v>990</v>
      </c>
      <c r="E1965" s="973" t="s">
        <v>991</v>
      </c>
      <c r="F1965" s="973" t="s">
        <v>992</v>
      </c>
      <c r="G1965" s="973" t="s">
        <v>1997</v>
      </c>
      <c r="H1965" s="973" t="s">
        <v>1998</v>
      </c>
      <c r="I1965" s="973" t="s">
        <v>1999</v>
      </c>
      <c r="J1965" s="973" t="s">
        <v>697</v>
      </c>
      <c r="K1965" s="973" t="s">
        <v>995</v>
      </c>
      <c r="L1965" s="973" t="s">
        <v>996</v>
      </c>
      <c r="M1965" s="973" t="s">
        <v>2000</v>
      </c>
      <c r="N1965" s="973" t="s">
        <v>2001</v>
      </c>
      <c r="O1965" s="973" t="s">
        <v>1971</v>
      </c>
      <c r="P1965" s="973" t="s">
        <v>999</v>
      </c>
      <c r="Q1965" s="973" t="s">
        <v>1000</v>
      </c>
      <c r="R1965" s="973" t="s">
        <v>1001</v>
      </c>
      <c r="S1965" s="973" t="s">
        <v>1002</v>
      </c>
      <c r="AE1965" s="423" t="str">
        <f t="shared" si="30"/>
        <v/>
      </c>
    </row>
    <row r="1966" spans="4:31" x14ac:dyDescent="0.25">
      <c r="D1966" s="973" t="s">
        <v>990</v>
      </c>
      <c r="E1966" s="973" t="s">
        <v>991</v>
      </c>
      <c r="F1966" s="973" t="s">
        <v>992</v>
      </c>
      <c r="G1966" s="973" t="s">
        <v>1997</v>
      </c>
      <c r="H1966" s="973" t="s">
        <v>1998</v>
      </c>
      <c r="I1966" s="973" t="s">
        <v>1999</v>
      </c>
      <c r="J1966" s="973" t="s">
        <v>697</v>
      </c>
      <c r="K1966" s="973" t="s">
        <v>995</v>
      </c>
      <c r="L1966" s="973" t="s">
        <v>996</v>
      </c>
      <c r="M1966" s="973" t="s">
        <v>2000</v>
      </c>
      <c r="N1966" s="973" t="s">
        <v>2001</v>
      </c>
      <c r="O1966" s="973" t="s">
        <v>1971</v>
      </c>
      <c r="P1966" s="973" t="s">
        <v>999</v>
      </c>
      <c r="Q1966" s="973" t="s">
        <v>1000</v>
      </c>
      <c r="R1966" s="973" t="s">
        <v>1001</v>
      </c>
      <c r="S1966" s="973" t="s">
        <v>1002</v>
      </c>
      <c r="AE1966" s="423" t="str">
        <f t="shared" si="30"/>
        <v/>
      </c>
    </row>
    <row r="1967" spans="4:31" x14ac:dyDescent="0.25">
      <c r="D1967" s="973" t="s">
        <v>990</v>
      </c>
      <c r="E1967" s="973" t="s">
        <v>991</v>
      </c>
      <c r="F1967" s="973" t="s">
        <v>992</v>
      </c>
      <c r="G1967" s="973" t="s">
        <v>1997</v>
      </c>
      <c r="H1967" s="973" t="s">
        <v>1998</v>
      </c>
      <c r="I1967" s="973" t="s">
        <v>1999</v>
      </c>
      <c r="J1967" s="973" t="s">
        <v>697</v>
      </c>
      <c r="K1967" s="973" t="s">
        <v>995</v>
      </c>
      <c r="L1967" s="973" t="s">
        <v>996</v>
      </c>
      <c r="M1967" s="973" t="s">
        <v>2000</v>
      </c>
      <c r="N1967" s="973" t="s">
        <v>2001</v>
      </c>
      <c r="O1967" s="973" t="s">
        <v>1971</v>
      </c>
      <c r="P1967" s="973" t="s">
        <v>999</v>
      </c>
      <c r="Q1967" s="973" t="s">
        <v>1000</v>
      </c>
      <c r="R1967" s="973" t="s">
        <v>1001</v>
      </c>
      <c r="S1967" s="973" t="s">
        <v>1002</v>
      </c>
      <c r="AE1967" s="423" t="str">
        <f t="shared" si="30"/>
        <v/>
      </c>
    </row>
    <row r="1968" spans="4:31" x14ac:dyDescent="0.25">
      <c r="D1968" s="973" t="s">
        <v>990</v>
      </c>
      <c r="E1968" s="973" t="s">
        <v>991</v>
      </c>
      <c r="F1968" s="973" t="s">
        <v>992</v>
      </c>
      <c r="G1968" s="973" t="s">
        <v>1997</v>
      </c>
      <c r="H1968" s="973" t="s">
        <v>1998</v>
      </c>
      <c r="I1968" s="973" t="s">
        <v>1999</v>
      </c>
      <c r="J1968" s="973" t="s">
        <v>697</v>
      </c>
      <c r="K1968" s="973" t="s">
        <v>995</v>
      </c>
      <c r="L1968" s="973" t="s">
        <v>996</v>
      </c>
      <c r="M1968" s="973" t="s">
        <v>2000</v>
      </c>
      <c r="N1968" s="973" t="s">
        <v>2001</v>
      </c>
      <c r="O1968" s="973" t="s">
        <v>1971</v>
      </c>
      <c r="P1968" s="973" t="s">
        <v>999</v>
      </c>
      <c r="Q1968" s="973" t="s">
        <v>1000</v>
      </c>
      <c r="R1968" s="973" t="s">
        <v>1001</v>
      </c>
      <c r="S1968" s="973" t="s">
        <v>1002</v>
      </c>
      <c r="AE1968" s="423" t="str">
        <f t="shared" si="30"/>
        <v/>
      </c>
    </row>
    <row r="1969" spans="4:31" x14ac:dyDescent="0.25">
      <c r="D1969" s="973" t="s">
        <v>990</v>
      </c>
      <c r="E1969" s="973" t="s">
        <v>991</v>
      </c>
      <c r="F1969" s="973" t="s">
        <v>992</v>
      </c>
      <c r="G1969" s="973" t="s">
        <v>1997</v>
      </c>
      <c r="H1969" s="973" t="s">
        <v>1998</v>
      </c>
      <c r="I1969" s="973" t="s">
        <v>1999</v>
      </c>
      <c r="J1969" s="973" t="s">
        <v>697</v>
      </c>
      <c r="K1969" s="973" t="s">
        <v>995</v>
      </c>
      <c r="L1969" s="973" t="s">
        <v>996</v>
      </c>
      <c r="M1969" s="973" t="s">
        <v>2000</v>
      </c>
      <c r="N1969" s="973" t="s">
        <v>2001</v>
      </c>
      <c r="O1969" s="973" t="s">
        <v>1971</v>
      </c>
      <c r="P1969" s="973" t="s">
        <v>999</v>
      </c>
      <c r="Q1969" s="973" t="s">
        <v>1000</v>
      </c>
      <c r="R1969" s="973" t="s">
        <v>1001</v>
      </c>
      <c r="S1969" s="973" t="s">
        <v>1002</v>
      </c>
      <c r="AE1969" s="423" t="str">
        <f t="shared" si="30"/>
        <v/>
      </c>
    </row>
    <row r="1970" spans="4:31" x14ac:dyDescent="0.25">
      <c r="D1970" s="973" t="s">
        <v>990</v>
      </c>
      <c r="E1970" s="973" t="s">
        <v>991</v>
      </c>
      <c r="F1970" s="973" t="s">
        <v>992</v>
      </c>
      <c r="G1970" s="973" t="s">
        <v>1997</v>
      </c>
      <c r="H1970" s="973" t="s">
        <v>1998</v>
      </c>
      <c r="I1970" s="973" t="s">
        <v>1999</v>
      </c>
      <c r="J1970" s="973" t="s">
        <v>697</v>
      </c>
      <c r="K1970" s="973" t="s">
        <v>995</v>
      </c>
      <c r="L1970" s="973" t="s">
        <v>996</v>
      </c>
      <c r="M1970" s="973" t="s">
        <v>2000</v>
      </c>
      <c r="N1970" s="973" t="s">
        <v>2001</v>
      </c>
      <c r="O1970" s="973" t="s">
        <v>1971</v>
      </c>
      <c r="P1970" s="973" t="s">
        <v>999</v>
      </c>
      <c r="Q1970" s="973" t="s">
        <v>1000</v>
      </c>
      <c r="R1970" s="973" t="s">
        <v>1001</v>
      </c>
      <c r="S1970" s="973" t="s">
        <v>1002</v>
      </c>
      <c r="AE1970" s="423" t="str">
        <f t="shared" si="30"/>
        <v/>
      </c>
    </row>
    <row r="1971" spans="4:31" x14ac:dyDescent="0.25">
      <c r="D1971" s="973" t="s">
        <v>990</v>
      </c>
      <c r="E1971" s="973" t="s">
        <v>991</v>
      </c>
      <c r="F1971" s="973" t="s">
        <v>992</v>
      </c>
      <c r="G1971" s="973" t="s">
        <v>1997</v>
      </c>
      <c r="H1971" s="973" t="s">
        <v>1998</v>
      </c>
      <c r="I1971" s="973" t="s">
        <v>1999</v>
      </c>
      <c r="J1971" s="973" t="s">
        <v>697</v>
      </c>
      <c r="K1971" s="973" t="s">
        <v>995</v>
      </c>
      <c r="L1971" s="973" t="s">
        <v>996</v>
      </c>
      <c r="M1971" s="973" t="s">
        <v>2000</v>
      </c>
      <c r="N1971" s="973" t="s">
        <v>2001</v>
      </c>
      <c r="O1971" s="973" t="s">
        <v>1971</v>
      </c>
      <c r="P1971" s="973" t="s">
        <v>999</v>
      </c>
      <c r="Q1971" s="973" t="s">
        <v>1000</v>
      </c>
      <c r="R1971" s="973" t="s">
        <v>1001</v>
      </c>
      <c r="S1971" s="973" t="s">
        <v>1002</v>
      </c>
      <c r="AE1971" s="423" t="str">
        <f t="shared" si="30"/>
        <v/>
      </c>
    </row>
    <row r="1972" spans="4:31" x14ac:dyDescent="0.25">
      <c r="D1972" s="973" t="s">
        <v>990</v>
      </c>
      <c r="E1972" s="973" t="s">
        <v>991</v>
      </c>
      <c r="F1972" s="973" t="s">
        <v>992</v>
      </c>
      <c r="G1972" s="973" t="s">
        <v>1997</v>
      </c>
      <c r="H1972" s="973" t="s">
        <v>1998</v>
      </c>
      <c r="I1972" s="973" t="s">
        <v>1999</v>
      </c>
      <c r="J1972" s="973" t="s">
        <v>697</v>
      </c>
      <c r="K1972" s="973" t="s">
        <v>995</v>
      </c>
      <c r="L1972" s="973" t="s">
        <v>996</v>
      </c>
      <c r="M1972" s="973" t="s">
        <v>2000</v>
      </c>
      <c r="N1972" s="973" t="s">
        <v>2001</v>
      </c>
      <c r="O1972" s="973" t="s">
        <v>1971</v>
      </c>
      <c r="P1972" s="973" t="s">
        <v>999</v>
      </c>
      <c r="Q1972" s="973" t="s">
        <v>1000</v>
      </c>
      <c r="R1972" s="973" t="s">
        <v>1001</v>
      </c>
      <c r="S1972" s="973" t="s">
        <v>1002</v>
      </c>
      <c r="AE1972" s="423" t="str">
        <f t="shared" si="30"/>
        <v/>
      </c>
    </row>
    <row r="1973" spans="4:31" x14ac:dyDescent="0.25">
      <c r="D1973" s="973" t="s">
        <v>990</v>
      </c>
      <c r="E1973" s="973" t="s">
        <v>991</v>
      </c>
      <c r="F1973" s="973" t="s">
        <v>992</v>
      </c>
      <c r="G1973" s="973" t="s">
        <v>1997</v>
      </c>
      <c r="H1973" s="973" t="s">
        <v>1998</v>
      </c>
      <c r="I1973" s="973" t="s">
        <v>1999</v>
      </c>
      <c r="J1973" s="973" t="s">
        <v>697</v>
      </c>
      <c r="K1973" s="973" t="s">
        <v>995</v>
      </c>
      <c r="L1973" s="973" t="s">
        <v>996</v>
      </c>
      <c r="M1973" s="973" t="s">
        <v>2000</v>
      </c>
      <c r="N1973" s="973" t="s">
        <v>2001</v>
      </c>
      <c r="O1973" s="973" t="s">
        <v>1971</v>
      </c>
      <c r="P1973" s="973" t="s">
        <v>999</v>
      </c>
      <c r="Q1973" s="973" t="s">
        <v>1000</v>
      </c>
      <c r="R1973" s="973" t="s">
        <v>1001</v>
      </c>
      <c r="S1973" s="973" t="s">
        <v>1002</v>
      </c>
      <c r="AE1973" s="423" t="str">
        <f t="shared" si="30"/>
        <v/>
      </c>
    </row>
    <row r="1974" spans="4:31" x14ac:dyDescent="0.25">
      <c r="D1974" s="973" t="s">
        <v>990</v>
      </c>
      <c r="E1974" s="973" t="s">
        <v>991</v>
      </c>
      <c r="F1974" s="973" t="s">
        <v>992</v>
      </c>
      <c r="G1974" s="973" t="s">
        <v>1997</v>
      </c>
      <c r="H1974" s="973" t="s">
        <v>1998</v>
      </c>
      <c r="I1974" s="973" t="s">
        <v>1999</v>
      </c>
      <c r="J1974" s="973" t="s">
        <v>697</v>
      </c>
      <c r="K1974" s="973" t="s">
        <v>995</v>
      </c>
      <c r="L1974" s="973" t="s">
        <v>996</v>
      </c>
      <c r="M1974" s="973" t="s">
        <v>2000</v>
      </c>
      <c r="N1974" s="973" t="s">
        <v>2001</v>
      </c>
      <c r="O1974" s="973" t="s">
        <v>1971</v>
      </c>
      <c r="P1974" s="973" t="s">
        <v>999</v>
      </c>
      <c r="Q1974" s="973" t="s">
        <v>1000</v>
      </c>
      <c r="R1974" s="973" t="s">
        <v>1001</v>
      </c>
      <c r="S1974" s="973" t="s">
        <v>1002</v>
      </c>
      <c r="AE1974" s="423" t="str">
        <f t="shared" si="30"/>
        <v/>
      </c>
    </row>
    <row r="1975" spans="4:31" x14ac:dyDescent="0.25">
      <c r="D1975" s="973" t="s">
        <v>990</v>
      </c>
      <c r="E1975" s="973" t="s">
        <v>991</v>
      </c>
      <c r="F1975" s="973" t="s">
        <v>992</v>
      </c>
      <c r="G1975" s="973" t="s">
        <v>1997</v>
      </c>
      <c r="H1975" s="973" t="s">
        <v>1998</v>
      </c>
      <c r="I1975" s="973" t="s">
        <v>1999</v>
      </c>
      <c r="J1975" s="973" t="s">
        <v>697</v>
      </c>
      <c r="K1975" s="973" t="s">
        <v>995</v>
      </c>
      <c r="L1975" s="973" t="s">
        <v>996</v>
      </c>
      <c r="M1975" s="973" t="s">
        <v>2000</v>
      </c>
      <c r="N1975" s="973" t="s">
        <v>2001</v>
      </c>
      <c r="O1975" s="973" t="s">
        <v>1971</v>
      </c>
      <c r="P1975" s="973" t="s">
        <v>999</v>
      </c>
      <c r="Q1975" s="973" t="s">
        <v>1000</v>
      </c>
      <c r="R1975" s="973" t="s">
        <v>1001</v>
      </c>
      <c r="S1975" s="973" t="s">
        <v>1002</v>
      </c>
      <c r="AE1975" s="423" t="str">
        <f t="shared" si="30"/>
        <v/>
      </c>
    </row>
    <row r="1976" spans="4:31" x14ac:dyDescent="0.25">
      <c r="D1976" s="973" t="s">
        <v>990</v>
      </c>
      <c r="E1976" s="973" t="s">
        <v>991</v>
      </c>
      <c r="F1976" s="973" t="s">
        <v>992</v>
      </c>
      <c r="G1976" s="973" t="s">
        <v>1997</v>
      </c>
      <c r="H1976" s="973" t="s">
        <v>1998</v>
      </c>
      <c r="I1976" s="973" t="s">
        <v>1999</v>
      </c>
      <c r="J1976" s="973" t="s">
        <v>697</v>
      </c>
      <c r="K1976" s="973" t="s">
        <v>995</v>
      </c>
      <c r="L1976" s="973" t="s">
        <v>996</v>
      </c>
      <c r="M1976" s="973" t="s">
        <v>2000</v>
      </c>
      <c r="N1976" s="973" t="s">
        <v>2001</v>
      </c>
      <c r="O1976" s="973" t="s">
        <v>1971</v>
      </c>
      <c r="P1976" s="973" t="s">
        <v>999</v>
      </c>
      <c r="Q1976" s="973" t="s">
        <v>1000</v>
      </c>
      <c r="R1976" s="973" t="s">
        <v>1001</v>
      </c>
      <c r="S1976" s="973" t="s">
        <v>1002</v>
      </c>
      <c r="AE1976" s="423" t="str">
        <f t="shared" si="30"/>
        <v/>
      </c>
    </row>
    <row r="1977" spans="4:31" x14ac:dyDescent="0.25">
      <c r="D1977" s="973" t="s">
        <v>990</v>
      </c>
      <c r="E1977" s="973" t="s">
        <v>991</v>
      </c>
      <c r="F1977" s="973" t="s">
        <v>992</v>
      </c>
      <c r="G1977" s="973" t="s">
        <v>1997</v>
      </c>
      <c r="H1977" s="973" t="s">
        <v>1998</v>
      </c>
      <c r="I1977" s="973" t="s">
        <v>1999</v>
      </c>
      <c r="J1977" s="973" t="s">
        <v>697</v>
      </c>
      <c r="K1977" s="973" t="s">
        <v>995</v>
      </c>
      <c r="L1977" s="973" t="s">
        <v>996</v>
      </c>
      <c r="M1977" s="973" t="s">
        <v>2000</v>
      </c>
      <c r="N1977" s="973" t="s">
        <v>2001</v>
      </c>
      <c r="O1977" s="973" t="s">
        <v>1971</v>
      </c>
      <c r="P1977" s="973" t="s">
        <v>999</v>
      </c>
      <c r="Q1977" s="973" t="s">
        <v>1000</v>
      </c>
      <c r="R1977" s="973" t="s">
        <v>1001</v>
      </c>
      <c r="S1977" s="973" t="s">
        <v>1002</v>
      </c>
      <c r="AE1977" s="423" t="str">
        <f t="shared" si="30"/>
        <v/>
      </c>
    </row>
    <row r="1978" spans="4:31" x14ac:dyDescent="0.25">
      <c r="D1978" s="973" t="s">
        <v>990</v>
      </c>
      <c r="E1978" s="973" t="s">
        <v>991</v>
      </c>
      <c r="F1978" s="973" t="s">
        <v>992</v>
      </c>
      <c r="G1978" s="973" t="s">
        <v>1997</v>
      </c>
      <c r="H1978" s="973" t="s">
        <v>1998</v>
      </c>
      <c r="I1978" s="973" t="s">
        <v>1999</v>
      </c>
      <c r="J1978" s="973" t="s">
        <v>697</v>
      </c>
      <c r="K1978" s="973" t="s">
        <v>995</v>
      </c>
      <c r="L1978" s="973" t="s">
        <v>996</v>
      </c>
      <c r="M1978" s="973" t="s">
        <v>2000</v>
      </c>
      <c r="N1978" s="973" t="s">
        <v>2001</v>
      </c>
      <c r="O1978" s="973" t="s">
        <v>1971</v>
      </c>
      <c r="P1978" s="973" t="s">
        <v>999</v>
      </c>
      <c r="Q1978" s="973" t="s">
        <v>1000</v>
      </c>
      <c r="R1978" s="973" t="s">
        <v>1001</v>
      </c>
      <c r="S1978" s="973" t="s">
        <v>1002</v>
      </c>
      <c r="AE1978" s="423" t="str">
        <f t="shared" si="30"/>
        <v/>
      </c>
    </row>
    <row r="1979" spans="4:31" x14ac:dyDescent="0.25">
      <c r="D1979" s="973" t="s">
        <v>990</v>
      </c>
      <c r="E1979" s="973" t="s">
        <v>991</v>
      </c>
      <c r="F1979" s="973" t="s">
        <v>992</v>
      </c>
      <c r="G1979" s="973" t="s">
        <v>1997</v>
      </c>
      <c r="H1979" s="973" t="s">
        <v>1998</v>
      </c>
      <c r="I1979" s="973" t="s">
        <v>1999</v>
      </c>
      <c r="J1979" s="973" t="s">
        <v>697</v>
      </c>
      <c r="K1979" s="973" t="s">
        <v>995</v>
      </c>
      <c r="L1979" s="973" t="s">
        <v>996</v>
      </c>
      <c r="M1979" s="973" t="s">
        <v>2000</v>
      </c>
      <c r="N1979" s="973" t="s">
        <v>2001</v>
      </c>
      <c r="O1979" s="973" t="s">
        <v>1971</v>
      </c>
      <c r="P1979" s="973" t="s">
        <v>999</v>
      </c>
      <c r="Q1979" s="973" t="s">
        <v>1000</v>
      </c>
      <c r="R1979" s="973" t="s">
        <v>1001</v>
      </c>
      <c r="S1979" s="973" t="s">
        <v>1002</v>
      </c>
      <c r="AE1979" s="423" t="str">
        <f t="shared" si="30"/>
        <v/>
      </c>
    </row>
    <row r="1980" spans="4:31" x14ac:dyDescent="0.25">
      <c r="D1980" s="973" t="s">
        <v>990</v>
      </c>
      <c r="E1980" s="973" t="s">
        <v>991</v>
      </c>
      <c r="F1980" s="973" t="s">
        <v>992</v>
      </c>
      <c r="G1980" s="973" t="s">
        <v>1997</v>
      </c>
      <c r="H1980" s="973" t="s">
        <v>1998</v>
      </c>
      <c r="I1980" s="973" t="s">
        <v>1999</v>
      </c>
      <c r="J1980" s="973" t="s">
        <v>697</v>
      </c>
      <c r="K1980" s="973" t="s">
        <v>995</v>
      </c>
      <c r="L1980" s="973" t="s">
        <v>996</v>
      </c>
      <c r="M1980" s="973" t="s">
        <v>2000</v>
      </c>
      <c r="N1980" s="973" t="s">
        <v>2001</v>
      </c>
      <c r="O1980" s="973" t="s">
        <v>1971</v>
      </c>
      <c r="P1980" s="973" t="s">
        <v>999</v>
      </c>
      <c r="Q1980" s="973" t="s">
        <v>1000</v>
      </c>
      <c r="R1980" s="973" t="s">
        <v>1001</v>
      </c>
      <c r="S1980" s="973" t="s">
        <v>1002</v>
      </c>
      <c r="AE1980" s="423" t="str">
        <f t="shared" si="30"/>
        <v/>
      </c>
    </row>
    <row r="1981" spans="4:31" x14ac:dyDescent="0.25">
      <c r="D1981" s="973" t="s">
        <v>990</v>
      </c>
      <c r="E1981" s="973" t="s">
        <v>991</v>
      </c>
      <c r="F1981" s="973" t="s">
        <v>992</v>
      </c>
      <c r="G1981" s="973" t="s">
        <v>1997</v>
      </c>
      <c r="H1981" s="973" t="s">
        <v>1998</v>
      </c>
      <c r="I1981" s="973" t="s">
        <v>1999</v>
      </c>
      <c r="J1981" s="973" t="s">
        <v>697</v>
      </c>
      <c r="K1981" s="973" t="s">
        <v>995</v>
      </c>
      <c r="L1981" s="973" t="s">
        <v>996</v>
      </c>
      <c r="M1981" s="973" t="s">
        <v>2000</v>
      </c>
      <c r="N1981" s="973" t="s">
        <v>2001</v>
      </c>
      <c r="O1981" s="973" t="s">
        <v>1971</v>
      </c>
      <c r="P1981" s="973" t="s">
        <v>999</v>
      </c>
      <c r="Q1981" s="973" t="s">
        <v>1000</v>
      </c>
      <c r="R1981" s="973" t="s">
        <v>1001</v>
      </c>
      <c r="S1981" s="973" t="s">
        <v>1002</v>
      </c>
      <c r="AE1981" s="423" t="str">
        <f t="shared" si="30"/>
        <v/>
      </c>
    </row>
    <row r="1982" spans="4:31" x14ac:dyDescent="0.25">
      <c r="D1982" s="973" t="s">
        <v>990</v>
      </c>
      <c r="E1982" s="973" t="s">
        <v>991</v>
      </c>
      <c r="F1982" s="973" t="s">
        <v>992</v>
      </c>
      <c r="G1982" s="973" t="s">
        <v>1997</v>
      </c>
      <c r="H1982" s="973" t="s">
        <v>1998</v>
      </c>
      <c r="I1982" s="973" t="s">
        <v>1999</v>
      </c>
      <c r="J1982" s="973" t="s">
        <v>697</v>
      </c>
      <c r="K1982" s="973" t="s">
        <v>995</v>
      </c>
      <c r="L1982" s="973" t="s">
        <v>996</v>
      </c>
      <c r="M1982" s="973" t="s">
        <v>2000</v>
      </c>
      <c r="N1982" s="973" t="s">
        <v>2001</v>
      </c>
      <c r="O1982" s="973" t="s">
        <v>1971</v>
      </c>
      <c r="P1982" s="973" t="s">
        <v>999</v>
      </c>
      <c r="Q1982" s="973" t="s">
        <v>1000</v>
      </c>
      <c r="R1982" s="973" t="s">
        <v>1001</v>
      </c>
      <c r="S1982" s="973" t="s">
        <v>1002</v>
      </c>
      <c r="AE1982" s="423" t="str">
        <f t="shared" si="30"/>
        <v/>
      </c>
    </row>
    <row r="1983" spans="4:31" x14ac:dyDescent="0.25">
      <c r="D1983" s="973" t="s">
        <v>990</v>
      </c>
      <c r="E1983" s="973" t="s">
        <v>991</v>
      </c>
      <c r="F1983" s="973" t="s">
        <v>992</v>
      </c>
      <c r="G1983" s="973" t="s">
        <v>1997</v>
      </c>
      <c r="H1983" s="973" t="s">
        <v>1998</v>
      </c>
      <c r="I1983" s="973" t="s">
        <v>1999</v>
      </c>
      <c r="J1983" s="973" t="s">
        <v>697</v>
      </c>
      <c r="K1983" s="973" t="s">
        <v>995</v>
      </c>
      <c r="L1983" s="973" t="s">
        <v>996</v>
      </c>
      <c r="M1983" s="973" t="s">
        <v>2000</v>
      </c>
      <c r="N1983" s="973" t="s">
        <v>2001</v>
      </c>
      <c r="O1983" s="973" t="s">
        <v>1971</v>
      </c>
      <c r="P1983" s="973" t="s">
        <v>999</v>
      </c>
      <c r="Q1983" s="973" t="s">
        <v>1000</v>
      </c>
      <c r="R1983" s="973" t="s">
        <v>1001</v>
      </c>
      <c r="S1983" s="973" t="s">
        <v>1002</v>
      </c>
      <c r="AE1983" s="423" t="str">
        <f t="shared" si="30"/>
        <v/>
      </c>
    </row>
    <row r="1984" spans="4:31" x14ac:dyDescent="0.25">
      <c r="D1984" s="973" t="s">
        <v>990</v>
      </c>
      <c r="E1984" s="973" t="s">
        <v>991</v>
      </c>
      <c r="F1984" s="973" t="s">
        <v>992</v>
      </c>
      <c r="G1984" s="973" t="s">
        <v>1997</v>
      </c>
      <c r="H1984" s="973" t="s">
        <v>1998</v>
      </c>
      <c r="I1984" s="973" t="s">
        <v>1999</v>
      </c>
      <c r="J1984" s="973" t="s">
        <v>697</v>
      </c>
      <c r="K1984" s="973" t="s">
        <v>995</v>
      </c>
      <c r="L1984" s="973" t="s">
        <v>996</v>
      </c>
      <c r="M1984" s="973" t="s">
        <v>2000</v>
      </c>
      <c r="N1984" s="973" t="s">
        <v>2001</v>
      </c>
      <c r="O1984" s="973" t="s">
        <v>1971</v>
      </c>
      <c r="P1984" s="973" t="s">
        <v>999</v>
      </c>
      <c r="Q1984" s="973" t="s">
        <v>1000</v>
      </c>
      <c r="R1984" s="973" t="s">
        <v>1001</v>
      </c>
      <c r="S1984" s="973" t="s">
        <v>1002</v>
      </c>
      <c r="AE1984" s="423" t="str">
        <f t="shared" si="30"/>
        <v/>
      </c>
    </row>
    <row r="1985" spans="4:31" x14ac:dyDescent="0.25">
      <c r="D1985" s="973" t="s">
        <v>990</v>
      </c>
      <c r="E1985" s="973" t="s">
        <v>991</v>
      </c>
      <c r="F1985" s="973" t="s">
        <v>992</v>
      </c>
      <c r="G1985" s="973" t="s">
        <v>1997</v>
      </c>
      <c r="H1985" s="973" t="s">
        <v>1998</v>
      </c>
      <c r="I1985" s="973" t="s">
        <v>1999</v>
      </c>
      <c r="J1985" s="973" t="s">
        <v>697</v>
      </c>
      <c r="K1985" s="973" t="s">
        <v>995</v>
      </c>
      <c r="L1985" s="973" t="s">
        <v>996</v>
      </c>
      <c r="M1985" s="973" t="s">
        <v>2000</v>
      </c>
      <c r="N1985" s="973" t="s">
        <v>2001</v>
      </c>
      <c r="O1985" s="973" t="s">
        <v>1971</v>
      </c>
      <c r="P1985" s="973" t="s">
        <v>999</v>
      </c>
      <c r="Q1985" s="973" t="s">
        <v>1000</v>
      </c>
      <c r="R1985" s="973" t="s">
        <v>1001</v>
      </c>
      <c r="S1985" s="973" t="s">
        <v>1002</v>
      </c>
      <c r="AE1985" s="423" t="str">
        <f t="shared" si="30"/>
        <v/>
      </c>
    </row>
    <row r="1986" spans="4:31" x14ac:dyDescent="0.25">
      <c r="D1986" s="973" t="s">
        <v>990</v>
      </c>
      <c r="E1986" s="973" t="s">
        <v>991</v>
      </c>
      <c r="F1986" s="973" t="s">
        <v>992</v>
      </c>
      <c r="G1986" s="973" t="s">
        <v>1997</v>
      </c>
      <c r="H1986" s="973" t="s">
        <v>1998</v>
      </c>
      <c r="I1986" s="973" t="s">
        <v>1999</v>
      </c>
      <c r="J1986" s="973" t="s">
        <v>697</v>
      </c>
      <c r="K1986" s="973" t="s">
        <v>995</v>
      </c>
      <c r="L1986" s="973" t="s">
        <v>996</v>
      </c>
      <c r="M1986" s="973" t="s">
        <v>2000</v>
      </c>
      <c r="N1986" s="973" t="s">
        <v>2001</v>
      </c>
      <c r="O1986" s="973" t="s">
        <v>1971</v>
      </c>
      <c r="P1986" s="973" t="s">
        <v>999</v>
      </c>
      <c r="Q1986" s="973" t="s">
        <v>1000</v>
      </c>
      <c r="R1986" s="973" t="s">
        <v>1001</v>
      </c>
      <c r="S1986" s="973" t="s">
        <v>1002</v>
      </c>
      <c r="AE1986" s="423" t="str">
        <f t="shared" si="30"/>
        <v/>
      </c>
    </row>
    <row r="1987" spans="4:31" x14ac:dyDescent="0.25">
      <c r="D1987" s="973" t="s">
        <v>990</v>
      </c>
      <c r="E1987" s="973" t="s">
        <v>991</v>
      </c>
      <c r="F1987" s="973" t="s">
        <v>992</v>
      </c>
      <c r="G1987" s="973" t="s">
        <v>1997</v>
      </c>
      <c r="H1987" s="973" t="s">
        <v>1998</v>
      </c>
      <c r="I1987" s="973" t="s">
        <v>1999</v>
      </c>
      <c r="J1987" s="973" t="s">
        <v>697</v>
      </c>
      <c r="K1987" s="973" t="s">
        <v>995</v>
      </c>
      <c r="L1987" s="973" t="s">
        <v>996</v>
      </c>
      <c r="M1987" s="973" t="s">
        <v>2000</v>
      </c>
      <c r="N1987" s="973" t="s">
        <v>2001</v>
      </c>
      <c r="O1987" s="973" t="s">
        <v>1971</v>
      </c>
      <c r="P1987" s="973" t="s">
        <v>999</v>
      </c>
      <c r="Q1987" s="973" t="s">
        <v>1000</v>
      </c>
      <c r="R1987" s="973" t="s">
        <v>1001</v>
      </c>
      <c r="S1987" s="973" t="s">
        <v>1002</v>
      </c>
      <c r="AE1987" s="423" t="str">
        <f t="shared" ref="AE1987:AE2050" si="31">B1987&amp;C1987</f>
        <v/>
      </c>
    </row>
    <row r="1988" spans="4:31" x14ac:dyDescent="0.25">
      <c r="D1988" s="973" t="s">
        <v>990</v>
      </c>
      <c r="E1988" s="973" t="s">
        <v>991</v>
      </c>
      <c r="F1988" s="973" t="s">
        <v>992</v>
      </c>
      <c r="G1988" s="973" t="s">
        <v>1997</v>
      </c>
      <c r="H1988" s="973" t="s">
        <v>1998</v>
      </c>
      <c r="I1988" s="973" t="s">
        <v>1999</v>
      </c>
      <c r="J1988" s="973" t="s">
        <v>697</v>
      </c>
      <c r="K1988" s="973" t="s">
        <v>995</v>
      </c>
      <c r="L1988" s="973" t="s">
        <v>996</v>
      </c>
      <c r="M1988" s="973" t="s">
        <v>2000</v>
      </c>
      <c r="N1988" s="973" t="s">
        <v>2001</v>
      </c>
      <c r="O1988" s="973" t="s">
        <v>1971</v>
      </c>
      <c r="P1988" s="973" t="s">
        <v>999</v>
      </c>
      <c r="Q1988" s="973" t="s">
        <v>1000</v>
      </c>
      <c r="R1988" s="973" t="s">
        <v>1001</v>
      </c>
      <c r="S1988" s="973" t="s">
        <v>1002</v>
      </c>
      <c r="AE1988" s="423" t="str">
        <f t="shared" si="31"/>
        <v/>
      </c>
    </row>
    <row r="1989" spans="4:31" x14ac:dyDescent="0.25">
      <c r="D1989" s="973" t="s">
        <v>990</v>
      </c>
      <c r="E1989" s="973" t="s">
        <v>991</v>
      </c>
      <c r="F1989" s="973" t="s">
        <v>992</v>
      </c>
      <c r="G1989" s="973" t="s">
        <v>1997</v>
      </c>
      <c r="H1989" s="973" t="s">
        <v>1998</v>
      </c>
      <c r="I1989" s="973" t="s">
        <v>1999</v>
      </c>
      <c r="J1989" s="973" t="s">
        <v>697</v>
      </c>
      <c r="K1989" s="973" t="s">
        <v>995</v>
      </c>
      <c r="L1989" s="973" t="s">
        <v>996</v>
      </c>
      <c r="M1989" s="973" t="s">
        <v>2000</v>
      </c>
      <c r="N1989" s="973" t="s">
        <v>2001</v>
      </c>
      <c r="O1989" s="973" t="s">
        <v>1971</v>
      </c>
      <c r="P1989" s="973" t="s">
        <v>999</v>
      </c>
      <c r="Q1989" s="973" t="s">
        <v>1000</v>
      </c>
      <c r="R1989" s="973" t="s">
        <v>1001</v>
      </c>
      <c r="S1989" s="973" t="s">
        <v>1002</v>
      </c>
      <c r="AE1989" s="423" t="str">
        <f t="shared" si="31"/>
        <v/>
      </c>
    </row>
    <row r="1990" spans="4:31" x14ac:dyDescent="0.25">
      <c r="D1990" s="973" t="s">
        <v>990</v>
      </c>
      <c r="E1990" s="973" t="s">
        <v>991</v>
      </c>
      <c r="F1990" s="973" t="s">
        <v>992</v>
      </c>
      <c r="G1990" s="973" t="s">
        <v>1997</v>
      </c>
      <c r="H1990" s="973" t="s">
        <v>1998</v>
      </c>
      <c r="I1990" s="973" t="s">
        <v>1999</v>
      </c>
      <c r="J1990" s="973" t="s">
        <v>697</v>
      </c>
      <c r="K1990" s="973" t="s">
        <v>995</v>
      </c>
      <c r="L1990" s="973" t="s">
        <v>996</v>
      </c>
      <c r="M1990" s="973" t="s">
        <v>2000</v>
      </c>
      <c r="N1990" s="973" t="s">
        <v>2001</v>
      </c>
      <c r="O1990" s="973" t="s">
        <v>1971</v>
      </c>
      <c r="P1990" s="973" t="s">
        <v>999</v>
      </c>
      <c r="Q1990" s="973" t="s">
        <v>1000</v>
      </c>
      <c r="R1990" s="973" t="s">
        <v>1001</v>
      </c>
      <c r="S1990" s="973" t="s">
        <v>1002</v>
      </c>
      <c r="AE1990" s="423" t="str">
        <f t="shared" si="31"/>
        <v/>
      </c>
    </row>
    <row r="1991" spans="4:31" x14ac:dyDescent="0.25">
      <c r="D1991" s="973" t="s">
        <v>990</v>
      </c>
      <c r="E1991" s="973" t="s">
        <v>991</v>
      </c>
      <c r="F1991" s="973" t="s">
        <v>992</v>
      </c>
      <c r="G1991" s="973" t="s">
        <v>1997</v>
      </c>
      <c r="H1991" s="973" t="s">
        <v>1998</v>
      </c>
      <c r="I1991" s="973" t="s">
        <v>1999</v>
      </c>
      <c r="J1991" s="973" t="s">
        <v>697</v>
      </c>
      <c r="K1991" s="973" t="s">
        <v>995</v>
      </c>
      <c r="L1991" s="973" t="s">
        <v>996</v>
      </c>
      <c r="M1991" s="973" t="s">
        <v>2000</v>
      </c>
      <c r="N1991" s="973" t="s">
        <v>2001</v>
      </c>
      <c r="O1991" s="973" t="s">
        <v>1971</v>
      </c>
      <c r="P1991" s="973" t="s">
        <v>999</v>
      </c>
      <c r="Q1991" s="973" t="s">
        <v>1000</v>
      </c>
      <c r="R1991" s="973" t="s">
        <v>1001</v>
      </c>
      <c r="S1991" s="973" t="s">
        <v>1002</v>
      </c>
      <c r="AE1991" s="423" t="str">
        <f t="shared" si="31"/>
        <v/>
      </c>
    </row>
    <row r="1992" spans="4:31" x14ac:dyDescent="0.25">
      <c r="D1992" s="973" t="s">
        <v>990</v>
      </c>
      <c r="E1992" s="973" t="s">
        <v>991</v>
      </c>
      <c r="F1992" s="973" t="s">
        <v>992</v>
      </c>
      <c r="G1992" s="973" t="s">
        <v>1997</v>
      </c>
      <c r="H1992" s="973" t="s">
        <v>1998</v>
      </c>
      <c r="I1992" s="973" t="s">
        <v>1999</v>
      </c>
      <c r="J1992" s="973" t="s">
        <v>697</v>
      </c>
      <c r="K1992" s="973" t="s">
        <v>995</v>
      </c>
      <c r="L1992" s="973" t="s">
        <v>996</v>
      </c>
      <c r="M1992" s="973" t="s">
        <v>2000</v>
      </c>
      <c r="N1992" s="973" t="s">
        <v>2001</v>
      </c>
      <c r="O1992" s="973" t="s">
        <v>1971</v>
      </c>
      <c r="P1992" s="973" t="s">
        <v>999</v>
      </c>
      <c r="Q1992" s="973" t="s">
        <v>1000</v>
      </c>
      <c r="R1992" s="973" t="s">
        <v>1001</v>
      </c>
      <c r="S1992" s="973" t="s">
        <v>1002</v>
      </c>
      <c r="AE1992" s="423" t="str">
        <f t="shared" si="31"/>
        <v/>
      </c>
    </row>
    <row r="1993" spans="4:31" x14ac:dyDescent="0.25">
      <c r="D1993" s="973" t="s">
        <v>990</v>
      </c>
      <c r="E1993" s="973" t="s">
        <v>991</v>
      </c>
      <c r="F1993" s="973" t="s">
        <v>992</v>
      </c>
      <c r="G1993" s="973" t="s">
        <v>1997</v>
      </c>
      <c r="H1993" s="973" t="s">
        <v>1998</v>
      </c>
      <c r="I1993" s="973" t="s">
        <v>1999</v>
      </c>
      <c r="J1993" s="973" t="s">
        <v>697</v>
      </c>
      <c r="K1993" s="973" t="s">
        <v>995</v>
      </c>
      <c r="L1993" s="973" t="s">
        <v>996</v>
      </c>
      <c r="M1993" s="973" t="s">
        <v>2000</v>
      </c>
      <c r="N1993" s="973" t="s">
        <v>2001</v>
      </c>
      <c r="O1993" s="973" t="s">
        <v>1971</v>
      </c>
      <c r="P1993" s="973" t="s">
        <v>999</v>
      </c>
      <c r="Q1993" s="973" t="s">
        <v>1000</v>
      </c>
      <c r="R1993" s="973" t="s">
        <v>1001</v>
      </c>
      <c r="S1993" s="973" t="s">
        <v>1002</v>
      </c>
      <c r="AE1993" s="423" t="str">
        <f t="shared" si="31"/>
        <v/>
      </c>
    </row>
    <row r="1994" spans="4:31" x14ac:dyDescent="0.25">
      <c r="D1994" s="973" t="s">
        <v>990</v>
      </c>
      <c r="E1994" s="973" t="s">
        <v>991</v>
      </c>
      <c r="F1994" s="973" t="s">
        <v>992</v>
      </c>
      <c r="G1994" s="973" t="s">
        <v>1997</v>
      </c>
      <c r="H1994" s="973" t="s">
        <v>1998</v>
      </c>
      <c r="I1994" s="973" t="s">
        <v>1999</v>
      </c>
      <c r="J1994" s="973" t="s">
        <v>697</v>
      </c>
      <c r="K1994" s="973" t="s">
        <v>995</v>
      </c>
      <c r="L1994" s="973" t="s">
        <v>996</v>
      </c>
      <c r="M1994" s="973" t="s">
        <v>2000</v>
      </c>
      <c r="N1994" s="973" t="s">
        <v>2001</v>
      </c>
      <c r="O1994" s="973" t="s">
        <v>1971</v>
      </c>
      <c r="P1994" s="973" t="s">
        <v>999</v>
      </c>
      <c r="Q1994" s="973" t="s">
        <v>1000</v>
      </c>
      <c r="R1994" s="973" t="s">
        <v>1001</v>
      </c>
      <c r="S1994" s="973" t="s">
        <v>1002</v>
      </c>
      <c r="AE1994" s="423" t="str">
        <f t="shared" si="31"/>
        <v/>
      </c>
    </row>
    <row r="1995" spans="4:31" x14ac:dyDescent="0.25">
      <c r="D1995" s="973" t="s">
        <v>990</v>
      </c>
      <c r="E1995" s="973" t="s">
        <v>991</v>
      </c>
      <c r="F1995" s="973" t="s">
        <v>992</v>
      </c>
      <c r="G1995" s="973" t="s">
        <v>1997</v>
      </c>
      <c r="H1995" s="973" t="s">
        <v>1998</v>
      </c>
      <c r="I1995" s="973" t="s">
        <v>1999</v>
      </c>
      <c r="J1995" s="973" t="s">
        <v>697</v>
      </c>
      <c r="K1995" s="973" t="s">
        <v>995</v>
      </c>
      <c r="L1995" s="973" t="s">
        <v>996</v>
      </c>
      <c r="M1995" s="973" t="s">
        <v>2000</v>
      </c>
      <c r="N1995" s="973" t="s">
        <v>2001</v>
      </c>
      <c r="O1995" s="973" t="s">
        <v>1971</v>
      </c>
      <c r="P1995" s="973" t="s">
        <v>999</v>
      </c>
      <c r="Q1995" s="973" t="s">
        <v>1000</v>
      </c>
      <c r="R1995" s="973" t="s">
        <v>1001</v>
      </c>
      <c r="S1995" s="973" t="s">
        <v>1002</v>
      </c>
      <c r="AE1995" s="423" t="str">
        <f t="shared" si="31"/>
        <v/>
      </c>
    </row>
    <row r="1996" spans="4:31" x14ac:dyDescent="0.25">
      <c r="D1996" s="973" t="s">
        <v>990</v>
      </c>
      <c r="E1996" s="973" t="s">
        <v>991</v>
      </c>
      <c r="F1996" s="973" t="s">
        <v>992</v>
      </c>
      <c r="G1996" s="973" t="s">
        <v>1997</v>
      </c>
      <c r="H1996" s="973" t="s">
        <v>1998</v>
      </c>
      <c r="I1996" s="973" t="s">
        <v>1999</v>
      </c>
      <c r="J1996" s="973" t="s">
        <v>697</v>
      </c>
      <c r="K1996" s="973" t="s">
        <v>995</v>
      </c>
      <c r="L1996" s="973" t="s">
        <v>996</v>
      </c>
      <c r="M1996" s="973" t="s">
        <v>2000</v>
      </c>
      <c r="N1996" s="973" t="s">
        <v>2001</v>
      </c>
      <c r="O1996" s="973" t="s">
        <v>1971</v>
      </c>
      <c r="P1996" s="973" t="s">
        <v>999</v>
      </c>
      <c r="Q1996" s="973" t="s">
        <v>1000</v>
      </c>
      <c r="R1996" s="973" t="s">
        <v>1001</v>
      </c>
      <c r="S1996" s="973" t="s">
        <v>1002</v>
      </c>
      <c r="AE1996" s="423" t="str">
        <f t="shared" si="31"/>
        <v/>
      </c>
    </row>
    <row r="1997" spans="4:31" x14ac:dyDescent="0.25">
      <c r="D1997" s="973" t="s">
        <v>990</v>
      </c>
      <c r="E1997" s="973" t="s">
        <v>991</v>
      </c>
      <c r="F1997" s="973" t="s">
        <v>992</v>
      </c>
      <c r="G1997" s="973" t="s">
        <v>1997</v>
      </c>
      <c r="H1997" s="973" t="s">
        <v>1998</v>
      </c>
      <c r="I1997" s="973" t="s">
        <v>1999</v>
      </c>
      <c r="J1997" s="973" t="s">
        <v>697</v>
      </c>
      <c r="K1997" s="973" t="s">
        <v>995</v>
      </c>
      <c r="L1997" s="973" t="s">
        <v>996</v>
      </c>
      <c r="M1997" s="973" t="s">
        <v>2000</v>
      </c>
      <c r="N1997" s="973" t="s">
        <v>2001</v>
      </c>
      <c r="O1997" s="973" t="s">
        <v>1971</v>
      </c>
      <c r="P1997" s="973" t="s">
        <v>999</v>
      </c>
      <c r="Q1997" s="973" t="s">
        <v>1000</v>
      </c>
      <c r="R1997" s="973" t="s">
        <v>1001</v>
      </c>
      <c r="S1997" s="973" t="s">
        <v>1002</v>
      </c>
      <c r="AE1997" s="423" t="str">
        <f t="shared" si="31"/>
        <v/>
      </c>
    </row>
    <row r="1998" spans="4:31" x14ac:dyDescent="0.25">
      <c r="D1998" s="973" t="s">
        <v>990</v>
      </c>
      <c r="E1998" s="973" t="s">
        <v>991</v>
      </c>
      <c r="F1998" s="973" t="s">
        <v>992</v>
      </c>
      <c r="G1998" s="973" t="s">
        <v>1997</v>
      </c>
      <c r="H1998" s="973" t="s">
        <v>1998</v>
      </c>
      <c r="I1998" s="973" t="s">
        <v>1999</v>
      </c>
      <c r="J1998" s="973" t="s">
        <v>697</v>
      </c>
      <c r="K1998" s="973" t="s">
        <v>995</v>
      </c>
      <c r="L1998" s="973" t="s">
        <v>996</v>
      </c>
      <c r="M1998" s="973" t="s">
        <v>2000</v>
      </c>
      <c r="N1998" s="973" t="s">
        <v>2001</v>
      </c>
      <c r="O1998" s="973" t="s">
        <v>1971</v>
      </c>
      <c r="P1998" s="973" t="s">
        <v>999</v>
      </c>
      <c r="Q1998" s="973" t="s">
        <v>1000</v>
      </c>
      <c r="R1998" s="973" t="s">
        <v>1001</v>
      </c>
      <c r="S1998" s="973" t="s">
        <v>1002</v>
      </c>
      <c r="AE1998" s="423" t="str">
        <f t="shared" si="31"/>
        <v/>
      </c>
    </row>
    <row r="1999" spans="4:31" x14ac:dyDescent="0.25">
      <c r="D1999" s="973" t="s">
        <v>990</v>
      </c>
      <c r="E1999" s="973" t="s">
        <v>991</v>
      </c>
      <c r="F1999" s="973" t="s">
        <v>992</v>
      </c>
      <c r="G1999" s="973" t="s">
        <v>1997</v>
      </c>
      <c r="H1999" s="973" t="s">
        <v>1998</v>
      </c>
      <c r="I1999" s="973" t="s">
        <v>1999</v>
      </c>
      <c r="J1999" s="973" t="s">
        <v>697</v>
      </c>
      <c r="K1999" s="973" t="s">
        <v>995</v>
      </c>
      <c r="L1999" s="973" t="s">
        <v>996</v>
      </c>
      <c r="M1999" s="973" t="s">
        <v>2000</v>
      </c>
      <c r="N1999" s="973" t="s">
        <v>2001</v>
      </c>
      <c r="O1999" s="973" t="s">
        <v>1971</v>
      </c>
      <c r="P1999" s="973" t="s">
        <v>999</v>
      </c>
      <c r="Q1999" s="973" t="s">
        <v>1000</v>
      </c>
      <c r="R1999" s="973" t="s">
        <v>1001</v>
      </c>
      <c r="S1999" s="973" t="s">
        <v>1002</v>
      </c>
      <c r="AE1999" s="423" t="str">
        <f t="shared" si="31"/>
        <v/>
      </c>
    </row>
    <row r="2000" spans="4:31" x14ac:dyDescent="0.25">
      <c r="D2000" s="973" t="s">
        <v>990</v>
      </c>
      <c r="E2000" s="973" t="s">
        <v>991</v>
      </c>
      <c r="F2000" s="973" t="s">
        <v>992</v>
      </c>
      <c r="G2000" s="973" t="s">
        <v>1997</v>
      </c>
      <c r="H2000" s="973" t="s">
        <v>1998</v>
      </c>
      <c r="I2000" s="973" t="s">
        <v>1999</v>
      </c>
      <c r="J2000" s="973" t="s">
        <v>697</v>
      </c>
      <c r="K2000" s="973" t="s">
        <v>995</v>
      </c>
      <c r="L2000" s="973" t="s">
        <v>996</v>
      </c>
      <c r="M2000" s="973" t="s">
        <v>2000</v>
      </c>
      <c r="N2000" s="973" t="s">
        <v>2001</v>
      </c>
      <c r="O2000" s="973" t="s">
        <v>1971</v>
      </c>
      <c r="P2000" s="973" t="s">
        <v>999</v>
      </c>
      <c r="Q2000" s="973" t="s">
        <v>1000</v>
      </c>
      <c r="R2000" s="973" t="s">
        <v>1001</v>
      </c>
      <c r="S2000" s="973" t="s">
        <v>1002</v>
      </c>
      <c r="AE2000" s="423" t="str">
        <f t="shared" si="31"/>
        <v/>
      </c>
    </row>
    <row r="2001" spans="4:31" x14ac:dyDescent="0.25">
      <c r="D2001" s="973" t="s">
        <v>990</v>
      </c>
      <c r="E2001" s="973" t="s">
        <v>991</v>
      </c>
      <c r="F2001" s="973" t="s">
        <v>992</v>
      </c>
      <c r="G2001" s="973" t="s">
        <v>1997</v>
      </c>
      <c r="H2001" s="973" t="s">
        <v>1998</v>
      </c>
      <c r="I2001" s="973" t="s">
        <v>1999</v>
      </c>
      <c r="J2001" s="973" t="s">
        <v>697</v>
      </c>
      <c r="K2001" s="973" t="s">
        <v>995</v>
      </c>
      <c r="L2001" s="973" t="s">
        <v>996</v>
      </c>
      <c r="M2001" s="973" t="s">
        <v>2000</v>
      </c>
      <c r="N2001" s="973" t="s">
        <v>2001</v>
      </c>
      <c r="O2001" s="973" t="s">
        <v>1971</v>
      </c>
      <c r="P2001" s="973" t="s">
        <v>999</v>
      </c>
      <c r="Q2001" s="973" t="s">
        <v>1000</v>
      </c>
      <c r="R2001" s="973" t="s">
        <v>1001</v>
      </c>
      <c r="S2001" s="973" t="s">
        <v>1002</v>
      </c>
      <c r="AE2001" s="423" t="str">
        <f t="shared" si="31"/>
        <v/>
      </c>
    </row>
    <row r="2002" spans="4:31" x14ac:dyDescent="0.25">
      <c r="D2002" s="973" t="s">
        <v>990</v>
      </c>
      <c r="E2002" s="973" t="s">
        <v>991</v>
      </c>
      <c r="F2002" s="973" t="s">
        <v>992</v>
      </c>
      <c r="G2002" s="973" t="s">
        <v>1997</v>
      </c>
      <c r="H2002" s="973" t="s">
        <v>1998</v>
      </c>
      <c r="I2002" s="973" t="s">
        <v>1999</v>
      </c>
      <c r="J2002" s="973" t="s">
        <v>697</v>
      </c>
      <c r="K2002" s="973" t="s">
        <v>995</v>
      </c>
      <c r="L2002" s="973" t="s">
        <v>996</v>
      </c>
      <c r="M2002" s="973" t="s">
        <v>2000</v>
      </c>
      <c r="N2002" s="973" t="s">
        <v>2001</v>
      </c>
      <c r="O2002" s="973" t="s">
        <v>1971</v>
      </c>
      <c r="P2002" s="973" t="s">
        <v>999</v>
      </c>
      <c r="Q2002" s="973" t="s">
        <v>1000</v>
      </c>
      <c r="R2002" s="973" t="s">
        <v>1001</v>
      </c>
      <c r="S2002" s="973" t="s">
        <v>1002</v>
      </c>
      <c r="AE2002" s="423" t="str">
        <f t="shared" si="31"/>
        <v/>
      </c>
    </row>
    <row r="2003" spans="4:31" x14ac:dyDescent="0.25">
      <c r="D2003" s="973" t="s">
        <v>990</v>
      </c>
      <c r="E2003" s="973" t="s">
        <v>991</v>
      </c>
      <c r="F2003" s="973" t="s">
        <v>992</v>
      </c>
      <c r="G2003" s="973" t="s">
        <v>1997</v>
      </c>
      <c r="H2003" s="973" t="s">
        <v>1998</v>
      </c>
      <c r="I2003" s="973" t="s">
        <v>1999</v>
      </c>
      <c r="J2003" s="973" t="s">
        <v>697</v>
      </c>
      <c r="K2003" s="973" t="s">
        <v>995</v>
      </c>
      <c r="L2003" s="973" t="s">
        <v>996</v>
      </c>
      <c r="M2003" s="973" t="s">
        <v>2000</v>
      </c>
      <c r="N2003" s="973" t="s">
        <v>2001</v>
      </c>
      <c r="O2003" s="973" t="s">
        <v>1971</v>
      </c>
      <c r="P2003" s="973" t="s">
        <v>999</v>
      </c>
      <c r="Q2003" s="973" t="s">
        <v>1000</v>
      </c>
      <c r="R2003" s="973" t="s">
        <v>1001</v>
      </c>
      <c r="S2003" s="973" t="s">
        <v>1002</v>
      </c>
      <c r="AE2003" s="423" t="str">
        <f t="shared" si="31"/>
        <v/>
      </c>
    </row>
    <row r="2004" spans="4:31" x14ac:dyDescent="0.25">
      <c r="D2004" s="973" t="s">
        <v>990</v>
      </c>
      <c r="E2004" s="973" t="s">
        <v>991</v>
      </c>
      <c r="F2004" s="973" t="s">
        <v>992</v>
      </c>
      <c r="G2004" s="973" t="s">
        <v>1997</v>
      </c>
      <c r="H2004" s="973" t="s">
        <v>1998</v>
      </c>
      <c r="I2004" s="973" t="s">
        <v>1999</v>
      </c>
      <c r="J2004" s="973" t="s">
        <v>697</v>
      </c>
      <c r="K2004" s="973" t="s">
        <v>995</v>
      </c>
      <c r="L2004" s="973" t="s">
        <v>996</v>
      </c>
      <c r="M2004" s="973" t="s">
        <v>2000</v>
      </c>
      <c r="N2004" s="973" t="s">
        <v>2001</v>
      </c>
      <c r="O2004" s="973" t="s">
        <v>1971</v>
      </c>
      <c r="P2004" s="973" t="s">
        <v>999</v>
      </c>
      <c r="Q2004" s="973" t="s">
        <v>1000</v>
      </c>
      <c r="R2004" s="973" t="s">
        <v>1001</v>
      </c>
      <c r="S2004" s="973" t="s">
        <v>1002</v>
      </c>
      <c r="AE2004" s="423" t="str">
        <f t="shared" si="31"/>
        <v/>
      </c>
    </row>
    <row r="2005" spans="4:31" x14ac:dyDescent="0.25">
      <c r="D2005" s="973" t="s">
        <v>990</v>
      </c>
      <c r="E2005" s="973" t="s">
        <v>991</v>
      </c>
      <c r="F2005" s="973" t="s">
        <v>992</v>
      </c>
      <c r="G2005" s="973" t="s">
        <v>1997</v>
      </c>
      <c r="H2005" s="973" t="s">
        <v>1998</v>
      </c>
      <c r="I2005" s="973" t="s">
        <v>1999</v>
      </c>
      <c r="J2005" s="973" t="s">
        <v>697</v>
      </c>
      <c r="K2005" s="973" t="s">
        <v>995</v>
      </c>
      <c r="L2005" s="973" t="s">
        <v>996</v>
      </c>
      <c r="M2005" s="973" t="s">
        <v>2000</v>
      </c>
      <c r="N2005" s="973" t="s">
        <v>2001</v>
      </c>
      <c r="O2005" s="973" t="s">
        <v>1971</v>
      </c>
      <c r="P2005" s="973" t="s">
        <v>999</v>
      </c>
      <c r="Q2005" s="973" t="s">
        <v>1000</v>
      </c>
      <c r="R2005" s="973" t="s">
        <v>1001</v>
      </c>
      <c r="S2005" s="973" t="s">
        <v>1002</v>
      </c>
      <c r="AE2005" s="423" t="str">
        <f t="shared" si="31"/>
        <v/>
      </c>
    </row>
    <row r="2006" spans="4:31" x14ac:dyDescent="0.25">
      <c r="D2006" s="973" t="s">
        <v>990</v>
      </c>
      <c r="E2006" s="973" t="s">
        <v>991</v>
      </c>
      <c r="F2006" s="973" t="s">
        <v>992</v>
      </c>
      <c r="G2006" s="973" t="s">
        <v>1997</v>
      </c>
      <c r="H2006" s="973" t="s">
        <v>1998</v>
      </c>
      <c r="I2006" s="973" t="s">
        <v>1999</v>
      </c>
      <c r="J2006" s="973" t="s">
        <v>697</v>
      </c>
      <c r="K2006" s="973" t="s">
        <v>995</v>
      </c>
      <c r="L2006" s="973" t="s">
        <v>996</v>
      </c>
      <c r="M2006" s="973" t="s">
        <v>2000</v>
      </c>
      <c r="N2006" s="973" t="s">
        <v>2001</v>
      </c>
      <c r="O2006" s="973" t="s">
        <v>1971</v>
      </c>
      <c r="P2006" s="973" t="s">
        <v>999</v>
      </c>
      <c r="Q2006" s="973" t="s">
        <v>1000</v>
      </c>
      <c r="R2006" s="973" t="s">
        <v>1001</v>
      </c>
      <c r="S2006" s="973" t="s">
        <v>1002</v>
      </c>
      <c r="AE2006" s="423" t="str">
        <f t="shared" si="31"/>
        <v/>
      </c>
    </row>
    <row r="2007" spans="4:31" x14ac:dyDescent="0.25">
      <c r="D2007" s="973" t="s">
        <v>990</v>
      </c>
      <c r="E2007" s="973" t="s">
        <v>991</v>
      </c>
      <c r="F2007" s="973" t="s">
        <v>992</v>
      </c>
      <c r="G2007" s="973" t="s">
        <v>1997</v>
      </c>
      <c r="H2007" s="973" t="s">
        <v>1998</v>
      </c>
      <c r="I2007" s="973" t="s">
        <v>1999</v>
      </c>
      <c r="J2007" s="973" t="s">
        <v>697</v>
      </c>
      <c r="K2007" s="973" t="s">
        <v>995</v>
      </c>
      <c r="L2007" s="973" t="s">
        <v>996</v>
      </c>
      <c r="M2007" s="973" t="s">
        <v>2000</v>
      </c>
      <c r="N2007" s="973" t="s">
        <v>2001</v>
      </c>
      <c r="O2007" s="973" t="s">
        <v>1971</v>
      </c>
      <c r="P2007" s="973" t="s">
        <v>999</v>
      </c>
      <c r="Q2007" s="973" t="s">
        <v>1000</v>
      </c>
      <c r="R2007" s="973" t="s">
        <v>1001</v>
      </c>
      <c r="S2007" s="973" t="s">
        <v>1002</v>
      </c>
      <c r="AE2007" s="423" t="str">
        <f t="shared" si="31"/>
        <v/>
      </c>
    </row>
    <row r="2008" spans="4:31" x14ac:dyDescent="0.25">
      <c r="D2008" s="973" t="s">
        <v>990</v>
      </c>
      <c r="E2008" s="973" t="s">
        <v>991</v>
      </c>
      <c r="F2008" s="973" t="s">
        <v>992</v>
      </c>
      <c r="G2008" s="973" t="s">
        <v>1997</v>
      </c>
      <c r="H2008" s="973" t="s">
        <v>1998</v>
      </c>
      <c r="I2008" s="973" t="s">
        <v>1999</v>
      </c>
      <c r="J2008" s="973" t="s">
        <v>697</v>
      </c>
      <c r="K2008" s="973" t="s">
        <v>995</v>
      </c>
      <c r="L2008" s="973" t="s">
        <v>996</v>
      </c>
      <c r="M2008" s="973" t="s">
        <v>2000</v>
      </c>
      <c r="N2008" s="973" t="s">
        <v>2001</v>
      </c>
      <c r="O2008" s="973" t="s">
        <v>1971</v>
      </c>
      <c r="P2008" s="973" t="s">
        <v>999</v>
      </c>
      <c r="Q2008" s="973" t="s">
        <v>1000</v>
      </c>
      <c r="R2008" s="973" t="s">
        <v>1001</v>
      </c>
      <c r="S2008" s="973" t="s">
        <v>1002</v>
      </c>
      <c r="AE2008" s="423" t="str">
        <f t="shared" si="31"/>
        <v/>
      </c>
    </row>
    <row r="2009" spans="4:31" x14ac:dyDescent="0.25">
      <c r="D2009" s="973" t="s">
        <v>990</v>
      </c>
      <c r="E2009" s="973" t="s">
        <v>991</v>
      </c>
      <c r="F2009" s="973" t="s">
        <v>992</v>
      </c>
      <c r="G2009" s="973" t="s">
        <v>1997</v>
      </c>
      <c r="H2009" s="973" t="s">
        <v>1998</v>
      </c>
      <c r="I2009" s="973" t="s">
        <v>1999</v>
      </c>
      <c r="J2009" s="973" t="s">
        <v>697</v>
      </c>
      <c r="K2009" s="973" t="s">
        <v>995</v>
      </c>
      <c r="L2009" s="973" t="s">
        <v>996</v>
      </c>
      <c r="M2009" s="973" t="s">
        <v>2000</v>
      </c>
      <c r="N2009" s="973" t="s">
        <v>2001</v>
      </c>
      <c r="O2009" s="973" t="s">
        <v>1971</v>
      </c>
      <c r="P2009" s="973" t="s">
        <v>999</v>
      </c>
      <c r="Q2009" s="973" t="s">
        <v>1000</v>
      </c>
      <c r="R2009" s="973" t="s">
        <v>1001</v>
      </c>
      <c r="S2009" s="973" t="s">
        <v>1002</v>
      </c>
      <c r="AE2009" s="423" t="str">
        <f t="shared" si="31"/>
        <v/>
      </c>
    </row>
    <row r="2010" spans="4:31" x14ac:dyDescent="0.25">
      <c r="D2010" s="973" t="s">
        <v>990</v>
      </c>
      <c r="E2010" s="973" t="s">
        <v>991</v>
      </c>
      <c r="F2010" s="973" t="s">
        <v>992</v>
      </c>
      <c r="G2010" s="973" t="s">
        <v>1997</v>
      </c>
      <c r="H2010" s="973" t="s">
        <v>1998</v>
      </c>
      <c r="I2010" s="973" t="s">
        <v>1999</v>
      </c>
      <c r="J2010" s="973" t="s">
        <v>697</v>
      </c>
      <c r="K2010" s="973" t="s">
        <v>995</v>
      </c>
      <c r="L2010" s="973" t="s">
        <v>996</v>
      </c>
      <c r="M2010" s="973" t="s">
        <v>2000</v>
      </c>
      <c r="N2010" s="973" t="s">
        <v>2001</v>
      </c>
      <c r="O2010" s="973" t="s">
        <v>1971</v>
      </c>
      <c r="P2010" s="973" t="s">
        <v>999</v>
      </c>
      <c r="Q2010" s="973" t="s">
        <v>1000</v>
      </c>
      <c r="R2010" s="973" t="s">
        <v>1001</v>
      </c>
      <c r="S2010" s="973" t="s">
        <v>1002</v>
      </c>
      <c r="AE2010" s="423" t="str">
        <f t="shared" si="31"/>
        <v/>
      </c>
    </row>
    <row r="2011" spans="4:31" x14ac:dyDescent="0.25">
      <c r="D2011" s="973" t="s">
        <v>990</v>
      </c>
      <c r="E2011" s="973" t="s">
        <v>991</v>
      </c>
      <c r="F2011" s="973" t="s">
        <v>992</v>
      </c>
      <c r="G2011" s="973" t="s">
        <v>1997</v>
      </c>
      <c r="H2011" s="973" t="s">
        <v>1998</v>
      </c>
      <c r="I2011" s="973" t="s">
        <v>1999</v>
      </c>
      <c r="J2011" s="973" t="s">
        <v>697</v>
      </c>
      <c r="K2011" s="973" t="s">
        <v>995</v>
      </c>
      <c r="L2011" s="973" t="s">
        <v>996</v>
      </c>
      <c r="M2011" s="973" t="s">
        <v>2000</v>
      </c>
      <c r="N2011" s="973" t="s">
        <v>2001</v>
      </c>
      <c r="O2011" s="973" t="s">
        <v>1971</v>
      </c>
      <c r="P2011" s="973" t="s">
        <v>999</v>
      </c>
      <c r="Q2011" s="973" t="s">
        <v>1000</v>
      </c>
      <c r="R2011" s="973" t="s">
        <v>1001</v>
      </c>
      <c r="S2011" s="973" t="s">
        <v>1002</v>
      </c>
      <c r="AE2011" s="423" t="str">
        <f t="shared" si="31"/>
        <v/>
      </c>
    </row>
    <row r="2012" spans="4:31" x14ac:dyDescent="0.25">
      <c r="D2012" s="973" t="s">
        <v>990</v>
      </c>
      <c r="E2012" s="973" t="s">
        <v>991</v>
      </c>
      <c r="F2012" s="973" t="s">
        <v>992</v>
      </c>
      <c r="G2012" s="973" t="s">
        <v>1997</v>
      </c>
      <c r="H2012" s="973" t="s">
        <v>1998</v>
      </c>
      <c r="I2012" s="973" t="s">
        <v>1999</v>
      </c>
      <c r="J2012" s="973" t="s">
        <v>697</v>
      </c>
      <c r="K2012" s="973" t="s">
        <v>995</v>
      </c>
      <c r="L2012" s="973" t="s">
        <v>996</v>
      </c>
      <c r="M2012" s="973" t="s">
        <v>2000</v>
      </c>
      <c r="N2012" s="973" t="s">
        <v>2001</v>
      </c>
      <c r="O2012" s="973" t="s">
        <v>1971</v>
      </c>
      <c r="P2012" s="973" t="s">
        <v>999</v>
      </c>
      <c r="Q2012" s="973" t="s">
        <v>1000</v>
      </c>
      <c r="R2012" s="973" t="s">
        <v>1001</v>
      </c>
      <c r="S2012" s="973" t="s">
        <v>1002</v>
      </c>
      <c r="AE2012" s="423" t="str">
        <f t="shared" si="31"/>
        <v/>
      </c>
    </row>
    <row r="2013" spans="4:31" x14ac:dyDescent="0.25">
      <c r="D2013" s="973" t="s">
        <v>990</v>
      </c>
      <c r="E2013" s="973" t="s">
        <v>991</v>
      </c>
      <c r="F2013" s="973" t="s">
        <v>992</v>
      </c>
      <c r="G2013" s="973" t="s">
        <v>1997</v>
      </c>
      <c r="H2013" s="973" t="s">
        <v>1998</v>
      </c>
      <c r="I2013" s="973" t="s">
        <v>1999</v>
      </c>
      <c r="J2013" s="973" t="s">
        <v>697</v>
      </c>
      <c r="K2013" s="973" t="s">
        <v>995</v>
      </c>
      <c r="L2013" s="973" t="s">
        <v>996</v>
      </c>
      <c r="M2013" s="973" t="s">
        <v>2000</v>
      </c>
      <c r="N2013" s="973" t="s">
        <v>2001</v>
      </c>
      <c r="O2013" s="973" t="s">
        <v>1971</v>
      </c>
      <c r="P2013" s="973" t="s">
        <v>999</v>
      </c>
      <c r="Q2013" s="973" t="s">
        <v>1000</v>
      </c>
      <c r="R2013" s="973" t="s">
        <v>1001</v>
      </c>
      <c r="S2013" s="973" t="s">
        <v>1002</v>
      </c>
      <c r="AE2013" s="423" t="str">
        <f t="shared" si="31"/>
        <v/>
      </c>
    </row>
    <row r="2014" spans="4:31" x14ac:dyDescent="0.25">
      <c r="D2014" s="973" t="s">
        <v>990</v>
      </c>
      <c r="E2014" s="973" t="s">
        <v>991</v>
      </c>
      <c r="F2014" s="973" t="s">
        <v>992</v>
      </c>
      <c r="G2014" s="973" t="s">
        <v>1997</v>
      </c>
      <c r="H2014" s="973" t="s">
        <v>1998</v>
      </c>
      <c r="I2014" s="973" t="s">
        <v>1999</v>
      </c>
      <c r="J2014" s="973" t="s">
        <v>697</v>
      </c>
      <c r="K2014" s="973" t="s">
        <v>995</v>
      </c>
      <c r="L2014" s="973" t="s">
        <v>996</v>
      </c>
      <c r="M2014" s="973" t="s">
        <v>2000</v>
      </c>
      <c r="N2014" s="973" t="s">
        <v>2001</v>
      </c>
      <c r="O2014" s="973" t="s">
        <v>1971</v>
      </c>
      <c r="P2014" s="973" t="s">
        <v>999</v>
      </c>
      <c r="Q2014" s="973" t="s">
        <v>1000</v>
      </c>
      <c r="R2014" s="973" t="s">
        <v>1001</v>
      </c>
      <c r="S2014" s="973" t="s">
        <v>1002</v>
      </c>
      <c r="AE2014" s="423" t="str">
        <f t="shared" si="31"/>
        <v/>
      </c>
    </row>
    <row r="2015" spans="4:31" x14ac:dyDescent="0.25">
      <c r="D2015" s="973" t="s">
        <v>990</v>
      </c>
      <c r="E2015" s="973" t="s">
        <v>991</v>
      </c>
      <c r="F2015" s="973" t="s">
        <v>992</v>
      </c>
      <c r="G2015" s="973" t="s">
        <v>1997</v>
      </c>
      <c r="H2015" s="973" t="s">
        <v>1998</v>
      </c>
      <c r="I2015" s="973" t="s">
        <v>1999</v>
      </c>
      <c r="J2015" s="973" t="s">
        <v>697</v>
      </c>
      <c r="K2015" s="973" t="s">
        <v>995</v>
      </c>
      <c r="L2015" s="973" t="s">
        <v>996</v>
      </c>
      <c r="M2015" s="973" t="s">
        <v>2000</v>
      </c>
      <c r="N2015" s="973" t="s">
        <v>2001</v>
      </c>
      <c r="O2015" s="973" t="s">
        <v>1971</v>
      </c>
      <c r="P2015" s="973" t="s">
        <v>999</v>
      </c>
      <c r="Q2015" s="973" t="s">
        <v>1000</v>
      </c>
      <c r="R2015" s="973" t="s">
        <v>1001</v>
      </c>
      <c r="S2015" s="973" t="s">
        <v>1002</v>
      </c>
      <c r="AE2015" s="423" t="str">
        <f t="shared" si="31"/>
        <v/>
      </c>
    </row>
    <row r="2016" spans="4:31" x14ac:dyDescent="0.25">
      <c r="D2016" s="973" t="s">
        <v>990</v>
      </c>
      <c r="E2016" s="973" t="s">
        <v>991</v>
      </c>
      <c r="F2016" s="973" t="s">
        <v>992</v>
      </c>
      <c r="G2016" s="973" t="s">
        <v>1997</v>
      </c>
      <c r="H2016" s="973" t="s">
        <v>1998</v>
      </c>
      <c r="I2016" s="973" t="s">
        <v>1999</v>
      </c>
      <c r="J2016" s="973" t="s">
        <v>697</v>
      </c>
      <c r="K2016" s="973" t="s">
        <v>995</v>
      </c>
      <c r="L2016" s="973" t="s">
        <v>996</v>
      </c>
      <c r="M2016" s="973" t="s">
        <v>2000</v>
      </c>
      <c r="N2016" s="973" t="s">
        <v>2001</v>
      </c>
      <c r="O2016" s="973" t="s">
        <v>1971</v>
      </c>
      <c r="P2016" s="973" t="s">
        <v>999</v>
      </c>
      <c r="Q2016" s="973" t="s">
        <v>1000</v>
      </c>
      <c r="R2016" s="973" t="s">
        <v>1001</v>
      </c>
      <c r="S2016" s="973" t="s">
        <v>1002</v>
      </c>
      <c r="AE2016" s="423" t="str">
        <f t="shared" si="31"/>
        <v/>
      </c>
    </row>
    <row r="2017" spans="4:31" x14ac:dyDescent="0.25">
      <c r="D2017" s="973" t="s">
        <v>990</v>
      </c>
      <c r="E2017" s="973" t="s">
        <v>991</v>
      </c>
      <c r="F2017" s="973" t="s">
        <v>992</v>
      </c>
      <c r="G2017" s="973" t="s">
        <v>1997</v>
      </c>
      <c r="H2017" s="973" t="s">
        <v>1998</v>
      </c>
      <c r="I2017" s="973" t="s">
        <v>1999</v>
      </c>
      <c r="J2017" s="973" t="s">
        <v>697</v>
      </c>
      <c r="K2017" s="973" t="s">
        <v>995</v>
      </c>
      <c r="L2017" s="973" t="s">
        <v>996</v>
      </c>
      <c r="M2017" s="973" t="s">
        <v>2000</v>
      </c>
      <c r="N2017" s="973" t="s">
        <v>2001</v>
      </c>
      <c r="O2017" s="973" t="s">
        <v>1971</v>
      </c>
      <c r="P2017" s="973" t="s">
        <v>999</v>
      </c>
      <c r="Q2017" s="973" t="s">
        <v>1000</v>
      </c>
      <c r="R2017" s="973" t="s">
        <v>1001</v>
      </c>
      <c r="S2017" s="973" t="s">
        <v>1002</v>
      </c>
      <c r="AE2017" s="423" t="str">
        <f t="shared" si="31"/>
        <v/>
      </c>
    </row>
    <row r="2018" spans="4:31" x14ac:dyDescent="0.25">
      <c r="D2018" s="973" t="s">
        <v>990</v>
      </c>
      <c r="E2018" s="973" t="s">
        <v>991</v>
      </c>
      <c r="F2018" s="973" t="s">
        <v>992</v>
      </c>
      <c r="G2018" s="973" t="s">
        <v>1997</v>
      </c>
      <c r="H2018" s="973" t="s">
        <v>1998</v>
      </c>
      <c r="I2018" s="973" t="s">
        <v>1999</v>
      </c>
      <c r="J2018" s="973" t="s">
        <v>697</v>
      </c>
      <c r="K2018" s="973" t="s">
        <v>995</v>
      </c>
      <c r="L2018" s="973" t="s">
        <v>996</v>
      </c>
      <c r="M2018" s="973" t="s">
        <v>2000</v>
      </c>
      <c r="N2018" s="973" t="s">
        <v>2001</v>
      </c>
      <c r="O2018" s="973" t="s">
        <v>1971</v>
      </c>
      <c r="P2018" s="973" t="s">
        <v>999</v>
      </c>
      <c r="Q2018" s="973" t="s">
        <v>1000</v>
      </c>
      <c r="R2018" s="973" t="s">
        <v>1001</v>
      </c>
      <c r="S2018" s="973" t="s">
        <v>1002</v>
      </c>
      <c r="AE2018" s="423" t="str">
        <f t="shared" si="31"/>
        <v/>
      </c>
    </row>
    <row r="2019" spans="4:31" x14ac:dyDescent="0.25">
      <c r="D2019" s="973" t="s">
        <v>990</v>
      </c>
      <c r="E2019" s="973" t="s">
        <v>991</v>
      </c>
      <c r="F2019" s="973" t="s">
        <v>992</v>
      </c>
      <c r="G2019" s="973" t="s">
        <v>1997</v>
      </c>
      <c r="H2019" s="973" t="s">
        <v>1998</v>
      </c>
      <c r="I2019" s="973" t="s">
        <v>1999</v>
      </c>
      <c r="J2019" s="973" t="s">
        <v>697</v>
      </c>
      <c r="K2019" s="973" t="s">
        <v>995</v>
      </c>
      <c r="L2019" s="973" t="s">
        <v>996</v>
      </c>
      <c r="M2019" s="973" t="s">
        <v>2000</v>
      </c>
      <c r="N2019" s="973" t="s">
        <v>2001</v>
      </c>
      <c r="O2019" s="973" t="s">
        <v>1971</v>
      </c>
      <c r="P2019" s="973" t="s">
        <v>999</v>
      </c>
      <c r="Q2019" s="973" t="s">
        <v>1000</v>
      </c>
      <c r="R2019" s="973" t="s">
        <v>1001</v>
      </c>
      <c r="S2019" s="973" t="s">
        <v>1002</v>
      </c>
      <c r="AE2019" s="423" t="str">
        <f t="shared" si="31"/>
        <v/>
      </c>
    </row>
    <row r="2020" spans="4:31" x14ac:dyDescent="0.25">
      <c r="D2020" s="973" t="s">
        <v>990</v>
      </c>
      <c r="E2020" s="973" t="s">
        <v>991</v>
      </c>
      <c r="F2020" s="973" t="s">
        <v>992</v>
      </c>
      <c r="G2020" s="973" t="s">
        <v>1997</v>
      </c>
      <c r="H2020" s="973" t="s">
        <v>1998</v>
      </c>
      <c r="I2020" s="973" t="s">
        <v>1999</v>
      </c>
      <c r="J2020" s="973" t="s">
        <v>697</v>
      </c>
      <c r="K2020" s="973" t="s">
        <v>995</v>
      </c>
      <c r="L2020" s="973" t="s">
        <v>996</v>
      </c>
      <c r="M2020" s="973" t="s">
        <v>2000</v>
      </c>
      <c r="N2020" s="973" t="s">
        <v>2001</v>
      </c>
      <c r="O2020" s="973" t="s">
        <v>1971</v>
      </c>
      <c r="P2020" s="973" t="s">
        <v>999</v>
      </c>
      <c r="Q2020" s="973" t="s">
        <v>1000</v>
      </c>
      <c r="R2020" s="973" t="s">
        <v>1001</v>
      </c>
      <c r="S2020" s="973" t="s">
        <v>1002</v>
      </c>
      <c r="AE2020" s="423" t="str">
        <f t="shared" si="31"/>
        <v/>
      </c>
    </row>
    <row r="2021" spans="4:31" x14ac:dyDescent="0.25">
      <c r="D2021" s="973" t="s">
        <v>990</v>
      </c>
      <c r="E2021" s="973" t="s">
        <v>991</v>
      </c>
      <c r="F2021" s="973" t="s">
        <v>992</v>
      </c>
      <c r="G2021" s="973" t="s">
        <v>1997</v>
      </c>
      <c r="H2021" s="973" t="s">
        <v>1998</v>
      </c>
      <c r="I2021" s="973" t="s">
        <v>1999</v>
      </c>
      <c r="J2021" s="973" t="s">
        <v>697</v>
      </c>
      <c r="K2021" s="973" t="s">
        <v>995</v>
      </c>
      <c r="L2021" s="973" t="s">
        <v>996</v>
      </c>
      <c r="M2021" s="973" t="s">
        <v>2000</v>
      </c>
      <c r="N2021" s="973" t="s">
        <v>2001</v>
      </c>
      <c r="O2021" s="973" t="s">
        <v>1971</v>
      </c>
      <c r="P2021" s="973" t="s">
        <v>999</v>
      </c>
      <c r="Q2021" s="973" t="s">
        <v>1000</v>
      </c>
      <c r="R2021" s="973" t="s">
        <v>1001</v>
      </c>
      <c r="S2021" s="973" t="s">
        <v>1002</v>
      </c>
      <c r="AE2021" s="423" t="str">
        <f t="shared" si="31"/>
        <v/>
      </c>
    </row>
    <row r="2022" spans="4:31" x14ac:dyDescent="0.25">
      <c r="D2022" s="973" t="s">
        <v>990</v>
      </c>
      <c r="E2022" s="973" t="s">
        <v>991</v>
      </c>
      <c r="F2022" s="973" t="s">
        <v>992</v>
      </c>
      <c r="G2022" s="973" t="s">
        <v>1997</v>
      </c>
      <c r="H2022" s="973" t="s">
        <v>1998</v>
      </c>
      <c r="I2022" s="973" t="s">
        <v>1999</v>
      </c>
      <c r="J2022" s="973" t="s">
        <v>697</v>
      </c>
      <c r="K2022" s="973" t="s">
        <v>995</v>
      </c>
      <c r="L2022" s="973" t="s">
        <v>996</v>
      </c>
      <c r="M2022" s="973" t="s">
        <v>2000</v>
      </c>
      <c r="N2022" s="973" t="s">
        <v>2001</v>
      </c>
      <c r="O2022" s="973" t="s">
        <v>1971</v>
      </c>
      <c r="P2022" s="973" t="s">
        <v>999</v>
      </c>
      <c r="Q2022" s="973" t="s">
        <v>1000</v>
      </c>
      <c r="R2022" s="973" t="s">
        <v>1001</v>
      </c>
      <c r="S2022" s="973" t="s">
        <v>1002</v>
      </c>
      <c r="AE2022" s="423" t="str">
        <f t="shared" si="31"/>
        <v/>
      </c>
    </row>
    <row r="2023" spans="4:31" x14ac:dyDescent="0.25">
      <c r="D2023" s="973" t="s">
        <v>990</v>
      </c>
      <c r="E2023" s="973" t="s">
        <v>991</v>
      </c>
      <c r="F2023" s="973" t="s">
        <v>992</v>
      </c>
      <c r="G2023" s="973" t="s">
        <v>1997</v>
      </c>
      <c r="H2023" s="973" t="s">
        <v>1998</v>
      </c>
      <c r="I2023" s="973" t="s">
        <v>1999</v>
      </c>
      <c r="J2023" s="973" t="s">
        <v>697</v>
      </c>
      <c r="K2023" s="973" t="s">
        <v>995</v>
      </c>
      <c r="L2023" s="973" t="s">
        <v>996</v>
      </c>
      <c r="M2023" s="973" t="s">
        <v>2000</v>
      </c>
      <c r="N2023" s="973" t="s">
        <v>2001</v>
      </c>
      <c r="O2023" s="973" t="s">
        <v>1971</v>
      </c>
      <c r="P2023" s="973" t="s">
        <v>999</v>
      </c>
      <c r="Q2023" s="973" t="s">
        <v>1000</v>
      </c>
      <c r="R2023" s="973" t="s">
        <v>1001</v>
      </c>
      <c r="S2023" s="973" t="s">
        <v>1002</v>
      </c>
      <c r="AE2023" s="423" t="str">
        <f t="shared" si="31"/>
        <v/>
      </c>
    </row>
    <row r="2024" spans="4:31" x14ac:dyDescent="0.25">
      <c r="D2024" s="973" t="s">
        <v>990</v>
      </c>
      <c r="E2024" s="973" t="s">
        <v>991</v>
      </c>
      <c r="F2024" s="973" t="s">
        <v>992</v>
      </c>
      <c r="G2024" s="973" t="s">
        <v>1997</v>
      </c>
      <c r="H2024" s="973" t="s">
        <v>1998</v>
      </c>
      <c r="I2024" s="973" t="s">
        <v>1999</v>
      </c>
      <c r="J2024" s="973" t="s">
        <v>697</v>
      </c>
      <c r="K2024" s="973" t="s">
        <v>995</v>
      </c>
      <c r="L2024" s="973" t="s">
        <v>996</v>
      </c>
      <c r="M2024" s="973" t="s">
        <v>2000</v>
      </c>
      <c r="N2024" s="973" t="s">
        <v>2001</v>
      </c>
      <c r="O2024" s="973" t="s">
        <v>1971</v>
      </c>
      <c r="P2024" s="973" t="s">
        <v>999</v>
      </c>
      <c r="Q2024" s="973" t="s">
        <v>1000</v>
      </c>
      <c r="R2024" s="973" t="s">
        <v>1001</v>
      </c>
      <c r="S2024" s="973" t="s">
        <v>1002</v>
      </c>
      <c r="AE2024" s="423" t="str">
        <f t="shared" si="31"/>
        <v/>
      </c>
    </row>
    <row r="2025" spans="4:31" x14ac:dyDescent="0.25">
      <c r="D2025" s="973" t="s">
        <v>990</v>
      </c>
      <c r="E2025" s="973" t="s">
        <v>991</v>
      </c>
      <c r="F2025" s="973" t="s">
        <v>992</v>
      </c>
      <c r="G2025" s="973" t="s">
        <v>1997</v>
      </c>
      <c r="H2025" s="973" t="s">
        <v>1998</v>
      </c>
      <c r="I2025" s="973" t="s">
        <v>1999</v>
      </c>
      <c r="J2025" s="973" t="s">
        <v>697</v>
      </c>
      <c r="K2025" s="973" t="s">
        <v>995</v>
      </c>
      <c r="L2025" s="973" t="s">
        <v>996</v>
      </c>
      <c r="M2025" s="973" t="s">
        <v>2000</v>
      </c>
      <c r="N2025" s="973" t="s">
        <v>2001</v>
      </c>
      <c r="O2025" s="973" t="s">
        <v>1971</v>
      </c>
      <c r="P2025" s="973" t="s">
        <v>999</v>
      </c>
      <c r="Q2025" s="973" t="s">
        <v>1000</v>
      </c>
      <c r="R2025" s="973" t="s">
        <v>1001</v>
      </c>
      <c r="S2025" s="973" t="s">
        <v>1002</v>
      </c>
      <c r="AE2025" s="423" t="str">
        <f t="shared" si="31"/>
        <v/>
      </c>
    </row>
    <row r="2026" spans="4:31" x14ac:dyDescent="0.25">
      <c r="D2026" s="973" t="s">
        <v>990</v>
      </c>
      <c r="E2026" s="973" t="s">
        <v>991</v>
      </c>
      <c r="F2026" s="973" t="s">
        <v>992</v>
      </c>
      <c r="G2026" s="973" t="s">
        <v>1997</v>
      </c>
      <c r="H2026" s="973" t="s">
        <v>1998</v>
      </c>
      <c r="I2026" s="973" t="s">
        <v>1999</v>
      </c>
      <c r="J2026" s="973" t="s">
        <v>697</v>
      </c>
      <c r="K2026" s="973" t="s">
        <v>995</v>
      </c>
      <c r="L2026" s="973" t="s">
        <v>996</v>
      </c>
      <c r="M2026" s="973" t="s">
        <v>2000</v>
      </c>
      <c r="N2026" s="973" t="s">
        <v>2001</v>
      </c>
      <c r="O2026" s="973" t="s">
        <v>1971</v>
      </c>
      <c r="P2026" s="973" t="s">
        <v>999</v>
      </c>
      <c r="Q2026" s="973" t="s">
        <v>1000</v>
      </c>
      <c r="R2026" s="973" t="s">
        <v>1001</v>
      </c>
      <c r="S2026" s="973" t="s">
        <v>1002</v>
      </c>
      <c r="AE2026" s="423" t="str">
        <f t="shared" si="31"/>
        <v/>
      </c>
    </row>
    <row r="2027" spans="4:31" x14ac:dyDescent="0.25">
      <c r="D2027" s="973" t="s">
        <v>990</v>
      </c>
      <c r="E2027" s="973" t="s">
        <v>991</v>
      </c>
      <c r="F2027" s="973" t="s">
        <v>992</v>
      </c>
      <c r="G2027" s="973" t="s">
        <v>1997</v>
      </c>
      <c r="H2027" s="973" t="s">
        <v>1998</v>
      </c>
      <c r="I2027" s="973" t="s">
        <v>1999</v>
      </c>
      <c r="J2027" s="973" t="s">
        <v>697</v>
      </c>
      <c r="K2027" s="973" t="s">
        <v>995</v>
      </c>
      <c r="L2027" s="973" t="s">
        <v>996</v>
      </c>
      <c r="M2027" s="973" t="s">
        <v>2000</v>
      </c>
      <c r="N2027" s="973" t="s">
        <v>2001</v>
      </c>
      <c r="O2027" s="973" t="s">
        <v>1971</v>
      </c>
      <c r="P2027" s="973" t="s">
        <v>999</v>
      </c>
      <c r="Q2027" s="973" t="s">
        <v>1000</v>
      </c>
      <c r="R2027" s="973" t="s">
        <v>1001</v>
      </c>
      <c r="S2027" s="973" t="s">
        <v>1002</v>
      </c>
      <c r="AE2027" s="423" t="str">
        <f t="shared" si="31"/>
        <v/>
      </c>
    </row>
    <row r="2028" spans="4:31" x14ac:dyDescent="0.25">
      <c r="D2028" s="973" t="s">
        <v>990</v>
      </c>
      <c r="E2028" s="973" t="s">
        <v>991</v>
      </c>
      <c r="F2028" s="973" t="s">
        <v>992</v>
      </c>
      <c r="G2028" s="973" t="s">
        <v>1997</v>
      </c>
      <c r="H2028" s="973" t="s">
        <v>1998</v>
      </c>
      <c r="I2028" s="973" t="s">
        <v>1999</v>
      </c>
      <c r="J2028" s="973" t="s">
        <v>697</v>
      </c>
      <c r="K2028" s="973" t="s">
        <v>995</v>
      </c>
      <c r="L2028" s="973" t="s">
        <v>996</v>
      </c>
      <c r="M2028" s="973" t="s">
        <v>2000</v>
      </c>
      <c r="N2028" s="973" t="s">
        <v>2001</v>
      </c>
      <c r="O2028" s="973" t="s">
        <v>1971</v>
      </c>
      <c r="P2028" s="973" t="s">
        <v>999</v>
      </c>
      <c r="Q2028" s="973" t="s">
        <v>1000</v>
      </c>
      <c r="R2028" s="973" t="s">
        <v>1001</v>
      </c>
      <c r="S2028" s="973" t="s">
        <v>1002</v>
      </c>
      <c r="AE2028" s="423" t="str">
        <f t="shared" si="31"/>
        <v/>
      </c>
    </row>
    <row r="2029" spans="4:31" x14ac:dyDescent="0.25">
      <c r="D2029" s="973" t="s">
        <v>990</v>
      </c>
      <c r="E2029" s="973" t="s">
        <v>991</v>
      </c>
      <c r="F2029" s="973" t="s">
        <v>992</v>
      </c>
      <c r="G2029" s="973" t="s">
        <v>1997</v>
      </c>
      <c r="H2029" s="973" t="s">
        <v>1998</v>
      </c>
      <c r="I2029" s="973" t="s">
        <v>1999</v>
      </c>
      <c r="J2029" s="973" t="s">
        <v>697</v>
      </c>
      <c r="K2029" s="973" t="s">
        <v>995</v>
      </c>
      <c r="L2029" s="973" t="s">
        <v>996</v>
      </c>
      <c r="M2029" s="973" t="s">
        <v>2000</v>
      </c>
      <c r="N2029" s="973" t="s">
        <v>2001</v>
      </c>
      <c r="O2029" s="973" t="s">
        <v>1971</v>
      </c>
      <c r="P2029" s="973" t="s">
        <v>999</v>
      </c>
      <c r="Q2029" s="973" t="s">
        <v>1000</v>
      </c>
      <c r="R2029" s="973" t="s">
        <v>1001</v>
      </c>
      <c r="S2029" s="973" t="s">
        <v>1002</v>
      </c>
      <c r="AE2029" s="423" t="str">
        <f t="shared" si="31"/>
        <v/>
      </c>
    </row>
    <row r="2030" spans="4:31" x14ac:dyDescent="0.25">
      <c r="D2030" s="973" t="s">
        <v>990</v>
      </c>
      <c r="E2030" s="973" t="s">
        <v>991</v>
      </c>
      <c r="F2030" s="973" t="s">
        <v>992</v>
      </c>
      <c r="G2030" s="973" t="s">
        <v>1997</v>
      </c>
      <c r="H2030" s="973" t="s">
        <v>1998</v>
      </c>
      <c r="I2030" s="973" t="s">
        <v>1999</v>
      </c>
      <c r="J2030" s="973" t="s">
        <v>697</v>
      </c>
      <c r="K2030" s="973" t="s">
        <v>995</v>
      </c>
      <c r="L2030" s="973" t="s">
        <v>996</v>
      </c>
      <c r="M2030" s="973" t="s">
        <v>2000</v>
      </c>
      <c r="N2030" s="973" t="s">
        <v>2001</v>
      </c>
      <c r="O2030" s="973" t="s">
        <v>1971</v>
      </c>
      <c r="P2030" s="973" t="s">
        <v>999</v>
      </c>
      <c r="Q2030" s="973" t="s">
        <v>1000</v>
      </c>
      <c r="R2030" s="973" t="s">
        <v>1001</v>
      </c>
      <c r="S2030" s="973" t="s">
        <v>1002</v>
      </c>
      <c r="AE2030" s="423" t="str">
        <f t="shared" si="31"/>
        <v/>
      </c>
    </row>
    <row r="2031" spans="4:31" x14ac:dyDescent="0.25">
      <c r="D2031" s="973" t="s">
        <v>990</v>
      </c>
      <c r="E2031" s="973" t="s">
        <v>991</v>
      </c>
      <c r="F2031" s="973" t="s">
        <v>992</v>
      </c>
      <c r="G2031" s="973" t="s">
        <v>1997</v>
      </c>
      <c r="H2031" s="973" t="s">
        <v>1998</v>
      </c>
      <c r="I2031" s="973" t="s">
        <v>1999</v>
      </c>
      <c r="J2031" s="973" t="s">
        <v>697</v>
      </c>
      <c r="K2031" s="973" t="s">
        <v>995</v>
      </c>
      <c r="L2031" s="973" t="s">
        <v>996</v>
      </c>
      <c r="M2031" s="973" t="s">
        <v>2000</v>
      </c>
      <c r="N2031" s="973" t="s">
        <v>2001</v>
      </c>
      <c r="O2031" s="973" t="s">
        <v>1971</v>
      </c>
      <c r="P2031" s="973" t="s">
        <v>999</v>
      </c>
      <c r="Q2031" s="973" t="s">
        <v>1000</v>
      </c>
      <c r="R2031" s="973" t="s">
        <v>1001</v>
      </c>
      <c r="S2031" s="973" t="s">
        <v>1002</v>
      </c>
      <c r="AE2031" s="423" t="str">
        <f t="shared" si="31"/>
        <v/>
      </c>
    </row>
    <row r="2032" spans="4:31" x14ac:dyDescent="0.25">
      <c r="D2032" s="973" t="s">
        <v>990</v>
      </c>
      <c r="E2032" s="973" t="s">
        <v>991</v>
      </c>
      <c r="F2032" s="973" t="s">
        <v>992</v>
      </c>
      <c r="G2032" s="973" t="s">
        <v>1997</v>
      </c>
      <c r="H2032" s="973" t="s">
        <v>1998</v>
      </c>
      <c r="I2032" s="973" t="s">
        <v>1999</v>
      </c>
      <c r="J2032" s="973" t="s">
        <v>697</v>
      </c>
      <c r="K2032" s="973" t="s">
        <v>995</v>
      </c>
      <c r="L2032" s="973" t="s">
        <v>996</v>
      </c>
      <c r="M2032" s="973" t="s">
        <v>2000</v>
      </c>
      <c r="N2032" s="973" t="s">
        <v>2001</v>
      </c>
      <c r="O2032" s="973" t="s">
        <v>1971</v>
      </c>
      <c r="P2032" s="973" t="s">
        <v>999</v>
      </c>
      <c r="Q2032" s="973" t="s">
        <v>1000</v>
      </c>
      <c r="R2032" s="973" t="s">
        <v>1001</v>
      </c>
      <c r="S2032" s="973" t="s">
        <v>1002</v>
      </c>
      <c r="AE2032" s="423" t="str">
        <f t="shared" si="31"/>
        <v/>
      </c>
    </row>
    <row r="2033" spans="4:31" x14ac:dyDescent="0.25">
      <c r="D2033" s="973" t="s">
        <v>990</v>
      </c>
      <c r="E2033" s="973" t="s">
        <v>991</v>
      </c>
      <c r="F2033" s="973" t="s">
        <v>992</v>
      </c>
      <c r="G2033" s="973" t="s">
        <v>1997</v>
      </c>
      <c r="H2033" s="973" t="s">
        <v>1998</v>
      </c>
      <c r="I2033" s="973" t="s">
        <v>1999</v>
      </c>
      <c r="J2033" s="973" t="s">
        <v>697</v>
      </c>
      <c r="K2033" s="973" t="s">
        <v>995</v>
      </c>
      <c r="L2033" s="973" t="s">
        <v>996</v>
      </c>
      <c r="M2033" s="973" t="s">
        <v>2000</v>
      </c>
      <c r="N2033" s="973" t="s">
        <v>2001</v>
      </c>
      <c r="O2033" s="973" t="s">
        <v>1971</v>
      </c>
      <c r="P2033" s="973" t="s">
        <v>999</v>
      </c>
      <c r="Q2033" s="973" t="s">
        <v>1000</v>
      </c>
      <c r="R2033" s="973" t="s">
        <v>1001</v>
      </c>
      <c r="S2033" s="973" t="s">
        <v>1002</v>
      </c>
      <c r="AE2033" s="423" t="str">
        <f t="shared" si="31"/>
        <v/>
      </c>
    </row>
    <row r="2034" spans="4:31" x14ac:dyDescent="0.25">
      <c r="D2034" s="973" t="s">
        <v>990</v>
      </c>
      <c r="E2034" s="973" t="s">
        <v>991</v>
      </c>
      <c r="F2034" s="973" t="s">
        <v>992</v>
      </c>
      <c r="G2034" s="973" t="s">
        <v>1997</v>
      </c>
      <c r="H2034" s="973" t="s">
        <v>1998</v>
      </c>
      <c r="I2034" s="973" t="s">
        <v>1999</v>
      </c>
      <c r="J2034" s="973" t="s">
        <v>697</v>
      </c>
      <c r="K2034" s="973" t="s">
        <v>995</v>
      </c>
      <c r="L2034" s="973" t="s">
        <v>996</v>
      </c>
      <c r="M2034" s="973" t="s">
        <v>2000</v>
      </c>
      <c r="N2034" s="973" t="s">
        <v>2001</v>
      </c>
      <c r="O2034" s="973" t="s">
        <v>1971</v>
      </c>
      <c r="P2034" s="973" t="s">
        <v>999</v>
      </c>
      <c r="Q2034" s="973" t="s">
        <v>1000</v>
      </c>
      <c r="R2034" s="973" t="s">
        <v>1001</v>
      </c>
      <c r="S2034" s="973" t="s">
        <v>1002</v>
      </c>
      <c r="AE2034" s="423" t="str">
        <f t="shared" si="31"/>
        <v/>
      </c>
    </row>
    <row r="2035" spans="4:31" x14ac:dyDescent="0.25">
      <c r="D2035" s="973" t="s">
        <v>990</v>
      </c>
      <c r="E2035" s="973" t="s">
        <v>991</v>
      </c>
      <c r="F2035" s="973" t="s">
        <v>992</v>
      </c>
      <c r="G2035" s="973" t="s">
        <v>1997</v>
      </c>
      <c r="H2035" s="973" t="s">
        <v>1998</v>
      </c>
      <c r="I2035" s="973" t="s">
        <v>1999</v>
      </c>
      <c r="J2035" s="973" t="s">
        <v>697</v>
      </c>
      <c r="K2035" s="973" t="s">
        <v>995</v>
      </c>
      <c r="L2035" s="973" t="s">
        <v>996</v>
      </c>
      <c r="M2035" s="973" t="s">
        <v>2000</v>
      </c>
      <c r="N2035" s="973" t="s">
        <v>2001</v>
      </c>
      <c r="O2035" s="973" t="s">
        <v>1971</v>
      </c>
      <c r="P2035" s="973" t="s">
        <v>999</v>
      </c>
      <c r="Q2035" s="973" t="s">
        <v>1000</v>
      </c>
      <c r="R2035" s="973" t="s">
        <v>1001</v>
      </c>
      <c r="S2035" s="973" t="s">
        <v>1002</v>
      </c>
      <c r="AE2035" s="423" t="str">
        <f t="shared" si="31"/>
        <v/>
      </c>
    </row>
    <row r="2036" spans="4:31" x14ac:dyDescent="0.25">
      <c r="D2036" s="973" t="s">
        <v>990</v>
      </c>
      <c r="E2036" s="973" t="s">
        <v>991</v>
      </c>
      <c r="F2036" s="973" t="s">
        <v>992</v>
      </c>
      <c r="G2036" s="973" t="s">
        <v>1997</v>
      </c>
      <c r="H2036" s="973" t="s">
        <v>1998</v>
      </c>
      <c r="I2036" s="973" t="s">
        <v>1999</v>
      </c>
      <c r="J2036" s="973" t="s">
        <v>697</v>
      </c>
      <c r="K2036" s="973" t="s">
        <v>995</v>
      </c>
      <c r="L2036" s="973" t="s">
        <v>996</v>
      </c>
      <c r="M2036" s="973" t="s">
        <v>2000</v>
      </c>
      <c r="N2036" s="973" t="s">
        <v>2001</v>
      </c>
      <c r="O2036" s="973" t="s">
        <v>1971</v>
      </c>
      <c r="P2036" s="973" t="s">
        <v>999</v>
      </c>
      <c r="Q2036" s="973" t="s">
        <v>1000</v>
      </c>
      <c r="R2036" s="973" t="s">
        <v>1001</v>
      </c>
      <c r="S2036" s="973" t="s">
        <v>1002</v>
      </c>
      <c r="AE2036" s="423" t="str">
        <f t="shared" si="31"/>
        <v/>
      </c>
    </row>
    <row r="2037" spans="4:31" x14ac:dyDescent="0.25">
      <c r="D2037" s="973" t="s">
        <v>990</v>
      </c>
      <c r="E2037" s="973" t="s">
        <v>991</v>
      </c>
      <c r="F2037" s="973" t="s">
        <v>992</v>
      </c>
      <c r="G2037" s="973" t="s">
        <v>1997</v>
      </c>
      <c r="H2037" s="973" t="s">
        <v>1998</v>
      </c>
      <c r="I2037" s="973" t="s">
        <v>1999</v>
      </c>
      <c r="J2037" s="973" t="s">
        <v>697</v>
      </c>
      <c r="K2037" s="973" t="s">
        <v>995</v>
      </c>
      <c r="L2037" s="973" t="s">
        <v>996</v>
      </c>
      <c r="M2037" s="973" t="s">
        <v>2000</v>
      </c>
      <c r="N2037" s="973" t="s">
        <v>2001</v>
      </c>
      <c r="O2037" s="973" t="s">
        <v>1971</v>
      </c>
      <c r="P2037" s="973" t="s">
        <v>999</v>
      </c>
      <c r="Q2037" s="973" t="s">
        <v>1000</v>
      </c>
      <c r="R2037" s="973" t="s">
        <v>1001</v>
      </c>
      <c r="S2037" s="973" t="s">
        <v>1002</v>
      </c>
      <c r="AE2037" s="423" t="str">
        <f t="shared" si="31"/>
        <v/>
      </c>
    </row>
    <row r="2038" spans="4:31" x14ac:dyDescent="0.25">
      <c r="D2038" s="973" t="s">
        <v>990</v>
      </c>
      <c r="E2038" s="973" t="s">
        <v>991</v>
      </c>
      <c r="F2038" s="973" t="s">
        <v>992</v>
      </c>
      <c r="G2038" s="973" t="s">
        <v>1997</v>
      </c>
      <c r="H2038" s="973" t="s">
        <v>1998</v>
      </c>
      <c r="I2038" s="973" t="s">
        <v>1999</v>
      </c>
      <c r="J2038" s="973" t="s">
        <v>697</v>
      </c>
      <c r="K2038" s="973" t="s">
        <v>995</v>
      </c>
      <c r="L2038" s="973" t="s">
        <v>996</v>
      </c>
      <c r="M2038" s="973" t="s">
        <v>2000</v>
      </c>
      <c r="N2038" s="973" t="s">
        <v>2001</v>
      </c>
      <c r="O2038" s="973" t="s">
        <v>1971</v>
      </c>
      <c r="P2038" s="973" t="s">
        <v>999</v>
      </c>
      <c r="Q2038" s="973" t="s">
        <v>1000</v>
      </c>
      <c r="R2038" s="973" t="s">
        <v>1001</v>
      </c>
      <c r="S2038" s="973" t="s">
        <v>1002</v>
      </c>
      <c r="AE2038" s="423" t="str">
        <f t="shared" si="31"/>
        <v/>
      </c>
    </row>
    <row r="2039" spans="4:31" x14ac:dyDescent="0.25">
      <c r="D2039" s="973" t="s">
        <v>990</v>
      </c>
      <c r="E2039" s="973" t="s">
        <v>991</v>
      </c>
      <c r="F2039" s="973" t="s">
        <v>992</v>
      </c>
      <c r="G2039" s="973" t="s">
        <v>1997</v>
      </c>
      <c r="H2039" s="973" t="s">
        <v>1998</v>
      </c>
      <c r="I2039" s="973" t="s">
        <v>1999</v>
      </c>
      <c r="J2039" s="973" t="s">
        <v>697</v>
      </c>
      <c r="K2039" s="973" t="s">
        <v>995</v>
      </c>
      <c r="L2039" s="973" t="s">
        <v>996</v>
      </c>
      <c r="M2039" s="973" t="s">
        <v>2000</v>
      </c>
      <c r="N2039" s="973" t="s">
        <v>2001</v>
      </c>
      <c r="O2039" s="973" t="s">
        <v>1971</v>
      </c>
      <c r="P2039" s="973" t="s">
        <v>999</v>
      </c>
      <c r="Q2039" s="973" t="s">
        <v>1000</v>
      </c>
      <c r="R2039" s="973" t="s">
        <v>1001</v>
      </c>
      <c r="S2039" s="973" t="s">
        <v>1002</v>
      </c>
      <c r="AE2039" s="423" t="str">
        <f t="shared" si="31"/>
        <v/>
      </c>
    </row>
    <row r="2040" spans="4:31" x14ac:dyDescent="0.25">
      <c r="D2040" s="973" t="s">
        <v>990</v>
      </c>
      <c r="E2040" s="973" t="s">
        <v>991</v>
      </c>
      <c r="F2040" s="973" t="s">
        <v>992</v>
      </c>
      <c r="G2040" s="973" t="s">
        <v>1997</v>
      </c>
      <c r="H2040" s="973" t="s">
        <v>1998</v>
      </c>
      <c r="I2040" s="973" t="s">
        <v>1999</v>
      </c>
      <c r="J2040" s="973" t="s">
        <v>697</v>
      </c>
      <c r="K2040" s="973" t="s">
        <v>995</v>
      </c>
      <c r="L2040" s="973" t="s">
        <v>996</v>
      </c>
      <c r="M2040" s="973" t="s">
        <v>2000</v>
      </c>
      <c r="N2040" s="973" t="s">
        <v>2001</v>
      </c>
      <c r="O2040" s="973" t="s">
        <v>1971</v>
      </c>
      <c r="P2040" s="973" t="s">
        <v>999</v>
      </c>
      <c r="Q2040" s="973" t="s">
        <v>1000</v>
      </c>
      <c r="R2040" s="973" t="s">
        <v>1001</v>
      </c>
      <c r="S2040" s="973" t="s">
        <v>1002</v>
      </c>
      <c r="AE2040" s="423" t="str">
        <f t="shared" si="31"/>
        <v/>
      </c>
    </row>
    <row r="2041" spans="4:31" x14ac:dyDescent="0.25">
      <c r="D2041" s="973" t="s">
        <v>990</v>
      </c>
      <c r="E2041" s="973" t="s">
        <v>991</v>
      </c>
      <c r="F2041" s="973" t="s">
        <v>992</v>
      </c>
      <c r="G2041" s="973" t="s">
        <v>1997</v>
      </c>
      <c r="H2041" s="973" t="s">
        <v>1998</v>
      </c>
      <c r="I2041" s="973" t="s">
        <v>1999</v>
      </c>
      <c r="J2041" s="973" t="s">
        <v>697</v>
      </c>
      <c r="K2041" s="973" t="s">
        <v>995</v>
      </c>
      <c r="L2041" s="973" t="s">
        <v>996</v>
      </c>
      <c r="M2041" s="973" t="s">
        <v>2000</v>
      </c>
      <c r="N2041" s="973" t="s">
        <v>2001</v>
      </c>
      <c r="O2041" s="973" t="s">
        <v>1971</v>
      </c>
      <c r="P2041" s="973" t="s">
        <v>999</v>
      </c>
      <c r="Q2041" s="973" t="s">
        <v>1000</v>
      </c>
      <c r="R2041" s="973" t="s">
        <v>1001</v>
      </c>
      <c r="S2041" s="973" t="s">
        <v>1002</v>
      </c>
      <c r="AE2041" s="423" t="str">
        <f t="shared" si="31"/>
        <v/>
      </c>
    </row>
    <row r="2042" spans="4:31" x14ac:dyDescent="0.25">
      <c r="D2042" s="973" t="s">
        <v>990</v>
      </c>
      <c r="E2042" s="973" t="s">
        <v>991</v>
      </c>
      <c r="F2042" s="973" t="s">
        <v>992</v>
      </c>
      <c r="G2042" s="973" t="s">
        <v>1997</v>
      </c>
      <c r="H2042" s="973" t="s">
        <v>1998</v>
      </c>
      <c r="I2042" s="973" t="s">
        <v>1999</v>
      </c>
      <c r="J2042" s="973" t="s">
        <v>697</v>
      </c>
      <c r="K2042" s="973" t="s">
        <v>995</v>
      </c>
      <c r="L2042" s="973" t="s">
        <v>996</v>
      </c>
      <c r="M2042" s="973" t="s">
        <v>2000</v>
      </c>
      <c r="N2042" s="973" t="s">
        <v>2001</v>
      </c>
      <c r="O2042" s="973" t="s">
        <v>1971</v>
      </c>
      <c r="P2042" s="973" t="s">
        <v>999</v>
      </c>
      <c r="Q2042" s="973" t="s">
        <v>1000</v>
      </c>
      <c r="R2042" s="973" t="s">
        <v>1001</v>
      </c>
      <c r="S2042" s="973" t="s">
        <v>1002</v>
      </c>
      <c r="AE2042" s="423" t="str">
        <f t="shared" si="31"/>
        <v/>
      </c>
    </row>
    <row r="2043" spans="4:31" x14ac:dyDescent="0.25">
      <c r="D2043" s="973" t="s">
        <v>990</v>
      </c>
      <c r="E2043" s="973" t="s">
        <v>991</v>
      </c>
      <c r="F2043" s="973" t="s">
        <v>992</v>
      </c>
      <c r="G2043" s="973" t="s">
        <v>1997</v>
      </c>
      <c r="H2043" s="973" t="s">
        <v>1998</v>
      </c>
      <c r="I2043" s="973" t="s">
        <v>1999</v>
      </c>
      <c r="J2043" s="973" t="s">
        <v>697</v>
      </c>
      <c r="K2043" s="973" t="s">
        <v>995</v>
      </c>
      <c r="L2043" s="973" t="s">
        <v>996</v>
      </c>
      <c r="M2043" s="973" t="s">
        <v>2000</v>
      </c>
      <c r="N2043" s="973" t="s">
        <v>2001</v>
      </c>
      <c r="O2043" s="973" t="s">
        <v>1971</v>
      </c>
      <c r="P2043" s="973" t="s">
        <v>999</v>
      </c>
      <c r="Q2043" s="973" t="s">
        <v>1000</v>
      </c>
      <c r="R2043" s="973" t="s">
        <v>1001</v>
      </c>
      <c r="S2043" s="973" t="s">
        <v>1002</v>
      </c>
      <c r="AE2043" s="423" t="str">
        <f t="shared" si="31"/>
        <v/>
      </c>
    </row>
    <row r="2044" spans="4:31" x14ac:dyDescent="0.25">
      <c r="D2044" s="973" t="s">
        <v>990</v>
      </c>
      <c r="E2044" s="973" t="s">
        <v>991</v>
      </c>
      <c r="F2044" s="973" t="s">
        <v>992</v>
      </c>
      <c r="G2044" s="973" t="s">
        <v>1997</v>
      </c>
      <c r="H2044" s="973" t="s">
        <v>1998</v>
      </c>
      <c r="I2044" s="973" t="s">
        <v>1999</v>
      </c>
      <c r="J2044" s="973" t="s">
        <v>697</v>
      </c>
      <c r="K2044" s="973" t="s">
        <v>995</v>
      </c>
      <c r="L2044" s="973" t="s">
        <v>996</v>
      </c>
      <c r="M2044" s="973" t="s">
        <v>2000</v>
      </c>
      <c r="N2044" s="973" t="s">
        <v>2001</v>
      </c>
      <c r="O2044" s="973" t="s">
        <v>1971</v>
      </c>
      <c r="P2044" s="973" t="s">
        <v>999</v>
      </c>
      <c r="Q2044" s="973" t="s">
        <v>1000</v>
      </c>
      <c r="R2044" s="973" t="s">
        <v>1001</v>
      </c>
      <c r="S2044" s="973" t="s">
        <v>1002</v>
      </c>
      <c r="AE2044" s="423" t="str">
        <f t="shared" si="31"/>
        <v/>
      </c>
    </row>
    <row r="2045" spans="4:31" x14ac:dyDescent="0.25">
      <c r="D2045" s="973" t="s">
        <v>990</v>
      </c>
      <c r="E2045" s="973" t="s">
        <v>991</v>
      </c>
      <c r="F2045" s="973" t="s">
        <v>992</v>
      </c>
      <c r="G2045" s="973" t="s">
        <v>1997</v>
      </c>
      <c r="H2045" s="973" t="s">
        <v>1998</v>
      </c>
      <c r="I2045" s="973" t="s">
        <v>1999</v>
      </c>
      <c r="J2045" s="973" t="s">
        <v>697</v>
      </c>
      <c r="K2045" s="973" t="s">
        <v>995</v>
      </c>
      <c r="L2045" s="973" t="s">
        <v>996</v>
      </c>
      <c r="M2045" s="973" t="s">
        <v>2000</v>
      </c>
      <c r="N2045" s="973" t="s">
        <v>2001</v>
      </c>
      <c r="O2045" s="973" t="s">
        <v>1971</v>
      </c>
      <c r="P2045" s="973" t="s">
        <v>999</v>
      </c>
      <c r="Q2045" s="973" t="s">
        <v>1000</v>
      </c>
      <c r="R2045" s="973" t="s">
        <v>1001</v>
      </c>
      <c r="S2045" s="973" t="s">
        <v>1002</v>
      </c>
      <c r="AE2045" s="423" t="str">
        <f t="shared" si="31"/>
        <v/>
      </c>
    </row>
    <row r="2046" spans="4:31" x14ac:dyDescent="0.25">
      <c r="D2046" s="973" t="s">
        <v>990</v>
      </c>
      <c r="E2046" s="973" t="s">
        <v>991</v>
      </c>
      <c r="F2046" s="973" t="s">
        <v>992</v>
      </c>
      <c r="G2046" s="973" t="s">
        <v>1997</v>
      </c>
      <c r="H2046" s="973" t="s">
        <v>1998</v>
      </c>
      <c r="I2046" s="973" t="s">
        <v>1999</v>
      </c>
      <c r="J2046" s="973" t="s">
        <v>697</v>
      </c>
      <c r="K2046" s="973" t="s">
        <v>995</v>
      </c>
      <c r="L2046" s="973" t="s">
        <v>996</v>
      </c>
      <c r="M2046" s="973" t="s">
        <v>2000</v>
      </c>
      <c r="N2046" s="973" t="s">
        <v>2001</v>
      </c>
      <c r="O2046" s="973" t="s">
        <v>1971</v>
      </c>
      <c r="P2046" s="973" t="s">
        <v>999</v>
      </c>
      <c r="Q2046" s="973" t="s">
        <v>1000</v>
      </c>
      <c r="R2046" s="973" t="s">
        <v>1001</v>
      </c>
      <c r="S2046" s="973" t="s">
        <v>1002</v>
      </c>
      <c r="AE2046" s="423" t="str">
        <f t="shared" si="31"/>
        <v/>
      </c>
    </row>
    <row r="2047" spans="4:31" x14ac:dyDescent="0.25">
      <c r="D2047" s="973" t="s">
        <v>990</v>
      </c>
      <c r="E2047" s="973" t="s">
        <v>991</v>
      </c>
      <c r="F2047" s="973" t="s">
        <v>992</v>
      </c>
      <c r="G2047" s="973" t="s">
        <v>1997</v>
      </c>
      <c r="H2047" s="973" t="s">
        <v>1998</v>
      </c>
      <c r="I2047" s="973" t="s">
        <v>1999</v>
      </c>
      <c r="J2047" s="973" t="s">
        <v>697</v>
      </c>
      <c r="K2047" s="973" t="s">
        <v>995</v>
      </c>
      <c r="L2047" s="973" t="s">
        <v>996</v>
      </c>
      <c r="M2047" s="973" t="s">
        <v>2000</v>
      </c>
      <c r="N2047" s="973" t="s">
        <v>2001</v>
      </c>
      <c r="O2047" s="973" t="s">
        <v>1971</v>
      </c>
      <c r="P2047" s="973" t="s">
        <v>999</v>
      </c>
      <c r="Q2047" s="973" t="s">
        <v>1000</v>
      </c>
      <c r="R2047" s="973" t="s">
        <v>1001</v>
      </c>
      <c r="S2047" s="973" t="s">
        <v>1002</v>
      </c>
      <c r="AE2047" s="423" t="str">
        <f t="shared" si="31"/>
        <v/>
      </c>
    </row>
    <row r="2048" spans="4:31" x14ac:dyDescent="0.25">
      <c r="D2048" s="973" t="s">
        <v>990</v>
      </c>
      <c r="E2048" s="973" t="s">
        <v>991</v>
      </c>
      <c r="F2048" s="973" t="s">
        <v>992</v>
      </c>
      <c r="G2048" s="973" t="s">
        <v>1997</v>
      </c>
      <c r="H2048" s="973" t="s">
        <v>1998</v>
      </c>
      <c r="I2048" s="973" t="s">
        <v>1999</v>
      </c>
      <c r="J2048" s="973" t="s">
        <v>697</v>
      </c>
      <c r="K2048" s="973" t="s">
        <v>995</v>
      </c>
      <c r="L2048" s="973" t="s">
        <v>996</v>
      </c>
      <c r="M2048" s="973" t="s">
        <v>2000</v>
      </c>
      <c r="N2048" s="973" t="s">
        <v>2001</v>
      </c>
      <c r="O2048" s="973" t="s">
        <v>1971</v>
      </c>
      <c r="P2048" s="973" t="s">
        <v>999</v>
      </c>
      <c r="Q2048" s="973" t="s">
        <v>1000</v>
      </c>
      <c r="R2048" s="973" t="s">
        <v>1001</v>
      </c>
      <c r="S2048" s="973" t="s">
        <v>1002</v>
      </c>
      <c r="AE2048" s="423" t="str">
        <f t="shared" si="31"/>
        <v/>
      </c>
    </row>
    <row r="2049" spans="4:31" x14ac:dyDescent="0.25">
      <c r="D2049" s="973" t="s">
        <v>990</v>
      </c>
      <c r="E2049" s="973" t="s">
        <v>991</v>
      </c>
      <c r="F2049" s="973" t="s">
        <v>992</v>
      </c>
      <c r="G2049" s="973" t="s">
        <v>1997</v>
      </c>
      <c r="H2049" s="973" t="s">
        <v>1998</v>
      </c>
      <c r="I2049" s="973" t="s">
        <v>1999</v>
      </c>
      <c r="J2049" s="973" t="s">
        <v>697</v>
      </c>
      <c r="K2049" s="973" t="s">
        <v>995</v>
      </c>
      <c r="L2049" s="973" t="s">
        <v>996</v>
      </c>
      <c r="M2049" s="973" t="s">
        <v>2000</v>
      </c>
      <c r="N2049" s="973" t="s">
        <v>2001</v>
      </c>
      <c r="O2049" s="973" t="s">
        <v>1971</v>
      </c>
      <c r="P2049" s="973" t="s">
        <v>999</v>
      </c>
      <c r="Q2049" s="973" t="s">
        <v>1000</v>
      </c>
      <c r="R2049" s="973" t="s">
        <v>1001</v>
      </c>
      <c r="S2049" s="973" t="s">
        <v>1002</v>
      </c>
      <c r="AE2049" s="423" t="str">
        <f t="shared" si="31"/>
        <v/>
      </c>
    </row>
    <row r="2050" spans="4:31" x14ac:dyDescent="0.25">
      <c r="D2050" s="973" t="s">
        <v>990</v>
      </c>
      <c r="E2050" s="973" t="s">
        <v>991</v>
      </c>
      <c r="F2050" s="973" t="s">
        <v>992</v>
      </c>
      <c r="G2050" s="973" t="s">
        <v>1997</v>
      </c>
      <c r="H2050" s="973" t="s">
        <v>1998</v>
      </c>
      <c r="I2050" s="973" t="s">
        <v>1999</v>
      </c>
      <c r="J2050" s="973" t="s">
        <v>697</v>
      </c>
      <c r="K2050" s="973" t="s">
        <v>995</v>
      </c>
      <c r="L2050" s="973" t="s">
        <v>996</v>
      </c>
      <c r="M2050" s="973" t="s">
        <v>2000</v>
      </c>
      <c r="N2050" s="973" t="s">
        <v>2001</v>
      </c>
      <c r="O2050" s="973" t="s">
        <v>1971</v>
      </c>
      <c r="P2050" s="973" t="s">
        <v>999</v>
      </c>
      <c r="Q2050" s="973" t="s">
        <v>1000</v>
      </c>
      <c r="R2050" s="973" t="s">
        <v>1001</v>
      </c>
      <c r="S2050" s="973" t="s">
        <v>1002</v>
      </c>
      <c r="AE2050" s="423" t="str">
        <f t="shared" si="31"/>
        <v/>
      </c>
    </row>
    <row r="2051" spans="4:31" x14ac:dyDescent="0.25">
      <c r="D2051" s="973" t="s">
        <v>990</v>
      </c>
      <c r="E2051" s="973" t="s">
        <v>991</v>
      </c>
      <c r="F2051" s="973" t="s">
        <v>992</v>
      </c>
      <c r="G2051" s="973" t="s">
        <v>1997</v>
      </c>
      <c r="H2051" s="973" t="s">
        <v>1998</v>
      </c>
      <c r="I2051" s="973" t="s">
        <v>1999</v>
      </c>
      <c r="J2051" s="973" t="s">
        <v>697</v>
      </c>
      <c r="K2051" s="973" t="s">
        <v>995</v>
      </c>
      <c r="L2051" s="973" t="s">
        <v>996</v>
      </c>
      <c r="M2051" s="973" t="s">
        <v>2000</v>
      </c>
      <c r="N2051" s="973" t="s">
        <v>2001</v>
      </c>
      <c r="O2051" s="973" t="s">
        <v>1971</v>
      </c>
      <c r="P2051" s="973" t="s">
        <v>999</v>
      </c>
      <c r="Q2051" s="973" t="s">
        <v>1000</v>
      </c>
      <c r="R2051" s="973" t="s">
        <v>1001</v>
      </c>
      <c r="S2051" s="973" t="s">
        <v>1002</v>
      </c>
      <c r="AE2051" s="423" t="str">
        <f t="shared" ref="AE2051:AE2114" si="32">B2051&amp;C2051</f>
        <v/>
      </c>
    </row>
    <row r="2052" spans="4:31" x14ac:dyDescent="0.25">
      <c r="D2052" s="973" t="s">
        <v>990</v>
      </c>
      <c r="E2052" s="973" t="s">
        <v>991</v>
      </c>
      <c r="F2052" s="973" t="s">
        <v>992</v>
      </c>
      <c r="G2052" s="973" t="s">
        <v>1997</v>
      </c>
      <c r="H2052" s="973" t="s">
        <v>1998</v>
      </c>
      <c r="I2052" s="973" t="s">
        <v>1999</v>
      </c>
      <c r="J2052" s="973" t="s">
        <v>697</v>
      </c>
      <c r="K2052" s="973" t="s">
        <v>995</v>
      </c>
      <c r="L2052" s="973" t="s">
        <v>996</v>
      </c>
      <c r="M2052" s="973" t="s">
        <v>2000</v>
      </c>
      <c r="N2052" s="973" t="s">
        <v>2001</v>
      </c>
      <c r="O2052" s="973" t="s">
        <v>1971</v>
      </c>
      <c r="P2052" s="973" t="s">
        <v>999</v>
      </c>
      <c r="Q2052" s="973" t="s">
        <v>1000</v>
      </c>
      <c r="R2052" s="973" t="s">
        <v>1001</v>
      </c>
      <c r="S2052" s="973" t="s">
        <v>1002</v>
      </c>
      <c r="AE2052" s="423" t="str">
        <f t="shared" si="32"/>
        <v/>
      </c>
    </row>
    <row r="2053" spans="4:31" x14ac:dyDescent="0.25">
      <c r="D2053" s="973" t="s">
        <v>990</v>
      </c>
      <c r="E2053" s="973" t="s">
        <v>991</v>
      </c>
      <c r="F2053" s="973" t="s">
        <v>992</v>
      </c>
      <c r="G2053" s="973" t="s">
        <v>1997</v>
      </c>
      <c r="H2053" s="973" t="s">
        <v>1998</v>
      </c>
      <c r="I2053" s="973" t="s">
        <v>1999</v>
      </c>
      <c r="J2053" s="973" t="s">
        <v>697</v>
      </c>
      <c r="K2053" s="973" t="s">
        <v>995</v>
      </c>
      <c r="L2053" s="973" t="s">
        <v>996</v>
      </c>
      <c r="M2053" s="973" t="s">
        <v>2000</v>
      </c>
      <c r="N2053" s="973" t="s">
        <v>2001</v>
      </c>
      <c r="O2053" s="973" t="s">
        <v>1971</v>
      </c>
      <c r="P2053" s="973" t="s">
        <v>999</v>
      </c>
      <c r="Q2053" s="973" t="s">
        <v>1000</v>
      </c>
      <c r="R2053" s="973" t="s">
        <v>1001</v>
      </c>
      <c r="S2053" s="973" t="s">
        <v>1002</v>
      </c>
      <c r="AE2053" s="423" t="str">
        <f t="shared" si="32"/>
        <v/>
      </c>
    </row>
    <row r="2054" spans="4:31" x14ac:dyDescent="0.25">
      <c r="D2054" s="973" t="s">
        <v>990</v>
      </c>
      <c r="E2054" s="973" t="s">
        <v>991</v>
      </c>
      <c r="F2054" s="973" t="s">
        <v>992</v>
      </c>
      <c r="G2054" s="973" t="s">
        <v>1997</v>
      </c>
      <c r="H2054" s="973" t="s">
        <v>1998</v>
      </c>
      <c r="I2054" s="973" t="s">
        <v>1999</v>
      </c>
      <c r="J2054" s="973" t="s">
        <v>697</v>
      </c>
      <c r="K2054" s="973" t="s">
        <v>995</v>
      </c>
      <c r="L2054" s="973" t="s">
        <v>996</v>
      </c>
      <c r="M2054" s="973" t="s">
        <v>2000</v>
      </c>
      <c r="N2054" s="973" t="s">
        <v>2001</v>
      </c>
      <c r="O2054" s="973" t="s">
        <v>1971</v>
      </c>
      <c r="P2054" s="973" t="s">
        <v>999</v>
      </c>
      <c r="Q2054" s="973" t="s">
        <v>1000</v>
      </c>
      <c r="R2054" s="973" t="s">
        <v>1001</v>
      </c>
      <c r="S2054" s="973" t="s">
        <v>1002</v>
      </c>
      <c r="AE2054" s="423" t="str">
        <f t="shared" si="32"/>
        <v/>
      </c>
    </row>
    <row r="2055" spans="4:31" x14ac:dyDescent="0.25">
      <c r="D2055" s="973" t="s">
        <v>990</v>
      </c>
      <c r="E2055" s="973" t="s">
        <v>991</v>
      </c>
      <c r="F2055" s="973" t="s">
        <v>992</v>
      </c>
      <c r="G2055" s="973" t="s">
        <v>1997</v>
      </c>
      <c r="H2055" s="973" t="s">
        <v>1998</v>
      </c>
      <c r="I2055" s="973" t="s">
        <v>1999</v>
      </c>
      <c r="J2055" s="973" t="s">
        <v>697</v>
      </c>
      <c r="K2055" s="973" t="s">
        <v>995</v>
      </c>
      <c r="L2055" s="973" t="s">
        <v>996</v>
      </c>
      <c r="M2055" s="973" t="s">
        <v>2000</v>
      </c>
      <c r="N2055" s="973" t="s">
        <v>2001</v>
      </c>
      <c r="O2055" s="973" t="s">
        <v>1971</v>
      </c>
      <c r="P2055" s="973" t="s">
        <v>999</v>
      </c>
      <c r="Q2055" s="973" t="s">
        <v>1000</v>
      </c>
      <c r="R2055" s="973" t="s">
        <v>1001</v>
      </c>
      <c r="S2055" s="973" t="s">
        <v>1002</v>
      </c>
      <c r="AE2055" s="423" t="str">
        <f t="shared" si="32"/>
        <v/>
      </c>
    </row>
    <row r="2056" spans="4:31" x14ac:dyDescent="0.25">
      <c r="D2056" s="973" t="s">
        <v>990</v>
      </c>
      <c r="E2056" s="973" t="s">
        <v>991</v>
      </c>
      <c r="F2056" s="973" t="s">
        <v>992</v>
      </c>
      <c r="G2056" s="973" t="s">
        <v>1997</v>
      </c>
      <c r="H2056" s="973" t="s">
        <v>1998</v>
      </c>
      <c r="I2056" s="973" t="s">
        <v>1999</v>
      </c>
      <c r="J2056" s="973" t="s">
        <v>697</v>
      </c>
      <c r="K2056" s="973" t="s">
        <v>995</v>
      </c>
      <c r="L2056" s="973" t="s">
        <v>996</v>
      </c>
      <c r="M2056" s="973" t="s">
        <v>2000</v>
      </c>
      <c r="N2056" s="973" t="s">
        <v>2001</v>
      </c>
      <c r="O2056" s="973" t="s">
        <v>1971</v>
      </c>
      <c r="P2056" s="973" t="s">
        <v>999</v>
      </c>
      <c r="Q2056" s="973" t="s">
        <v>1000</v>
      </c>
      <c r="R2056" s="973" t="s">
        <v>1001</v>
      </c>
      <c r="S2056" s="973" t="s">
        <v>1002</v>
      </c>
      <c r="AE2056" s="423" t="str">
        <f t="shared" si="32"/>
        <v/>
      </c>
    </row>
    <row r="2057" spans="4:31" x14ac:dyDescent="0.25">
      <c r="D2057" s="973" t="s">
        <v>990</v>
      </c>
      <c r="E2057" s="973" t="s">
        <v>991</v>
      </c>
      <c r="F2057" s="973" t="s">
        <v>992</v>
      </c>
      <c r="G2057" s="973" t="s">
        <v>1997</v>
      </c>
      <c r="H2057" s="973" t="s">
        <v>1998</v>
      </c>
      <c r="I2057" s="973" t="s">
        <v>1999</v>
      </c>
      <c r="J2057" s="973" t="s">
        <v>697</v>
      </c>
      <c r="K2057" s="973" t="s">
        <v>995</v>
      </c>
      <c r="L2057" s="973" t="s">
        <v>996</v>
      </c>
      <c r="M2057" s="973" t="s">
        <v>2000</v>
      </c>
      <c r="N2057" s="973" t="s">
        <v>2001</v>
      </c>
      <c r="O2057" s="973" t="s">
        <v>1971</v>
      </c>
      <c r="P2057" s="973" t="s">
        <v>999</v>
      </c>
      <c r="Q2057" s="973" t="s">
        <v>1000</v>
      </c>
      <c r="R2057" s="973" t="s">
        <v>1001</v>
      </c>
      <c r="S2057" s="973" t="s">
        <v>1002</v>
      </c>
      <c r="AE2057" s="423" t="str">
        <f t="shared" si="32"/>
        <v/>
      </c>
    </row>
    <row r="2058" spans="4:31" x14ac:dyDescent="0.25">
      <c r="D2058" s="973" t="s">
        <v>990</v>
      </c>
      <c r="E2058" s="973" t="s">
        <v>991</v>
      </c>
      <c r="F2058" s="973" t="s">
        <v>992</v>
      </c>
      <c r="G2058" s="973" t="s">
        <v>1997</v>
      </c>
      <c r="H2058" s="973" t="s">
        <v>1998</v>
      </c>
      <c r="I2058" s="973" t="s">
        <v>1999</v>
      </c>
      <c r="J2058" s="973" t="s">
        <v>697</v>
      </c>
      <c r="K2058" s="973" t="s">
        <v>995</v>
      </c>
      <c r="L2058" s="973" t="s">
        <v>996</v>
      </c>
      <c r="M2058" s="973" t="s">
        <v>2000</v>
      </c>
      <c r="N2058" s="973" t="s">
        <v>2001</v>
      </c>
      <c r="O2058" s="973" t="s">
        <v>1971</v>
      </c>
      <c r="P2058" s="973" t="s">
        <v>999</v>
      </c>
      <c r="Q2058" s="973" t="s">
        <v>1000</v>
      </c>
      <c r="R2058" s="973" t="s">
        <v>1001</v>
      </c>
      <c r="S2058" s="973" t="s">
        <v>1002</v>
      </c>
      <c r="AE2058" s="423" t="str">
        <f t="shared" si="32"/>
        <v/>
      </c>
    </row>
    <row r="2059" spans="4:31" x14ac:dyDescent="0.25">
      <c r="D2059" s="973" t="s">
        <v>990</v>
      </c>
      <c r="E2059" s="973" t="s">
        <v>991</v>
      </c>
      <c r="F2059" s="973" t="s">
        <v>992</v>
      </c>
      <c r="G2059" s="973" t="s">
        <v>1997</v>
      </c>
      <c r="H2059" s="973" t="s">
        <v>1998</v>
      </c>
      <c r="I2059" s="973" t="s">
        <v>1999</v>
      </c>
      <c r="J2059" s="973" t="s">
        <v>697</v>
      </c>
      <c r="K2059" s="973" t="s">
        <v>995</v>
      </c>
      <c r="L2059" s="973" t="s">
        <v>996</v>
      </c>
      <c r="M2059" s="973" t="s">
        <v>2000</v>
      </c>
      <c r="N2059" s="973" t="s">
        <v>2001</v>
      </c>
      <c r="O2059" s="973" t="s">
        <v>1971</v>
      </c>
      <c r="P2059" s="973" t="s">
        <v>999</v>
      </c>
      <c r="Q2059" s="973" t="s">
        <v>1000</v>
      </c>
      <c r="R2059" s="973" t="s">
        <v>1001</v>
      </c>
      <c r="S2059" s="973" t="s">
        <v>1002</v>
      </c>
      <c r="AE2059" s="423" t="str">
        <f t="shared" si="32"/>
        <v/>
      </c>
    </row>
    <row r="2060" spans="4:31" x14ac:dyDescent="0.25">
      <c r="D2060" s="973" t="s">
        <v>990</v>
      </c>
      <c r="E2060" s="973" t="s">
        <v>991</v>
      </c>
      <c r="F2060" s="973" t="s">
        <v>992</v>
      </c>
      <c r="G2060" s="973" t="s">
        <v>1997</v>
      </c>
      <c r="H2060" s="973" t="s">
        <v>1998</v>
      </c>
      <c r="I2060" s="973" t="s">
        <v>1999</v>
      </c>
      <c r="J2060" s="973" t="s">
        <v>697</v>
      </c>
      <c r="K2060" s="973" t="s">
        <v>995</v>
      </c>
      <c r="L2060" s="973" t="s">
        <v>996</v>
      </c>
      <c r="M2060" s="973" t="s">
        <v>2000</v>
      </c>
      <c r="N2060" s="973" t="s">
        <v>2001</v>
      </c>
      <c r="O2060" s="973" t="s">
        <v>1971</v>
      </c>
      <c r="P2060" s="973" t="s">
        <v>999</v>
      </c>
      <c r="Q2060" s="973" t="s">
        <v>1000</v>
      </c>
      <c r="R2060" s="973" t="s">
        <v>1001</v>
      </c>
      <c r="S2060" s="973" t="s">
        <v>1002</v>
      </c>
      <c r="AE2060" s="423" t="str">
        <f t="shared" si="32"/>
        <v/>
      </c>
    </row>
    <row r="2061" spans="4:31" x14ac:dyDescent="0.25">
      <c r="D2061" s="973" t="s">
        <v>990</v>
      </c>
      <c r="E2061" s="973" t="s">
        <v>991</v>
      </c>
      <c r="F2061" s="973" t="s">
        <v>992</v>
      </c>
      <c r="G2061" s="973" t="s">
        <v>1997</v>
      </c>
      <c r="H2061" s="973" t="s">
        <v>1998</v>
      </c>
      <c r="I2061" s="973" t="s">
        <v>1999</v>
      </c>
      <c r="J2061" s="973" t="s">
        <v>697</v>
      </c>
      <c r="K2061" s="973" t="s">
        <v>995</v>
      </c>
      <c r="L2061" s="973" t="s">
        <v>996</v>
      </c>
      <c r="M2061" s="973" t="s">
        <v>2000</v>
      </c>
      <c r="N2061" s="973" t="s">
        <v>2001</v>
      </c>
      <c r="O2061" s="973" t="s">
        <v>1971</v>
      </c>
      <c r="P2061" s="973" t="s">
        <v>999</v>
      </c>
      <c r="Q2061" s="973" t="s">
        <v>1000</v>
      </c>
      <c r="R2061" s="973" t="s">
        <v>1001</v>
      </c>
      <c r="S2061" s="973" t="s">
        <v>1002</v>
      </c>
      <c r="AE2061" s="423" t="str">
        <f t="shared" si="32"/>
        <v/>
      </c>
    </row>
    <row r="2062" spans="4:31" x14ac:dyDescent="0.25">
      <c r="D2062" s="973" t="s">
        <v>990</v>
      </c>
      <c r="E2062" s="973" t="s">
        <v>991</v>
      </c>
      <c r="F2062" s="973" t="s">
        <v>992</v>
      </c>
      <c r="G2062" s="973" t="s">
        <v>1997</v>
      </c>
      <c r="H2062" s="973" t="s">
        <v>1998</v>
      </c>
      <c r="I2062" s="973" t="s">
        <v>1999</v>
      </c>
      <c r="J2062" s="973" t="s">
        <v>697</v>
      </c>
      <c r="K2062" s="973" t="s">
        <v>995</v>
      </c>
      <c r="L2062" s="973" t="s">
        <v>996</v>
      </c>
      <c r="M2062" s="973" t="s">
        <v>2000</v>
      </c>
      <c r="N2062" s="973" t="s">
        <v>2001</v>
      </c>
      <c r="O2062" s="973" t="s">
        <v>1971</v>
      </c>
      <c r="P2062" s="973" t="s">
        <v>999</v>
      </c>
      <c r="Q2062" s="973" t="s">
        <v>1000</v>
      </c>
      <c r="R2062" s="973" t="s">
        <v>1001</v>
      </c>
      <c r="S2062" s="973" t="s">
        <v>1002</v>
      </c>
      <c r="AE2062" s="423" t="str">
        <f t="shared" si="32"/>
        <v/>
      </c>
    </row>
    <row r="2063" spans="4:31" x14ac:dyDescent="0.25">
      <c r="D2063" s="973" t="s">
        <v>990</v>
      </c>
      <c r="E2063" s="973" t="s">
        <v>991</v>
      </c>
      <c r="F2063" s="973" t="s">
        <v>992</v>
      </c>
      <c r="G2063" s="973" t="s">
        <v>1997</v>
      </c>
      <c r="H2063" s="973" t="s">
        <v>1998</v>
      </c>
      <c r="I2063" s="973" t="s">
        <v>1999</v>
      </c>
      <c r="J2063" s="973" t="s">
        <v>697</v>
      </c>
      <c r="K2063" s="973" t="s">
        <v>995</v>
      </c>
      <c r="L2063" s="973" t="s">
        <v>996</v>
      </c>
      <c r="M2063" s="973" t="s">
        <v>2000</v>
      </c>
      <c r="N2063" s="973" t="s">
        <v>2001</v>
      </c>
      <c r="O2063" s="973" t="s">
        <v>1971</v>
      </c>
      <c r="P2063" s="973" t="s">
        <v>999</v>
      </c>
      <c r="Q2063" s="973" t="s">
        <v>1000</v>
      </c>
      <c r="R2063" s="973" t="s">
        <v>1001</v>
      </c>
      <c r="S2063" s="973" t="s">
        <v>1002</v>
      </c>
      <c r="AE2063" s="423" t="str">
        <f t="shared" si="32"/>
        <v/>
      </c>
    </row>
    <row r="2064" spans="4:31" x14ac:dyDescent="0.25">
      <c r="D2064" s="973" t="s">
        <v>990</v>
      </c>
      <c r="E2064" s="973" t="s">
        <v>991</v>
      </c>
      <c r="F2064" s="973" t="s">
        <v>992</v>
      </c>
      <c r="G2064" s="973" t="s">
        <v>1997</v>
      </c>
      <c r="H2064" s="973" t="s">
        <v>1998</v>
      </c>
      <c r="I2064" s="973" t="s">
        <v>1999</v>
      </c>
      <c r="J2064" s="973" t="s">
        <v>697</v>
      </c>
      <c r="K2064" s="973" t="s">
        <v>995</v>
      </c>
      <c r="L2064" s="973" t="s">
        <v>996</v>
      </c>
      <c r="M2064" s="973" t="s">
        <v>2000</v>
      </c>
      <c r="N2064" s="973" t="s">
        <v>2001</v>
      </c>
      <c r="O2064" s="973" t="s">
        <v>1971</v>
      </c>
      <c r="P2064" s="973" t="s">
        <v>999</v>
      </c>
      <c r="Q2064" s="973" t="s">
        <v>1000</v>
      </c>
      <c r="R2064" s="973" t="s">
        <v>1001</v>
      </c>
      <c r="S2064" s="973" t="s">
        <v>1002</v>
      </c>
      <c r="AE2064" s="423" t="str">
        <f t="shared" si="32"/>
        <v/>
      </c>
    </row>
    <row r="2065" spans="4:31" x14ac:dyDescent="0.25">
      <c r="D2065" s="973" t="s">
        <v>990</v>
      </c>
      <c r="E2065" s="973" t="s">
        <v>991</v>
      </c>
      <c r="F2065" s="973" t="s">
        <v>992</v>
      </c>
      <c r="G2065" s="973" t="s">
        <v>1997</v>
      </c>
      <c r="H2065" s="973" t="s">
        <v>1998</v>
      </c>
      <c r="I2065" s="973" t="s">
        <v>1999</v>
      </c>
      <c r="J2065" s="973" t="s">
        <v>697</v>
      </c>
      <c r="K2065" s="973" t="s">
        <v>995</v>
      </c>
      <c r="L2065" s="973" t="s">
        <v>996</v>
      </c>
      <c r="M2065" s="973" t="s">
        <v>2000</v>
      </c>
      <c r="N2065" s="973" t="s">
        <v>2001</v>
      </c>
      <c r="O2065" s="973" t="s">
        <v>1971</v>
      </c>
      <c r="P2065" s="973" t="s">
        <v>999</v>
      </c>
      <c r="Q2065" s="973" t="s">
        <v>1000</v>
      </c>
      <c r="R2065" s="973" t="s">
        <v>1001</v>
      </c>
      <c r="S2065" s="973" t="s">
        <v>1002</v>
      </c>
      <c r="AE2065" s="423" t="str">
        <f t="shared" si="32"/>
        <v/>
      </c>
    </row>
    <row r="2066" spans="4:31" x14ac:dyDescent="0.25">
      <c r="D2066" s="973" t="s">
        <v>990</v>
      </c>
      <c r="E2066" s="973" t="s">
        <v>991</v>
      </c>
      <c r="F2066" s="973" t="s">
        <v>992</v>
      </c>
      <c r="G2066" s="973" t="s">
        <v>1997</v>
      </c>
      <c r="H2066" s="973" t="s">
        <v>1998</v>
      </c>
      <c r="I2066" s="973" t="s">
        <v>1999</v>
      </c>
      <c r="J2066" s="973" t="s">
        <v>697</v>
      </c>
      <c r="K2066" s="973" t="s">
        <v>995</v>
      </c>
      <c r="L2066" s="973" t="s">
        <v>996</v>
      </c>
      <c r="M2066" s="973" t="s">
        <v>2000</v>
      </c>
      <c r="N2066" s="973" t="s">
        <v>2001</v>
      </c>
      <c r="O2066" s="973" t="s">
        <v>1971</v>
      </c>
      <c r="P2066" s="973" t="s">
        <v>999</v>
      </c>
      <c r="Q2066" s="973" t="s">
        <v>1000</v>
      </c>
      <c r="R2066" s="973" t="s">
        <v>1001</v>
      </c>
      <c r="S2066" s="973" t="s">
        <v>1002</v>
      </c>
      <c r="AE2066" s="423" t="str">
        <f t="shared" si="32"/>
        <v/>
      </c>
    </row>
    <row r="2067" spans="4:31" x14ac:dyDescent="0.25">
      <c r="D2067" s="973" t="s">
        <v>990</v>
      </c>
      <c r="E2067" s="973" t="s">
        <v>991</v>
      </c>
      <c r="F2067" s="973" t="s">
        <v>992</v>
      </c>
      <c r="G2067" s="973" t="s">
        <v>1997</v>
      </c>
      <c r="H2067" s="973" t="s">
        <v>1998</v>
      </c>
      <c r="I2067" s="973" t="s">
        <v>1999</v>
      </c>
      <c r="J2067" s="973" t="s">
        <v>697</v>
      </c>
      <c r="K2067" s="973" t="s">
        <v>995</v>
      </c>
      <c r="L2067" s="973" t="s">
        <v>996</v>
      </c>
      <c r="M2067" s="973" t="s">
        <v>2000</v>
      </c>
      <c r="N2067" s="973" t="s">
        <v>2001</v>
      </c>
      <c r="O2067" s="973" t="s">
        <v>1971</v>
      </c>
      <c r="P2067" s="973" t="s">
        <v>999</v>
      </c>
      <c r="Q2067" s="973" t="s">
        <v>1000</v>
      </c>
      <c r="R2067" s="973" t="s">
        <v>1001</v>
      </c>
      <c r="S2067" s="973" t="s">
        <v>1002</v>
      </c>
      <c r="AE2067" s="423" t="str">
        <f t="shared" si="32"/>
        <v/>
      </c>
    </row>
    <row r="2068" spans="4:31" x14ac:dyDescent="0.25">
      <c r="D2068" s="973" t="s">
        <v>990</v>
      </c>
      <c r="E2068" s="973" t="s">
        <v>991</v>
      </c>
      <c r="F2068" s="973" t="s">
        <v>992</v>
      </c>
      <c r="G2068" s="973" t="s">
        <v>1997</v>
      </c>
      <c r="H2068" s="973" t="s">
        <v>1998</v>
      </c>
      <c r="I2068" s="973" t="s">
        <v>1999</v>
      </c>
      <c r="J2068" s="973" t="s">
        <v>697</v>
      </c>
      <c r="K2068" s="973" t="s">
        <v>995</v>
      </c>
      <c r="L2068" s="973" t="s">
        <v>996</v>
      </c>
      <c r="M2068" s="973" t="s">
        <v>2000</v>
      </c>
      <c r="N2068" s="973" t="s">
        <v>2001</v>
      </c>
      <c r="O2068" s="973" t="s">
        <v>1971</v>
      </c>
      <c r="P2068" s="973" t="s">
        <v>999</v>
      </c>
      <c r="Q2068" s="973" t="s">
        <v>1000</v>
      </c>
      <c r="R2068" s="973" t="s">
        <v>1001</v>
      </c>
      <c r="S2068" s="973" t="s">
        <v>1002</v>
      </c>
      <c r="AE2068" s="423" t="str">
        <f t="shared" si="32"/>
        <v/>
      </c>
    </row>
    <row r="2069" spans="4:31" x14ac:dyDescent="0.25">
      <c r="D2069" s="973" t="s">
        <v>990</v>
      </c>
      <c r="E2069" s="973" t="s">
        <v>991</v>
      </c>
      <c r="F2069" s="973" t="s">
        <v>992</v>
      </c>
      <c r="G2069" s="973" t="s">
        <v>1997</v>
      </c>
      <c r="H2069" s="973" t="s">
        <v>1998</v>
      </c>
      <c r="I2069" s="973" t="s">
        <v>1999</v>
      </c>
      <c r="J2069" s="973" t="s">
        <v>697</v>
      </c>
      <c r="K2069" s="973" t="s">
        <v>995</v>
      </c>
      <c r="L2069" s="973" t="s">
        <v>996</v>
      </c>
      <c r="M2069" s="973" t="s">
        <v>2000</v>
      </c>
      <c r="N2069" s="973" t="s">
        <v>2001</v>
      </c>
      <c r="O2069" s="973" t="s">
        <v>1971</v>
      </c>
      <c r="P2069" s="973" t="s">
        <v>999</v>
      </c>
      <c r="Q2069" s="973" t="s">
        <v>1000</v>
      </c>
      <c r="R2069" s="973" t="s">
        <v>1001</v>
      </c>
      <c r="S2069" s="973" t="s">
        <v>1002</v>
      </c>
      <c r="AE2069" s="423" t="str">
        <f t="shared" si="32"/>
        <v/>
      </c>
    </row>
    <row r="2070" spans="4:31" x14ac:dyDescent="0.25">
      <c r="D2070" s="973" t="s">
        <v>990</v>
      </c>
      <c r="E2070" s="973" t="s">
        <v>991</v>
      </c>
      <c r="F2070" s="973" t="s">
        <v>992</v>
      </c>
      <c r="G2070" s="973" t="s">
        <v>1997</v>
      </c>
      <c r="H2070" s="973" t="s">
        <v>1998</v>
      </c>
      <c r="I2070" s="973" t="s">
        <v>1999</v>
      </c>
      <c r="J2070" s="973" t="s">
        <v>697</v>
      </c>
      <c r="K2070" s="973" t="s">
        <v>995</v>
      </c>
      <c r="L2070" s="973" t="s">
        <v>996</v>
      </c>
      <c r="M2070" s="973" t="s">
        <v>2000</v>
      </c>
      <c r="N2070" s="973" t="s">
        <v>2001</v>
      </c>
      <c r="O2070" s="973" t="s">
        <v>1971</v>
      </c>
      <c r="P2070" s="973" t="s">
        <v>999</v>
      </c>
      <c r="Q2070" s="973" t="s">
        <v>1000</v>
      </c>
      <c r="R2070" s="973" t="s">
        <v>1001</v>
      </c>
      <c r="S2070" s="973" t="s">
        <v>1002</v>
      </c>
      <c r="AE2070" s="423" t="str">
        <f t="shared" si="32"/>
        <v/>
      </c>
    </row>
    <row r="2071" spans="4:31" x14ac:dyDescent="0.25">
      <c r="D2071" s="973" t="s">
        <v>990</v>
      </c>
      <c r="E2071" s="973" t="s">
        <v>991</v>
      </c>
      <c r="F2071" s="973" t="s">
        <v>992</v>
      </c>
      <c r="G2071" s="973" t="s">
        <v>1997</v>
      </c>
      <c r="H2071" s="973" t="s">
        <v>1998</v>
      </c>
      <c r="I2071" s="973" t="s">
        <v>1999</v>
      </c>
      <c r="J2071" s="973" t="s">
        <v>697</v>
      </c>
      <c r="K2071" s="973" t="s">
        <v>995</v>
      </c>
      <c r="L2071" s="973" t="s">
        <v>996</v>
      </c>
      <c r="M2071" s="973" t="s">
        <v>2000</v>
      </c>
      <c r="N2071" s="973" t="s">
        <v>2001</v>
      </c>
      <c r="O2071" s="973" t="s">
        <v>1971</v>
      </c>
      <c r="P2071" s="973" t="s">
        <v>999</v>
      </c>
      <c r="Q2071" s="973" t="s">
        <v>1000</v>
      </c>
      <c r="R2071" s="973" t="s">
        <v>1001</v>
      </c>
      <c r="S2071" s="973" t="s">
        <v>1002</v>
      </c>
      <c r="AE2071" s="423" t="str">
        <f t="shared" si="32"/>
        <v/>
      </c>
    </row>
    <row r="2072" spans="4:31" x14ac:dyDescent="0.25">
      <c r="D2072" s="973" t="s">
        <v>990</v>
      </c>
      <c r="E2072" s="973" t="s">
        <v>991</v>
      </c>
      <c r="F2072" s="973" t="s">
        <v>992</v>
      </c>
      <c r="G2072" s="973" t="s">
        <v>1997</v>
      </c>
      <c r="H2072" s="973" t="s">
        <v>1998</v>
      </c>
      <c r="I2072" s="973" t="s">
        <v>1999</v>
      </c>
      <c r="J2072" s="973" t="s">
        <v>697</v>
      </c>
      <c r="K2072" s="973" t="s">
        <v>995</v>
      </c>
      <c r="L2072" s="973" t="s">
        <v>996</v>
      </c>
      <c r="M2072" s="973" t="s">
        <v>2000</v>
      </c>
      <c r="N2072" s="973" t="s">
        <v>2001</v>
      </c>
      <c r="O2072" s="973" t="s">
        <v>1971</v>
      </c>
      <c r="P2072" s="973" t="s">
        <v>999</v>
      </c>
      <c r="Q2072" s="973" t="s">
        <v>1000</v>
      </c>
      <c r="R2072" s="973" t="s">
        <v>1001</v>
      </c>
      <c r="S2072" s="973" t="s">
        <v>1002</v>
      </c>
      <c r="AE2072" s="423" t="str">
        <f t="shared" si="32"/>
        <v/>
      </c>
    </row>
    <row r="2073" spans="4:31" x14ac:dyDescent="0.25">
      <c r="D2073" s="973" t="s">
        <v>990</v>
      </c>
      <c r="E2073" s="973" t="s">
        <v>991</v>
      </c>
      <c r="F2073" s="973" t="s">
        <v>992</v>
      </c>
      <c r="G2073" s="973" t="s">
        <v>1997</v>
      </c>
      <c r="H2073" s="973" t="s">
        <v>1998</v>
      </c>
      <c r="I2073" s="973" t="s">
        <v>1999</v>
      </c>
      <c r="J2073" s="973" t="s">
        <v>697</v>
      </c>
      <c r="K2073" s="973" t="s">
        <v>995</v>
      </c>
      <c r="L2073" s="973" t="s">
        <v>996</v>
      </c>
      <c r="M2073" s="973" t="s">
        <v>2000</v>
      </c>
      <c r="N2073" s="973" t="s">
        <v>2001</v>
      </c>
      <c r="O2073" s="973" t="s">
        <v>1971</v>
      </c>
      <c r="P2073" s="973" t="s">
        <v>999</v>
      </c>
      <c r="Q2073" s="973" t="s">
        <v>1000</v>
      </c>
      <c r="R2073" s="973" t="s">
        <v>1001</v>
      </c>
      <c r="S2073" s="973" t="s">
        <v>1002</v>
      </c>
      <c r="AE2073" s="423" t="str">
        <f t="shared" si="32"/>
        <v/>
      </c>
    </row>
    <row r="2074" spans="4:31" x14ac:dyDescent="0.25">
      <c r="D2074" s="973" t="s">
        <v>990</v>
      </c>
      <c r="E2074" s="973" t="s">
        <v>991</v>
      </c>
      <c r="F2074" s="973" t="s">
        <v>992</v>
      </c>
      <c r="G2074" s="973" t="s">
        <v>1997</v>
      </c>
      <c r="H2074" s="973" t="s">
        <v>1998</v>
      </c>
      <c r="I2074" s="973" t="s">
        <v>1999</v>
      </c>
      <c r="J2074" s="973" t="s">
        <v>697</v>
      </c>
      <c r="K2074" s="973" t="s">
        <v>995</v>
      </c>
      <c r="L2074" s="973" t="s">
        <v>996</v>
      </c>
      <c r="M2074" s="973" t="s">
        <v>2000</v>
      </c>
      <c r="N2074" s="973" t="s">
        <v>2001</v>
      </c>
      <c r="O2074" s="973" t="s">
        <v>1971</v>
      </c>
      <c r="P2074" s="973" t="s">
        <v>999</v>
      </c>
      <c r="Q2074" s="973" t="s">
        <v>1000</v>
      </c>
      <c r="R2074" s="973" t="s">
        <v>1001</v>
      </c>
      <c r="S2074" s="973" t="s">
        <v>1002</v>
      </c>
      <c r="AE2074" s="423" t="str">
        <f t="shared" si="32"/>
        <v/>
      </c>
    </row>
    <row r="2075" spans="4:31" x14ac:dyDescent="0.25">
      <c r="D2075" s="973" t="s">
        <v>990</v>
      </c>
      <c r="E2075" s="973" t="s">
        <v>991</v>
      </c>
      <c r="F2075" s="973" t="s">
        <v>992</v>
      </c>
      <c r="G2075" s="973" t="s">
        <v>1997</v>
      </c>
      <c r="H2075" s="973" t="s">
        <v>1998</v>
      </c>
      <c r="I2075" s="973" t="s">
        <v>1999</v>
      </c>
      <c r="J2075" s="973" t="s">
        <v>697</v>
      </c>
      <c r="K2075" s="973" t="s">
        <v>995</v>
      </c>
      <c r="L2075" s="973" t="s">
        <v>996</v>
      </c>
      <c r="M2075" s="973" t="s">
        <v>2000</v>
      </c>
      <c r="N2075" s="973" t="s">
        <v>2001</v>
      </c>
      <c r="O2075" s="973" t="s">
        <v>1971</v>
      </c>
      <c r="P2075" s="973" t="s">
        <v>999</v>
      </c>
      <c r="Q2075" s="973" t="s">
        <v>1000</v>
      </c>
      <c r="R2075" s="973" t="s">
        <v>1001</v>
      </c>
      <c r="S2075" s="973" t="s">
        <v>1002</v>
      </c>
      <c r="AE2075" s="423" t="str">
        <f t="shared" si="32"/>
        <v/>
      </c>
    </row>
    <row r="2076" spans="4:31" x14ac:dyDescent="0.25">
      <c r="D2076" s="973" t="s">
        <v>990</v>
      </c>
      <c r="E2076" s="973" t="s">
        <v>991</v>
      </c>
      <c r="F2076" s="973" t="s">
        <v>992</v>
      </c>
      <c r="G2076" s="973" t="s">
        <v>1997</v>
      </c>
      <c r="H2076" s="973" t="s">
        <v>1998</v>
      </c>
      <c r="I2076" s="973" t="s">
        <v>1999</v>
      </c>
      <c r="J2076" s="973" t="s">
        <v>697</v>
      </c>
      <c r="K2076" s="973" t="s">
        <v>995</v>
      </c>
      <c r="L2076" s="973" t="s">
        <v>996</v>
      </c>
      <c r="M2076" s="973" t="s">
        <v>2000</v>
      </c>
      <c r="N2076" s="973" t="s">
        <v>2001</v>
      </c>
      <c r="O2076" s="973" t="s">
        <v>1971</v>
      </c>
      <c r="P2076" s="973" t="s">
        <v>999</v>
      </c>
      <c r="Q2076" s="973" t="s">
        <v>1000</v>
      </c>
      <c r="R2076" s="973" t="s">
        <v>1001</v>
      </c>
      <c r="S2076" s="973" t="s">
        <v>1002</v>
      </c>
      <c r="AE2076" s="423" t="str">
        <f t="shared" si="32"/>
        <v/>
      </c>
    </row>
    <row r="2077" spans="4:31" x14ac:dyDescent="0.25">
      <c r="D2077" s="973" t="s">
        <v>990</v>
      </c>
      <c r="E2077" s="973" t="s">
        <v>991</v>
      </c>
      <c r="F2077" s="973" t="s">
        <v>992</v>
      </c>
      <c r="G2077" s="973" t="s">
        <v>1997</v>
      </c>
      <c r="H2077" s="973" t="s">
        <v>1998</v>
      </c>
      <c r="I2077" s="973" t="s">
        <v>1999</v>
      </c>
      <c r="J2077" s="973" t="s">
        <v>697</v>
      </c>
      <c r="K2077" s="973" t="s">
        <v>995</v>
      </c>
      <c r="L2077" s="973" t="s">
        <v>996</v>
      </c>
      <c r="M2077" s="973" t="s">
        <v>2000</v>
      </c>
      <c r="N2077" s="973" t="s">
        <v>2001</v>
      </c>
      <c r="O2077" s="973" t="s">
        <v>1971</v>
      </c>
      <c r="P2077" s="973" t="s">
        <v>999</v>
      </c>
      <c r="Q2077" s="973" t="s">
        <v>1000</v>
      </c>
      <c r="R2077" s="973" t="s">
        <v>1001</v>
      </c>
      <c r="S2077" s="973" t="s">
        <v>1002</v>
      </c>
      <c r="AE2077" s="423" t="str">
        <f t="shared" si="32"/>
        <v/>
      </c>
    </row>
    <row r="2078" spans="4:31" x14ac:dyDescent="0.25">
      <c r="D2078" s="973" t="s">
        <v>990</v>
      </c>
      <c r="E2078" s="973" t="s">
        <v>991</v>
      </c>
      <c r="F2078" s="973" t="s">
        <v>992</v>
      </c>
      <c r="G2078" s="973" t="s">
        <v>1997</v>
      </c>
      <c r="H2078" s="973" t="s">
        <v>1998</v>
      </c>
      <c r="I2078" s="973" t="s">
        <v>1999</v>
      </c>
      <c r="J2078" s="973" t="s">
        <v>697</v>
      </c>
      <c r="K2078" s="973" t="s">
        <v>995</v>
      </c>
      <c r="L2078" s="973" t="s">
        <v>996</v>
      </c>
      <c r="M2078" s="973" t="s">
        <v>2000</v>
      </c>
      <c r="N2078" s="973" t="s">
        <v>2001</v>
      </c>
      <c r="O2078" s="973" t="s">
        <v>1971</v>
      </c>
      <c r="P2078" s="973" t="s">
        <v>999</v>
      </c>
      <c r="Q2078" s="973" t="s">
        <v>1000</v>
      </c>
      <c r="R2078" s="973" t="s">
        <v>1001</v>
      </c>
      <c r="S2078" s="973" t="s">
        <v>1002</v>
      </c>
      <c r="AE2078" s="423" t="str">
        <f t="shared" si="32"/>
        <v/>
      </c>
    </row>
    <row r="2079" spans="4:31" x14ac:dyDescent="0.25">
      <c r="D2079" s="973" t="s">
        <v>990</v>
      </c>
      <c r="E2079" s="973" t="s">
        <v>991</v>
      </c>
      <c r="F2079" s="973" t="s">
        <v>992</v>
      </c>
      <c r="G2079" s="973" t="s">
        <v>1997</v>
      </c>
      <c r="H2079" s="973" t="s">
        <v>1998</v>
      </c>
      <c r="I2079" s="973" t="s">
        <v>1999</v>
      </c>
      <c r="J2079" s="973" t="s">
        <v>697</v>
      </c>
      <c r="K2079" s="973" t="s">
        <v>995</v>
      </c>
      <c r="L2079" s="973" t="s">
        <v>996</v>
      </c>
      <c r="M2079" s="973" t="s">
        <v>2000</v>
      </c>
      <c r="N2079" s="973" t="s">
        <v>2001</v>
      </c>
      <c r="O2079" s="973" t="s">
        <v>1971</v>
      </c>
      <c r="P2079" s="973" t="s">
        <v>999</v>
      </c>
      <c r="Q2079" s="973" t="s">
        <v>1000</v>
      </c>
      <c r="R2079" s="973" t="s">
        <v>1001</v>
      </c>
      <c r="S2079" s="973" t="s">
        <v>1002</v>
      </c>
      <c r="AE2079" s="423" t="str">
        <f t="shared" si="32"/>
        <v/>
      </c>
    </row>
    <row r="2080" spans="4:31" x14ac:dyDescent="0.25">
      <c r="D2080" s="973" t="s">
        <v>990</v>
      </c>
      <c r="E2080" s="973" t="s">
        <v>991</v>
      </c>
      <c r="F2080" s="973" t="s">
        <v>992</v>
      </c>
      <c r="G2080" s="973" t="s">
        <v>1997</v>
      </c>
      <c r="H2080" s="973" t="s">
        <v>1998</v>
      </c>
      <c r="I2080" s="973" t="s">
        <v>1999</v>
      </c>
      <c r="J2080" s="973" t="s">
        <v>697</v>
      </c>
      <c r="K2080" s="973" t="s">
        <v>995</v>
      </c>
      <c r="L2080" s="973" t="s">
        <v>996</v>
      </c>
      <c r="M2080" s="973" t="s">
        <v>2000</v>
      </c>
      <c r="N2080" s="973" t="s">
        <v>2001</v>
      </c>
      <c r="O2080" s="973" t="s">
        <v>1971</v>
      </c>
      <c r="P2080" s="973" t="s">
        <v>999</v>
      </c>
      <c r="Q2080" s="973" t="s">
        <v>1000</v>
      </c>
      <c r="R2080" s="973" t="s">
        <v>1001</v>
      </c>
      <c r="S2080" s="973" t="s">
        <v>1002</v>
      </c>
      <c r="AE2080" s="423" t="str">
        <f t="shared" si="32"/>
        <v/>
      </c>
    </row>
    <row r="2081" spans="4:31" x14ac:dyDescent="0.25">
      <c r="D2081" s="973" t="s">
        <v>990</v>
      </c>
      <c r="E2081" s="973" t="s">
        <v>991</v>
      </c>
      <c r="F2081" s="973" t="s">
        <v>992</v>
      </c>
      <c r="G2081" s="973" t="s">
        <v>1997</v>
      </c>
      <c r="H2081" s="973" t="s">
        <v>1998</v>
      </c>
      <c r="I2081" s="973" t="s">
        <v>1999</v>
      </c>
      <c r="J2081" s="973" t="s">
        <v>697</v>
      </c>
      <c r="K2081" s="973" t="s">
        <v>995</v>
      </c>
      <c r="L2081" s="973" t="s">
        <v>996</v>
      </c>
      <c r="M2081" s="973" t="s">
        <v>2000</v>
      </c>
      <c r="N2081" s="973" t="s">
        <v>2001</v>
      </c>
      <c r="O2081" s="973" t="s">
        <v>1971</v>
      </c>
      <c r="P2081" s="973" t="s">
        <v>999</v>
      </c>
      <c r="Q2081" s="973" t="s">
        <v>1000</v>
      </c>
      <c r="R2081" s="973" t="s">
        <v>1001</v>
      </c>
      <c r="S2081" s="973" t="s">
        <v>1002</v>
      </c>
      <c r="AE2081" s="423" t="str">
        <f t="shared" si="32"/>
        <v/>
      </c>
    </row>
    <row r="2082" spans="4:31" x14ac:dyDescent="0.25">
      <c r="D2082" s="973" t="s">
        <v>990</v>
      </c>
      <c r="E2082" s="973" t="s">
        <v>991</v>
      </c>
      <c r="F2082" s="973" t="s">
        <v>992</v>
      </c>
      <c r="G2082" s="973" t="s">
        <v>1997</v>
      </c>
      <c r="H2082" s="973" t="s">
        <v>1998</v>
      </c>
      <c r="I2082" s="973" t="s">
        <v>1999</v>
      </c>
      <c r="J2082" s="973" t="s">
        <v>697</v>
      </c>
      <c r="K2082" s="973" t="s">
        <v>995</v>
      </c>
      <c r="L2082" s="973" t="s">
        <v>996</v>
      </c>
      <c r="M2082" s="973" t="s">
        <v>2000</v>
      </c>
      <c r="N2082" s="973" t="s">
        <v>2001</v>
      </c>
      <c r="O2082" s="973" t="s">
        <v>1971</v>
      </c>
      <c r="P2082" s="973" t="s">
        <v>999</v>
      </c>
      <c r="Q2082" s="973" t="s">
        <v>1000</v>
      </c>
      <c r="R2082" s="973" t="s">
        <v>1001</v>
      </c>
      <c r="S2082" s="973" t="s">
        <v>1002</v>
      </c>
      <c r="AE2082" s="423" t="str">
        <f t="shared" si="32"/>
        <v/>
      </c>
    </row>
    <row r="2083" spans="4:31" x14ac:dyDescent="0.25">
      <c r="D2083" s="973" t="s">
        <v>990</v>
      </c>
      <c r="E2083" s="973" t="s">
        <v>991</v>
      </c>
      <c r="F2083" s="973" t="s">
        <v>992</v>
      </c>
      <c r="G2083" s="973" t="s">
        <v>1997</v>
      </c>
      <c r="H2083" s="973" t="s">
        <v>1998</v>
      </c>
      <c r="I2083" s="973" t="s">
        <v>1999</v>
      </c>
      <c r="J2083" s="973" t="s">
        <v>697</v>
      </c>
      <c r="K2083" s="973" t="s">
        <v>995</v>
      </c>
      <c r="L2083" s="973" t="s">
        <v>996</v>
      </c>
      <c r="M2083" s="973" t="s">
        <v>2000</v>
      </c>
      <c r="N2083" s="973" t="s">
        <v>2001</v>
      </c>
      <c r="O2083" s="973" t="s">
        <v>1971</v>
      </c>
      <c r="P2083" s="973" t="s">
        <v>999</v>
      </c>
      <c r="Q2083" s="973" t="s">
        <v>1000</v>
      </c>
      <c r="R2083" s="973" t="s">
        <v>1001</v>
      </c>
      <c r="S2083" s="973" t="s">
        <v>1002</v>
      </c>
      <c r="AE2083" s="423" t="str">
        <f t="shared" si="32"/>
        <v/>
      </c>
    </row>
    <row r="2084" spans="4:31" x14ac:dyDescent="0.25">
      <c r="D2084" s="973" t="s">
        <v>990</v>
      </c>
      <c r="E2084" s="973" t="s">
        <v>991</v>
      </c>
      <c r="F2084" s="973" t="s">
        <v>992</v>
      </c>
      <c r="G2084" s="973" t="s">
        <v>1997</v>
      </c>
      <c r="H2084" s="973" t="s">
        <v>1998</v>
      </c>
      <c r="I2084" s="973" t="s">
        <v>1999</v>
      </c>
      <c r="J2084" s="973" t="s">
        <v>697</v>
      </c>
      <c r="K2084" s="973" t="s">
        <v>995</v>
      </c>
      <c r="L2084" s="973" t="s">
        <v>996</v>
      </c>
      <c r="M2084" s="973" t="s">
        <v>2000</v>
      </c>
      <c r="N2084" s="973" t="s">
        <v>2001</v>
      </c>
      <c r="O2084" s="973" t="s">
        <v>1971</v>
      </c>
      <c r="P2084" s="973" t="s">
        <v>999</v>
      </c>
      <c r="Q2084" s="973" t="s">
        <v>1000</v>
      </c>
      <c r="R2084" s="973" t="s">
        <v>1001</v>
      </c>
      <c r="S2084" s="973" t="s">
        <v>1002</v>
      </c>
      <c r="AE2084" s="423" t="str">
        <f t="shared" si="32"/>
        <v/>
      </c>
    </row>
    <row r="2085" spans="4:31" x14ac:dyDescent="0.25">
      <c r="D2085" s="973" t="s">
        <v>990</v>
      </c>
      <c r="E2085" s="973" t="s">
        <v>991</v>
      </c>
      <c r="F2085" s="973" t="s">
        <v>992</v>
      </c>
      <c r="G2085" s="973" t="s">
        <v>1997</v>
      </c>
      <c r="H2085" s="973" t="s">
        <v>1998</v>
      </c>
      <c r="I2085" s="973" t="s">
        <v>1999</v>
      </c>
      <c r="J2085" s="973" t="s">
        <v>697</v>
      </c>
      <c r="K2085" s="973" t="s">
        <v>995</v>
      </c>
      <c r="L2085" s="973" t="s">
        <v>996</v>
      </c>
      <c r="M2085" s="973" t="s">
        <v>2000</v>
      </c>
      <c r="N2085" s="973" t="s">
        <v>2001</v>
      </c>
      <c r="O2085" s="973" t="s">
        <v>1971</v>
      </c>
      <c r="P2085" s="973" t="s">
        <v>999</v>
      </c>
      <c r="Q2085" s="973" t="s">
        <v>1000</v>
      </c>
      <c r="R2085" s="973" t="s">
        <v>1001</v>
      </c>
      <c r="S2085" s="973" t="s">
        <v>1002</v>
      </c>
      <c r="AE2085" s="423" t="str">
        <f t="shared" si="32"/>
        <v/>
      </c>
    </row>
    <row r="2086" spans="4:31" x14ac:dyDescent="0.25">
      <c r="D2086" s="973" t="s">
        <v>990</v>
      </c>
      <c r="E2086" s="973" t="s">
        <v>991</v>
      </c>
      <c r="F2086" s="973" t="s">
        <v>992</v>
      </c>
      <c r="G2086" s="973" t="s">
        <v>1997</v>
      </c>
      <c r="H2086" s="973" t="s">
        <v>1998</v>
      </c>
      <c r="I2086" s="973" t="s">
        <v>1999</v>
      </c>
      <c r="J2086" s="973" t="s">
        <v>697</v>
      </c>
      <c r="K2086" s="973" t="s">
        <v>995</v>
      </c>
      <c r="L2086" s="973" t="s">
        <v>996</v>
      </c>
      <c r="M2086" s="973" t="s">
        <v>2000</v>
      </c>
      <c r="N2086" s="973" t="s">
        <v>2001</v>
      </c>
      <c r="O2086" s="973" t="s">
        <v>1971</v>
      </c>
      <c r="P2086" s="973" t="s">
        <v>999</v>
      </c>
      <c r="Q2086" s="973" t="s">
        <v>1000</v>
      </c>
      <c r="R2086" s="973" t="s">
        <v>1001</v>
      </c>
      <c r="S2086" s="973" t="s">
        <v>1002</v>
      </c>
      <c r="AE2086" s="423" t="str">
        <f t="shared" si="32"/>
        <v/>
      </c>
    </row>
    <row r="2087" spans="4:31" x14ac:dyDescent="0.25">
      <c r="D2087" s="973" t="s">
        <v>990</v>
      </c>
      <c r="E2087" s="973" t="s">
        <v>991</v>
      </c>
      <c r="F2087" s="973" t="s">
        <v>992</v>
      </c>
      <c r="G2087" s="973" t="s">
        <v>1997</v>
      </c>
      <c r="H2087" s="973" t="s">
        <v>1998</v>
      </c>
      <c r="I2087" s="973" t="s">
        <v>1999</v>
      </c>
      <c r="J2087" s="973" t="s">
        <v>697</v>
      </c>
      <c r="K2087" s="973" t="s">
        <v>995</v>
      </c>
      <c r="L2087" s="973" t="s">
        <v>996</v>
      </c>
      <c r="M2087" s="973" t="s">
        <v>2000</v>
      </c>
      <c r="N2087" s="973" t="s">
        <v>2001</v>
      </c>
      <c r="O2087" s="973" t="s">
        <v>1971</v>
      </c>
      <c r="P2087" s="973" t="s">
        <v>999</v>
      </c>
      <c r="Q2087" s="973" t="s">
        <v>1000</v>
      </c>
      <c r="R2087" s="973" t="s">
        <v>1001</v>
      </c>
      <c r="S2087" s="973" t="s">
        <v>1002</v>
      </c>
      <c r="AE2087" s="423" t="str">
        <f t="shared" si="32"/>
        <v/>
      </c>
    </row>
    <row r="2088" spans="4:31" x14ac:dyDescent="0.25">
      <c r="D2088" s="973" t="s">
        <v>990</v>
      </c>
      <c r="E2088" s="973" t="s">
        <v>991</v>
      </c>
      <c r="F2088" s="973" t="s">
        <v>992</v>
      </c>
      <c r="G2088" s="973" t="s">
        <v>1997</v>
      </c>
      <c r="H2088" s="973" t="s">
        <v>1998</v>
      </c>
      <c r="I2088" s="973" t="s">
        <v>1999</v>
      </c>
      <c r="J2088" s="973" t="s">
        <v>697</v>
      </c>
      <c r="K2088" s="973" t="s">
        <v>995</v>
      </c>
      <c r="L2088" s="973" t="s">
        <v>996</v>
      </c>
      <c r="M2088" s="973" t="s">
        <v>2000</v>
      </c>
      <c r="N2088" s="973" t="s">
        <v>2001</v>
      </c>
      <c r="O2088" s="973" t="s">
        <v>1971</v>
      </c>
      <c r="P2088" s="973" t="s">
        <v>999</v>
      </c>
      <c r="Q2088" s="973" t="s">
        <v>1000</v>
      </c>
      <c r="R2088" s="973" t="s">
        <v>1001</v>
      </c>
      <c r="S2088" s="973" t="s">
        <v>1002</v>
      </c>
      <c r="AE2088" s="423" t="str">
        <f t="shared" si="32"/>
        <v/>
      </c>
    </row>
    <row r="2089" spans="4:31" x14ac:dyDescent="0.25">
      <c r="D2089" s="973" t="s">
        <v>990</v>
      </c>
      <c r="E2089" s="973" t="s">
        <v>991</v>
      </c>
      <c r="F2089" s="973" t="s">
        <v>992</v>
      </c>
      <c r="G2089" s="973" t="s">
        <v>1997</v>
      </c>
      <c r="H2089" s="973" t="s">
        <v>1998</v>
      </c>
      <c r="I2089" s="973" t="s">
        <v>1999</v>
      </c>
      <c r="J2089" s="973" t="s">
        <v>697</v>
      </c>
      <c r="K2089" s="973" t="s">
        <v>995</v>
      </c>
      <c r="L2089" s="973" t="s">
        <v>996</v>
      </c>
      <c r="M2089" s="973" t="s">
        <v>2000</v>
      </c>
      <c r="N2089" s="973" t="s">
        <v>2001</v>
      </c>
      <c r="O2089" s="973" t="s">
        <v>1971</v>
      </c>
      <c r="P2089" s="973" t="s">
        <v>999</v>
      </c>
      <c r="Q2089" s="973" t="s">
        <v>1000</v>
      </c>
      <c r="R2089" s="973" t="s">
        <v>1001</v>
      </c>
      <c r="S2089" s="973" t="s">
        <v>1002</v>
      </c>
      <c r="AE2089" s="423" t="str">
        <f t="shared" si="32"/>
        <v/>
      </c>
    </row>
    <row r="2090" spans="4:31" x14ac:dyDescent="0.25">
      <c r="D2090" s="973" t="s">
        <v>990</v>
      </c>
      <c r="E2090" s="973" t="s">
        <v>991</v>
      </c>
      <c r="F2090" s="973" t="s">
        <v>992</v>
      </c>
      <c r="G2090" s="973" t="s">
        <v>1997</v>
      </c>
      <c r="H2090" s="973" t="s">
        <v>1998</v>
      </c>
      <c r="I2090" s="973" t="s">
        <v>1999</v>
      </c>
      <c r="J2090" s="973" t="s">
        <v>697</v>
      </c>
      <c r="K2090" s="973" t="s">
        <v>995</v>
      </c>
      <c r="L2090" s="973" t="s">
        <v>996</v>
      </c>
      <c r="M2090" s="973" t="s">
        <v>2000</v>
      </c>
      <c r="N2090" s="973" t="s">
        <v>2001</v>
      </c>
      <c r="O2090" s="973" t="s">
        <v>1971</v>
      </c>
      <c r="P2090" s="973" t="s">
        <v>999</v>
      </c>
      <c r="Q2090" s="973" t="s">
        <v>1000</v>
      </c>
      <c r="R2090" s="973" t="s">
        <v>1001</v>
      </c>
      <c r="S2090" s="973" t="s">
        <v>1002</v>
      </c>
      <c r="AE2090" s="423" t="str">
        <f t="shared" si="32"/>
        <v/>
      </c>
    </row>
    <row r="2091" spans="4:31" x14ac:dyDescent="0.25">
      <c r="D2091" s="973" t="s">
        <v>990</v>
      </c>
      <c r="E2091" s="973" t="s">
        <v>991</v>
      </c>
      <c r="F2091" s="973" t="s">
        <v>992</v>
      </c>
      <c r="G2091" s="973" t="s">
        <v>1997</v>
      </c>
      <c r="H2091" s="973" t="s">
        <v>1998</v>
      </c>
      <c r="I2091" s="973" t="s">
        <v>1999</v>
      </c>
      <c r="J2091" s="973" t="s">
        <v>697</v>
      </c>
      <c r="K2091" s="973" t="s">
        <v>995</v>
      </c>
      <c r="L2091" s="973" t="s">
        <v>996</v>
      </c>
      <c r="M2091" s="973" t="s">
        <v>2000</v>
      </c>
      <c r="N2091" s="973" t="s">
        <v>2001</v>
      </c>
      <c r="O2091" s="973" t="s">
        <v>1971</v>
      </c>
      <c r="P2091" s="973" t="s">
        <v>999</v>
      </c>
      <c r="Q2091" s="973" t="s">
        <v>1000</v>
      </c>
      <c r="R2091" s="973" t="s">
        <v>1001</v>
      </c>
      <c r="S2091" s="973" t="s">
        <v>1002</v>
      </c>
      <c r="AE2091" s="423" t="str">
        <f t="shared" si="32"/>
        <v/>
      </c>
    </row>
    <row r="2092" spans="4:31" x14ac:dyDescent="0.25">
      <c r="D2092" s="973" t="s">
        <v>990</v>
      </c>
      <c r="E2092" s="973" t="s">
        <v>991</v>
      </c>
      <c r="F2092" s="973" t="s">
        <v>992</v>
      </c>
      <c r="G2092" s="973" t="s">
        <v>1997</v>
      </c>
      <c r="H2092" s="973" t="s">
        <v>1998</v>
      </c>
      <c r="I2092" s="973" t="s">
        <v>1999</v>
      </c>
      <c r="J2092" s="973" t="s">
        <v>697</v>
      </c>
      <c r="K2092" s="973" t="s">
        <v>995</v>
      </c>
      <c r="L2092" s="973" t="s">
        <v>996</v>
      </c>
      <c r="M2092" s="973" t="s">
        <v>2000</v>
      </c>
      <c r="N2092" s="973" t="s">
        <v>2001</v>
      </c>
      <c r="O2092" s="973" t="s">
        <v>1971</v>
      </c>
      <c r="P2092" s="973" t="s">
        <v>999</v>
      </c>
      <c r="Q2092" s="973" t="s">
        <v>1000</v>
      </c>
      <c r="R2092" s="973" t="s">
        <v>1001</v>
      </c>
      <c r="S2092" s="973" t="s">
        <v>1002</v>
      </c>
      <c r="AE2092" s="423" t="str">
        <f t="shared" si="32"/>
        <v/>
      </c>
    </row>
    <row r="2093" spans="4:31" x14ac:dyDescent="0.25">
      <c r="D2093" s="973" t="s">
        <v>990</v>
      </c>
      <c r="E2093" s="973" t="s">
        <v>991</v>
      </c>
      <c r="F2093" s="973" t="s">
        <v>992</v>
      </c>
      <c r="G2093" s="973" t="s">
        <v>1997</v>
      </c>
      <c r="H2093" s="973" t="s">
        <v>1998</v>
      </c>
      <c r="I2093" s="973" t="s">
        <v>1999</v>
      </c>
      <c r="J2093" s="973" t="s">
        <v>697</v>
      </c>
      <c r="K2093" s="973" t="s">
        <v>995</v>
      </c>
      <c r="L2093" s="973" t="s">
        <v>996</v>
      </c>
      <c r="M2093" s="973" t="s">
        <v>2000</v>
      </c>
      <c r="N2093" s="973" t="s">
        <v>2001</v>
      </c>
      <c r="O2093" s="973" t="s">
        <v>1971</v>
      </c>
      <c r="P2093" s="973" t="s">
        <v>999</v>
      </c>
      <c r="Q2093" s="973" t="s">
        <v>1000</v>
      </c>
      <c r="R2093" s="973" t="s">
        <v>1001</v>
      </c>
      <c r="S2093" s="973" t="s">
        <v>1002</v>
      </c>
      <c r="AE2093" s="423" t="str">
        <f t="shared" si="32"/>
        <v/>
      </c>
    </row>
    <row r="2094" spans="4:31" x14ac:dyDescent="0.25">
      <c r="D2094" s="973" t="s">
        <v>990</v>
      </c>
      <c r="E2094" s="973" t="s">
        <v>991</v>
      </c>
      <c r="F2094" s="973" t="s">
        <v>992</v>
      </c>
      <c r="G2094" s="973" t="s">
        <v>1997</v>
      </c>
      <c r="H2094" s="973" t="s">
        <v>1998</v>
      </c>
      <c r="I2094" s="973" t="s">
        <v>1999</v>
      </c>
      <c r="J2094" s="973" t="s">
        <v>697</v>
      </c>
      <c r="K2094" s="973" t="s">
        <v>995</v>
      </c>
      <c r="L2094" s="973" t="s">
        <v>996</v>
      </c>
      <c r="M2094" s="973" t="s">
        <v>2000</v>
      </c>
      <c r="N2094" s="973" t="s">
        <v>2001</v>
      </c>
      <c r="O2094" s="973" t="s">
        <v>1971</v>
      </c>
      <c r="P2094" s="973" t="s">
        <v>999</v>
      </c>
      <c r="Q2094" s="973" t="s">
        <v>1000</v>
      </c>
      <c r="R2094" s="973" t="s">
        <v>1001</v>
      </c>
      <c r="S2094" s="973" t="s">
        <v>1002</v>
      </c>
      <c r="AE2094" s="423" t="str">
        <f t="shared" si="32"/>
        <v/>
      </c>
    </row>
    <row r="2095" spans="4:31" x14ac:dyDescent="0.25">
      <c r="D2095" s="973" t="s">
        <v>990</v>
      </c>
      <c r="E2095" s="973" t="s">
        <v>991</v>
      </c>
      <c r="F2095" s="973" t="s">
        <v>992</v>
      </c>
      <c r="G2095" s="973" t="s">
        <v>1997</v>
      </c>
      <c r="H2095" s="973" t="s">
        <v>1998</v>
      </c>
      <c r="I2095" s="973" t="s">
        <v>1999</v>
      </c>
      <c r="J2095" s="973" t="s">
        <v>697</v>
      </c>
      <c r="K2095" s="973" t="s">
        <v>995</v>
      </c>
      <c r="L2095" s="973" t="s">
        <v>996</v>
      </c>
      <c r="M2095" s="973" t="s">
        <v>2000</v>
      </c>
      <c r="N2095" s="973" t="s">
        <v>2001</v>
      </c>
      <c r="O2095" s="973" t="s">
        <v>1971</v>
      </c>
      <c r="P2095" s="973" t="s">
        <v>999</v>
      </c>
      <c r="Q2095" s="973" t="s">
        <v>1000</v>
      </c>
      <c r="R2095" s="973" t="s">
        <v>1001</v>
      </c>
      <c r="S2095" s="973" t="s">
        <v>1002</v>
      </c>
      <c r="AE2095" s="423" t="str">
        <f t="shared" si="32"/>
        <v/>
      </c>
    </row>
    <row r="2096" spans="4:31" x14ac:dyDescent="0.25">
      <c r="D2096" s="973" t="s">
        <v>990</v>
      </c>
      <c r="E2096" s="973" t="s">
        <v>991</v>
      </c>
      <c r="F2096" s="973" t="s">
        <v>992</v>
      </c>
      <c r="G2096" s="973" t="s">
        <v>1997</v>
      </c>
      <c r="H2096" s="973" t="s">
        <v>1998</v>
      </c>
      <c r="I2096" s="973" t="s">
        <v>1999</v>
      </c>
      <c r="J2096" s="973" t="s">
        <v>697</v>
      </c>
      <c r="K2096" s="973" t="s">
        <v>995</v>
      </c>
      <c r="L2096" s="973" t="s">
        <v>996</v>
      </c>
      <c r="M2096" s="973" t="s">
        <v>2000</v>
      </c>
      <c r="N2096" s="973" t="s">
        <v>2001</v>
      </c>
      <c r="O2096" s="973" t="s">
        <v>1971</v>
      </c>
      <c r="P2096" s="973" t="s">
        <v>999</v>
      </c>
      <c r="Q2096" s="973" t="s">
        <v>1000</v>
      </c>
      <c r="R2096" s="973" t="s">
        <v>1001</v>
      </c>
      <c r="S2096" s="973" t="s">
        <v>1002</v>
      </c>
      <c r="AE2096" s="423" t="str">
        <f t="shared" si="32"/>
        <v/>
      </c>
    </row>
    <row r="2097" spans="4:31" x14ac:dyDescent="0.25">
      <c r="D2097" s="973" t="s">
        <v>990</v>
      </c>
      <c r="E2097" s="973" t="s">
        <v>991</v>
      </c>
      <c r="F2097" s="973" t="s">
        <v>992</v>
      </c>
      <c r="G2097" s="973" t="s">
        <v>1997</v>
      </c>
      <c r="H2097" s="973" t="s">
        <v>1998</v>
      </c>
      <c r="I2097" s="973" t="s">
        <v>1999</v>
      </c>
      <c r="J2097" s="973" t="s">
        <v>697</v>
      </c>
      <c r="K2097" s="973" t="s">
        <v>995</v>
      </c>
      <c r="L2097" s="973" t="s">
        <v>996</v>
      </c>
      <c r="M2097" s="973" t="s">
        <v>2000</v>
      </c>
      <c r="N2097" s="973" t="s">
        <v>2001</v>
      </c>
      <c r="O2097" s="973" t="s">
        <v>1971</v>
      </c>
      <c r="P2097" s="973" t="s">
        <v>999</v>
      </c>
      <c r="Q2097" s="973" t="s">
        <v>1000</v>
      </c>
      <c r="R2097" s="973" t="s">
        <v>1001</v>
      </c>
      <c r="S2097" s="973" t="s">
        <v>1002</v>
      </c>
      <c r="AE2097" s="423" t="str">
        <f t="shared" si="32"/>
        <v/>
      </c>
    </row>
    <row r="2098" spans="4:31" x14ac:dyDescent="0.25">
      <c r="D2098" s="973" t="s">
        <v>990</v>
      </c>
      <c r="E2098" s="973" t="s">
        <v>991</v>
      </c>
      <c r="F2098" s="973" t="s">
        <v>992</v>
      </c>
      <c r="G2098" s="973" t="s">
        <v>1997</v>
      </c>
      <c r="H2098" s="973" t="s">
        <v>1998</v>
      </c>
      <c r="I2098" s="973" t="s">
        <v>1999</v>
      </c>
      <c r="J2098" s="973" t="s">
        <v>697</v>
      </c>
      <c r="K2098" s="973" t="s">
        <v>995</v>
      </c>
      <c r="L2098" s="973" t="s">
        <v>996</v>
      </c>
      <c r="M2098" s="973" t="s">
        <v>2000</v>
      </c>
      <c r="N2098" s="973" t="s">
        <v>2001</v>
      </c>
      <c r="O2098" s="973" t="s">
        <v>1971</v>
      </c>
      <c r="P2098" s="973" t="s">
        <v>999</v>
      </c>
      <c r="Q2098" s="973" t="s">
        <v>1000</v>
      </c>
      <c r="R2098" s="973" t="s">
        <v>1001</v>
      </c>
      <c r="S2098" s="973" t="s">
        <v>1002</v>
      </c>
      <c r="AE2098" s="423" t="str">
        <f t="shared" si="32"/>
        <v/>
      </c>
    </row>
    <row r="2099" spans="4:31" x14ac:dyDescent="0.25">
      <c r="D2099" s="973" t="s">
        <v>990</v>
      </c>
      <c r="E2099" s="973" t="s">
        <v>991</v>
      </c>
      <c r="F2099" s="973" t="s">
        <v>992</v>
      </c>
      <c r="G2099" s="973" t="s">
        <v>1997</v>
      </c>
      <c r="H2099" s="973" t="s">
        <v>1998</v>
      </c>
      <c r="I2099" s="973" t="s">
        <v>1999</v>
      </c>
      <c r="J2099" s="973" t="s">
        <v>697</v>
      </c>
      <c r="K2099" s="973" t="s">
        <v>995</v>
      </c>
      <c r="L2099" s="973" t="s">
        <v>996</v>
      </c>
      <c r="M2099" s="973" t="s">
        <v>2000</v>
      </c>
      <c r="N2099" s="973" t="s">
        <v>2001</v>
      </c>
      <c r="O2099" s="973" t="s">
        <v>1971</v>
      </c>
      <c r="P2099" s="973" t="s">
        <v>999</v>
      </c>
      <c r="Q2099" s="973" t="s">
        <v>1000</v>
      </c>
      <c r="R2099" s="973" t="s">
        <v>1001</v>
      </c>
      <c r="S2099" s="973" t="s">
        <v>1002</v>
      </c>
      <c r="AE2099" s="423" t="str">
        <f t="shared" si="32"/>
        <v/>
      </c>
    </row>
    <row r="2100" spans="4:31" x14ac:dyDescent="0.25">
      <c r="D2100" s="973" t="s">
        <v>990</v>
      </c>
      <c r="E2100" s="973" t="s">
        <v>991</v>
      </c>
      <c r="F2100" s="973" t="s">
        <v>992</v>
      </c>
      <c r="G2100" s="973" t="s">
        <v>1997</v>
      </c>
      <c r="H2100" s="973" t="s">
        <v>1998</v>
      </c>
      <c r="I2100" s="973" t="s">
        <v>1999</v>
      </c>
      <c r="J2100" s="973" t="s">
        <v>697</v>
      </c>
      <c r="K2100" s="973" t="s">
        <v>995</v>
      </c>
      <c r="L2100" s="973" t="s">
        <v>996</v>
      </c>
      <c r="M2100" s="973" t="s">
        <v>2000</v>
      </c>
      <c r="N2100" s="973" t="s">
        <v>2001</v>
      </c>
      <c r="O2100" s="973" t="s">
        <v>1971</v>
      </c>
      <c r="P2100" s="973" t="s">
        <v>999</v>
      </c>
      <c r="Q2100" s="973" t="s">
        <v>1000</v>
      </c>
      <c r="R2100" s="973" t="s">
        <v>1001</v>
      </c>
      <c r="S2100" s="973" t="s">
        <v>1002</v>
      </c>
      <c r="AE2100" s="423" t="str">
        <f t="shared" si="32"/>
        <v/>
      </c>
    </row>
    <row r="2101" spans="4:31" x14ac:dyDescent="0.25">
      <c r="D2101" s="973" t="s">
        <v>990</v>
      </c>
      <c r="E2101" s="973" t="s">
        <v>991</v>
      </c>
      <c r="F2101" s="973" t="s">
        <v>992</v>
      </c>
      <c r="G2101" s="973" t="s">
        <v>1997</v>
      </c>
      <c r="H2101" s="973" t="s">
        <v>1998</v>
      </c>
      <c r="I2101" s="973" t="s">
        <v>1999</v>
      </c>
      <c r="J2101" s="973" t="s">
        <v>697</v>
      </c>
      <c r="K2101" s="973" t="s">
        <v>995</v>
      </c>
      <c r="L2101" s="973" t="s">
        <v>996</v>
      </c>
      <c r="M2101" s="973" t="s">
        <v>2000</v>
      </c>
      <c r="N2101" s="973" t="s">
        <v>2001</v>
      </c>
      <c r="O2101" s="973" t="s">
        <v>1971</v>
      </c>
      <c r="P2101" s="973" t="s">
        <v>999</v>
      </c>
      <c r="Q2101" s="973" t="s">
        <v>1000</v>
      </c>
      <c r="R2101" s="973" t="s">
        <v>1001</v>
      </c>
      <c r="S2101" s="973" t="s">
        <v>1002</v>
      </c>
      <c r="AE2101" s="423" t="str">
        <f t="shared" si="32"/>
        <v/>
      </c>
    </row>
    <row r="2102" spans="4:31" x14ac:dyDescent="0.25">
      <c r="D2102" s="973" t="s">
        <v>990</v>
      </c>
      <c r="E2102" s="973" t="s">
        <v>991</v>
      </c>
      <c r="F2102" s="973" t="s">
        <v>992</v>
      </c>
      <c r="G2102" s="973" t="s">
        <v>1997</v>
      </c>
      <c r="H2102" s="973" t="s">
        <v>1998</v>
      </c>
      <c r="I2102" s="973" t="s">
        <v>1999</v>
      </c>
      <c r="J2102" s="973" t="s">
        <v>697</v>
      </c>
      <c r="K2102" s="973" t="s">
        <v>995</v>
      </c>
      <c r="L2102" s="973" t="s">
        <v>996</v>
      </c>
      <c r="M2102" s="973" t="s">
        <v>2000</v>
      </c>
      <c r="N2102" s="973" t="s">
        <v>2001</v>
      </c>
      <c r="O2102" s="973" t="s">
        <v>1971</v>
      </c>
      <c r="P2102" s="973" t="s">
        <v>999</v>
      </c>
      <c r="Q2102" s="973" t="s">
        <v>1000</v>
      </c>
      <c r="R2102" s="973" t="s">
        <v>1001</v>
      </c>
      <c r="S2102" s="973" t="s">
        <v>1002</v>
      </c>
      <c r="AE2102" s="423" t="str">
        <f t="shared" si="32"/>
        <v/>
      </c>
    </row>
    <row r="2103" spans="4:31" x14ac:dyDescent="0.25">
      <c r="D2103" s="973" t="s">
        <v>990</v>
      </c>
      <c r="E2103" s="973" t="s">
        <v>991</v>
      </c>
      <c r="F2103" s="973" t="s">
        <v>992</v>
      </c>
      <c r="G2103" s="973" t="s">
        <v>1997</v>
      </c>
      <c r="H2103" s="973" t="s">
        <v>1998</v>
      </c>
      <c r="I2103" s="973" t="s">
        <v>1999</v>
      </c>
      <c r="J2103" s="973" t="s">
        <v>697</v>
      </c>
      <c r="K2103" s="973" t="s">
        <v>995</v>
      </c>
      <c r="L2103" s="973" t="s">
        <v>996</v>
      </c>
      <c r="M2103" s="973" t="s">
        <v>2000</v>
      </c>
      <c r="N2103" s="973" t="s">
        <v>2001</v>
      </c>
      <c r="O2103" s="973" t="s">
        <v>1971</v>
      </c>
      <c r="P2103" s="973" t="s">
        <v>999</v>
      </c>
      <c r="Q2103" s="973" t="s">
        <v>1000</v>
      </c>
      <c r="R2103" s="973" t="s">
        <v>1001</v>
      </c>
      <c r="S2103" s="973" t="s">
        <v>1002</v>
      </c>
      <c r="AE2103" s="423" t="str">
        <f t="shared" si="32"/>
        <v/>
      </c>
    </row>
    <row r="2104" spans="4:31" x14ac:dyDescent="0.25">
      <c r="D2104" s="973" t="s">
        <v>990</v>
      </c>
      <c r="E2104" s="973" t="s">
        <v>991</v>
      </c>
      <c r="F2104" s="973" t="s">
        <v>992</v>
      </c>
      <c r="G2104" s="973" t="s">
        <v>1997</v>
      </c>
      <c r="H2104" s="973" t="s">
        <v>1998</v>
      </c>
      <c r="I2104" s="973" t="s">
        <v>1999</v>
      </c>
      <c r="J2104" s="973" t="s">
        <v>697</v>
      </c>
      <c r="K2104" s="973" t="s">
        <v>995</v>
      </c>
      <c r="L2104" s="973" t="s">
        <v>996</v>
      </c>
      <c r="M2104" s="973" t="s">
        <v>2000</v>
      </c>
      <c r="N2104" s="973" t="s">
        <v>2001</v>
      </c>
      <c r="O2104" s="973" t="s">
        <v>1971</v>
      </c>
      <c r="P2104" s="973" t="s">
        <v>999</v>
      </c>
      <c r="Q2104" s="973" t="s">
        <v>1000</v>
      </c>
      <c r="R2104" s="973" t="s">
        <v>1001</v>
      </c>
      <c r="S2104" s="973" t="s">
        <v>1002</v>
      </c>
      <c r="AE2104" s="423" t="str">
        <f t="shared" si="32"/>
        <v/>
      </c>
    </row>
    <row r="2105" spans="4:31" x14ac:dyDescent="0.25">
      <c r="D2105" s="973" t="s">
        <v>990</v>
      </c>
      <c r="E2105" s="973" t="s">
        <v>991</v>
      </c>
      <c r="F2105" s="973" t="s">
        <v>992</v>
      </c>
      <c r="G2105" s="973" t="s">
        <v>1997</v>
      </c>
      <c r="H2105" s="973" t="s">
        <v>1998</v>
      </c>
      <c r="I2105" s="973" t="s">
        <v>1999</v>
      </c>
      <c r="J2105" s="973" t="s">
        <v>697</v>
      </c>
      <c r="K2105" s="973" t="s">
        <v>995</v>
      </c>
      <c r="L2105" s="973" t="s">
        <v>996</v>
      </c>
      <c r="M2105" s="973" t="s">
        <v>2000</v>
      </c>
      <c r="N2105" s="973" t="s">
        <v>2001</v>
      </c>
      <c r="O2105" s="973" t="s">
        <v>1971</v>
      </c>
      <c r="P2105" s="973" t="s">
        <v>999</v>
      </c>
      <c r="Q2105" s="973" t="s">
        <v>1000</v>
      </c>
      <c r="R2105" s="973" t="s">
        <v>1001</v>
      </c>
      <c r="S2105" s="973" t="s">
        <v>1002</v>
      </c>
      <c r="AE2105" s="423" t="str">
        <f t="shared" si="32"/>
        <v/>
      </c>
    </row>
    <row r="2106" spans="4:31" x14ac:dyDescent="0.25">
      <c r="D2106" s="973" t="s">
        <v>990</v>
      </c>
      <c r="E2106" s="973" t="s">
        <v>991</v>
      </c>
      <c r="F2106" s="973" t="s">
        <v>992</v>
      </c>
      <c r="G2106" s="973" t="s">
        <v>1997</v>
      </c>
      <c r="H2106" s="973" t="s">
        <v>1998</v>
      </c>
      <c r="I2106" s="973" t="s">
        <v>1999</v>
      </c>
      <c r="J2106" s="973" t="s">
        <v>697</v>
      </c>
      <c r="K2106" s="973" t="s">
        <v>995</v>
      </c>
      <c r="L2106" s="973" t="s">
        <v>996</v>
      </c>
      <c r="M2106" s="973" t="s">
        <v>2000</v>
      </c>
      <c r="N2106" s="973" t="s">
        <v>2001</v>
      </c>
      <c r="O2106" s="973" t="s">
        <v>1971</v>
      </c>
      <c r="P2106" s="973" t="s">
        <v>999</v>
      </c>
      <c r="Q2106" s="973" t="s">
        <v>1000</v>
      </c>
      <c r="R2106" s="973" t="s">
        <v>1001</v>
      </c>
      <c r="S2106" s="973" t="s">
        <v>1002</v>
      </c>
      <c r="AE2106" s="423" t="str">
        <f t="shared" si="32"/>
        <v/>
      </c>
    </row>
    <row r="2107" spans="4:31" x14ac:dyDescent="0.25">
      <c r="D2107" s="973" t="s">
        <v>990</v>
      </c>
      <c r="E2107" s="973" t="s">
        <v>991</v>
      </c>
      <c r="F2107" s="973" t="s">
        <v>992</v>
      </c>
      <c r="G2107" s="973" t="s">
        <v>1997</v>
      </c>
      <c r="H2107" s="973" t="s">
        <v>1998</v>
      </c>
      <c r="I2107" s="973" t="s">
        <v>1999</v>
      </c>
      <c r="J2107" s="973" t="s">
        <v>697</v>
      </c>
      <c r="K2107" s="973" t="s">
        <v>995</v>
      </c>
      <c r="L2107" s="973" t="s">
        <v>996</v>
      </c>
      <c r="M2107" s="973" t="s">
        <v>2000</v>
      </c>
      <c r="N2107" s="973" t="s">
        <v>2001</v>
      </c>
      <c r="O2107" s="973" t="s">
        <v>1971</v>
      </c>
      <c r="P2107" s="973" t="s">
        <v>999</v>
      </c>
      <c r="Q2107" s="973" t="s">
        <v>1000</v>
      </c>
      <c r="R2107" s="973" t="s">
        <v>1001</v>
      </c>
      <c r="S2107" s="973" t="s">
        <v>1002</v>
      </c>
      <c r="AE2107" s="423" t="str">
        <f t="shared" si="32"/>
        <v/>
      </c>
    </row>
    <row r="2108" spans="4:31" x14ac:dyDescent="0.25">
      <c r="D2108" s="973" t="s">
        <v>990</v>
      </c>
      <c r="E2108" s="973" t="s">
        <v>991</v>
      </c>
      <c r="F2108" s="973" t="s">
        <v>992</v>
      </c>
      <c r="G2108" s="973" t="s">
        <v>1997</v>
      </c>
      <c r="H2108" s="973" t="s">
        <v>1998</v>
      </c>
      <c r="I2108" s="973" t="s">
        <v>1999</v>
      </c>
      <c r="J2108" s="973" t="s">
        <v>697</v>
      </c>
      <c r="K2108" s="973" t="s">
        <v>995</v>
      </c>
      <c r="L2108" s="973" t="s">
        <v>996</v>
      </c>
      <c r="M2108" s="973" t="s">
        <v>2000</v>
      </c>
      <c r="N2108" s="973" t="s">
        <v>2001</v>
      </c>
      <c r="O2108" s="973" t="s">
        <v>1971</v>
      </c>
      <c r="P2108" s="973" t="s">
        <v>999</v>
      </c>
      <c r="Q2108" s="973" t="s">
        <v>1000</v>
      </c>
      <c r="R2108" s="973" t="s">
        <v>1001</v>
      </c>
      <c r="S2108" s="973" t="s">
        <v>1002</v>
      </c>
      <c r="AE2108" s="423" t="str">
        <f t="shared" si="32"/>
        <v/>
      </c>
    </row>
    <row r="2109" spans="4:31" x14ac:dyDescent="0.25">
      <c r="D2109" s="973" t="s">
        <v>990</v>
      </c>
      <c r="E2109" s="973" t="s">
        <v>991</v>
      </c>
      <c r="F2109" s="973" t="s">
        <v>992</v>
      </c>
      <c r="G2109" s="973" t="s">
        <v>1997</v>
      </c>
      <c r="H2109" s="973" t="s">
        <v>1998</v>
      </c>
      <c r="I2109" s="973" t="s">
        <v>1999</v>
      </c>
      <c r="J2109" s="973" t="s">
        <v>697</v>
      </c>
      <c r="K2109" s="973" t="s">
        <v>995</v>
      </c>
      <c r="L2109" s="973" t="s">
        <v>996</v>
      </c>
      <c r="M2109" s="973" t="s">
        <v>2000</v>
      </c>
      <c r="N2109" s="973" t="s">
        <v>2001</v>
      </c>
      <c r="O2109" s="973" t="s">
        <v>1971</v>
      </c>
      <c r="P2109" s="973" t="s">
        <v>999</v>
      </c>
      <c r="Q2109" s="973" t="s">
        <v>1000</v>
      </c>
      <c r="R2109" s="973" t="s">
        <v>1001</v>
      </c>
      <c r="S2109" s="973" t="s">
        <v>1002</v>
      </c>
      <c r="AE2109" s="423" t="str">
        <f t="shared" si="32"/>
        <v/>
      </c>
    </row>
    <row r="2110" spans="4:31" x14ac:dyDescent="0.25">
      <c r="D2110" s="973" t="s">
        <v>990</v>
      </c>
      <c r="E2110" s="973" t="s">
        <v>991</v>
      </c>
      <c r="F2110" s="973" t="s">
        <v>992</v>
      </c>
      <c r="G2110" s="973" t="s">
        <v>1997</v>
      </c>
      <c r="H2110" s="973" t="s">
        <v>1998</v>
      </c>
      <c r="I2110" s="973" t="s">
        <v>1999</v>
      </c>
      <c r="J2110" s="973" t="s">
        <v>697</v>
      </c>
      <c r="K2110" s="973" t="s">
        <v>995</v>
      </c>
      <c r="L2110" s="973" t="s">
        <v>996</v>
      </c>
      <c r="M2110" s="973" t="s">
        <v>2000</v>
      </c>
      <c r="N2110" s="973" t="s">
        <v>2001</v>
      </c>
      <c r="O2110" s="973" t="s">
        <v>1971</v>
      </c>
      <c r="P2110" s="973" t="s">
        <v>999</v>
      </c>
      <c r="Q2110" s="973" t="s">
        <v>1000</v>
      </c>
      <c r="R2110" s="973" t="s">
        <v>1001</v>
      </c>
      <c r="S2110" s="973" t="s">
        <v>1002</v>
      </c>
      <c r="AE2110" s="423" t="str">
        <f t="shared" si="32"/>
        <v/>
      </c>
    </row>
    <row r="2111" spans="4:31" x14ac:dyDescent="0.25">
      <c r="D2111" s="973" t="s">
        <v>990</v>
      </c>
      <c r="E2111" s="973" t="s">
        <v>991</v>
      </c>
      <c r="F2111" s="973" t="s">
        <v>992</v>
      </c>
      <c r="G2111" s="973" t="s">
        <v>1997</v>
      </c>
      <c r="H2111" s="973" t="s">
        <v>1998</v>
      </c>
      <c r="I2111" s="973" t="s">
        <v>1999</v>
      </c>
      <c r="J2111" s="973" t="s">
        <v>697</v>
      </c>
      <c r="K2111" s="973" t="s">
        <v>995</v>
      </c>
      <c r="L2111" s="973" t="s">
        <v>996</v>
      </c>
      <c r="M2111" s="973" t="s">
        <v>2000</v>
      </c>
      <c r="N2111" s="973" t="s">
        <v>2001</v>
      </c>
      <c r="O2111" s="973" t="s">
        <v>1971</v>
      </c>
      <c r="P2111" s="973" t="s">
        <v>999</v>
      </c>
      <c r="Q2111" s="973" t="s">
        <v>1000</v>
      </c>
      <c r="R2111" s="973" t="s">
        <v>1001</v>
      </c>
      <c r="S2111" s="973" t="s">
        <v>1002</v>
      </c>
      <c r="AE2111" s="423" t="str">
        <f t="shared" si="32"/>
        <v/>
      </c>
    </row>
    <row r="2112" spans="4:31" x14ac:dyDescent="0.25">
      <c r="D2112" s="973" t="s">
        <v>990</v>
      </c>
      <c r="E2112" s="973" t="s">
        <v>991</v>
      </c>
      <c r="F2112" s="973" t="s">
        <v>992</v>
      </c>
      <c r="G2112" s="973" t="s">
        <v>1997</v>
      </c>
      <c r="H2112" s="973" t="s">
        <v>1998</v>
      </c>
      <c r="I2112" s="973" t="s">
        <v>1999</v>
      </c>
      <c r="J2112" s="973" t="s">
        <v>697</v>
      </c>
      <c r="K2112" s="973" t="s">
        <v>995</v>
      </c>
      <c r="L2112" s="973" t="s">
        <v>996</v>
      </c>
      <c r="M2112" s="973" t="s">
        <v>2000</v>
      </c>
      <c r="N2112" s="973" t="s">
        <v>2001</v>
      </c>
      <c r="O2112" s="973" t="s">
        <v>1971</v>
      </c>
      <c r="P2112" s="973" t="s">
        <v>999</v>
      </c>
      <c r="Q2112" s="973" t="s">
        <v>1000</v>
      </c>
      <c r="R2112" s="973" t="s">
        <v>1001</v>
      </c>
      <c r="S2112" s="973" t="s">
        <v>1002</v>
      </c>
      <c r="AE2112" s="423" t="str">
        <f t="shared" si="32"/>
        <v/>
      </c>
    </row>
    <row r="2113" spans="4:31" x14ac:dyDescent="0.25">
      <c r="D2113" s="973" t="s">
        <v>990</v>
      </c>
      <c r="E2113" s="973" t="s">
        <v>991</v>
      </c>
      <c r="F2113" s="973" t="s">
        <v>992</v>
      </c>
      <c r="G2113" s="973" t="s">
        <v>1997</v>
      </c>
      <c r="H2113" s="973" t="s">
        <v>1998</v>
      </c>
      <c r="I2113" s="973" t="s">
        <v>1999</v>
      </c>
      <c r="J2113" s="973" t="s">
        <v>697</v>
      </c>
      <c r="K2113" s="973" t="s">
        <v>995</v>
      </c>
      <c r="L2113" s="973" t="s">
        <v>996</v>
      </c>
      <c r="M2113" s="973" t="s">
        <v>2000</v>
      </c>
      <c r="N2113" s="973" t="s">
        <v>2001</v>
      </c>
      <c r="O2113" s="973" t="s">
        <v>1971</v>
      </c>
      <c r="P2113" s="973" t="s">
        <v>999</v>
      </c>
      <c r="Q2113" s="973" t="s">
        <v>1000</v>
      </c>
      <c r="R2113" s="973" t="s">
        <v>1001</v>
      </c>
      <c r="S2113" s="973" t="s">
        <v>1002</v>
      </c>
      <c r="AE2113" s="423" t="str">
        <f t="shared" si="32"/>
        <v/>
      </c>
    </row>
    <row r="2114" spans="4:31" x14ac:dyDescent="0.25">
      <c r="D2114" s="973" t="s">
        <v>990</v>
      </c>
      <c r="E2114" s="973" t="s">
        <v>991</v>
      </c>
      <c r="F2114" s="973" t="s">
        <v>992</v>
      </c>
      <c r="G2114" s="973" t="s">
        <v>1997</v>
      </c>
      <c r="H2114" s="973" t="s">
        <v>1998</v>
      </c>
      <c r="I2114" s="973" t="s">
        <v>1999</v>
      </c>
      <c r="J2114" s="973" t="s">
        <v>697</v>
      </c>
      <c r="K2114" s="973" t="s">
        <v>995</v>
      </c>
      <c r="L2114" s="973" t="s">
        <v>996</v>
      </c>
      <c r="M2114" s="973" t="s">
        <v>2000</v>
      </c>
      <c r="N2114" s="973" t="s">
        <v>2001</v>
      </c>
      <c r="O2114" s="973" t="s">
        <v>1971</v>
      </c>
      <c r="P2114" s="973" t="s">
        <v>999</v>
      </c>
      <c r="Q2114" s="973" t="s">
        <v>1000</v>
      </c>
      <c r="R2114" s="973" t="s">
        <v>1001</v>
      </c>
      <c r="S2114" s="973" t="s">
        <v>1002</v>
      </c>
      <c r="AE2114" s="423" t="str">
        <f t="shared" si="32"/>
        <v/>
      </c>
    </row>
    <row r="2115" spans="4:31" x14ac:dyDescent="0.25">
      <c r="D2115" s="973" t="s">
        <v>990</v>
      </c>
      <c r="E2115" s="973" t="s">
        <v>991</v>
      </c>
      <c r="F2115" s="973" t="s">
        <v>992</v>
      </c>
      <c r="G2115" s="973" t="s">
        <v>1997</v>
      </c>
      <c r="H2115" s="973" t="s">
        <v>1998</v>
      </c>
      <c r="I2115" s="973" t="s">
        <v>1999</v>
      </c>
      <c r="J2115" s="973" t="s">
        <v>697</v>
      </c>
      <c r="K2115" s="973" t="s">
        <v>995</v>
      </c>
      <c r="L2115" s="973" t="s">
        <v>996</v>
      </c>
      <c r="M2115" s="973" t="s">
        <v>2000</v>
      </c>
      <c r="N2115" s="973" t="s">
        <v>2001</v>
      </c>
      <c r="O2115" s="973" t="s">
        <v>1971</v>
      </c>
      <c r="P2115" s="973" t="s">
        <v>999</v>
      </c>
      <c r="Q2115" s="973" t="s">
        <v>1000</v>
      </c>
      <c r="R2115" s="973" t="s">
        <v>1001</v>
      </c>
      <c r="S2115" s="973" t="s">
        <v>1002</v>
      </c>
      <c r="AE2115" s="423" t="str">
        <f t="shared" ref="AE2115:AE2178" si="33">B2115&amp;C2115</f>
        <v/>
      </c>
    </row>
    <row r="2116" spans="4:31" x14ac:dyDescent="0.25">
      <c r="D2116" s="973" t="s">
        <v>990</v>
      </c>
      <c r="E2116" s="973" t="s">
        <v>991</v>
      </c>
      <c r="F2116" s="973" t="s">
        <v>992</v>
      </c>
      <c r="G2116" s="973" t="s">
        <v>1997</v>
      </c>
      <c r="H2116" s="973" t="s">
        <v>1998</v>
      </c>
      <c r="I2116" s="973" t="s">
        <v>1999</v>
      </c>
      <c r="J2116" s="973" t="s">
        <v>697</v>
      </c>
      <c r="K2116" s="973" t="s">
        <v>995</v>
      </c>
      <c r="L2116" s="973" t="s">
        <v>996</v>
      </c>
      <c r="M2116" s="973" t="s">
        <v>2000</v>
      </c>
      <c r="N2116" s="973" t="s">
        <v>2001</v>
      </c>
      <c r="O2116" s="973" t="s">
        <v>1971</v>
      </c>
      <c r="P2116" s="973" t="s">
        <v>999</v>
      </c>
      <c r="Q2116" s="973" t="s">
        <v>1000</v>
      </c>
      <c r="R2116" s="973" t="s">
        <v>1001</v>
      </c>
      <c r="S2116" s="973" t="s">
        <v>1002</v>
      </c>
      <c r="AE2116" s="423" t="str">
        <f t="shared" si="33"/>
        <v/>
      </c>
    </row>
    <row r="2117" spans="4:31" x14ac:dyDescent="0.25">
      <c r="D2117" s="973" t="s">
        <v>990</v>
      </c>
      <c r="E2117" s="973" t="s">
        <v>991</v>
      </c>
      <c r="F2117" s="973" t="s">
        <v>992</v>
      </c>
      <c r="G2117" s="973" t="s">
        <v>1997</v>
      </c>
      <c r="H2117" s="973" t="s">
        <v>1998</v>
      </c>
      <c r="I2117" s="973" t="s">
        <v>1999</v>
      </c>
      <c r="J2117" s="973" t="s">
        <v>697</v>
      </c>
      <c r="K2117" s="973" t="s">
        <v>995</v>
      </c>
      <c r="L2117" s="973" t="s">
        <v>996</v>
      </c>
      <c r="M2117" s="973" t="s">
        <v>2000</v>
      </c>
      <c r="N2117" s="973" t="s">
        <v>2001</v>
      </c>
      <c r="O2117" s="973" t="s">
        <v>1971</v>
      </c>
      <c r="P2117" s="973" t="s">
        <v>999</v>
      </c>
      <c r="Q2117" s="973" t="s">
        <v>1000</v>
      </c>
      <c r="R2117" s="973" t="s">
        <v>1001</v>
      </c>
      <c r="S2117" s="973" t="s">
        <v>1002</v>
      </c>
      <c r="AE2117" s="423" t="str">
        <f t="shared" si="33"/>
        <v/>
      </c>
    </row>
    <row r="2118" spans="4:31" x14ac:dyDescent="0.25">
      <c r="D2118" s="973" t="s">
        <v>990</v>
      </c>
      <c r="E2118" s="973" t="s">
        <v>991</v>
      </c>
      <c r="F2118" s="973" t="s">
        <v>992</v>
      </c>
      <c r="G2118" s="973" t="s">
        <v>1997</v>
      </c>
      <c r="H2118" s="973" t="s">
        <v>1998</v>
      </c>
      <c r="I2118" s="973" t="s">
        <v>1999</v>
      </c>
      <c r="J2118" s="973" t="s">
        <v>697</v>
      </c>
      <c r="K2118" s="973" t="s">
        <v>995</v>
      </c>
      <c r="L2118" s="973" t="s">
        <v>996</v>
      </c>
      <c r="M2118" s="973" t="s">
        <v>2000</v>
      </c>
      <c r="N2118" s="973" t="s">
        <v>2001</v>
      </c>
      <c r="O2118" s="973" t="s">
        <v>1971</v>
      </c>
      <c r="P2118" s="973" t="s">
        <v>999</v>
      </c>
      <c r="Q2118" s="973" t="s">
        <v>1000</v>
      </c>
      <c r="R2118" s="973" t="s">
        <v>1001</v>
      </c>
      <c r="S2118" s="973" t="s">
        <v>1002</v>
      </c>
      <c r="AE2118" s="423" t="str">
        <f t="shared" si="33"/>
        <v/>
      </c>
    </row>
    <row r="2119" spans="4:31" x14ac:dyDescent="0.25">
      <c r="D2119" s="973" t="s">
        <v>990</v>
      </c>
      <c r="E2119" s="973" t="s">
        <v>991</v>
      </c>
      <c r="F2119" s="973" t="s">
        <v>992</v>
      </c>
      <c r="G2119" s="973" t="s">
        <v>1997</v>
      </c>
      <c r="H2119" s="973" t="s">
        <v>1998</v>
      </c>
      <c r="I2119" s="973" t="s">
        <v>1999</v>
      </c>
      <c r="J2119" s="973" t="s">
        <v>697</v>
      </c>
      <c r="K2119" s="973" t="s">
        <v>995</v>
      </c>
      <c r="L2119" s="973" t="s">
        <v>996</v>
      </c>
      <c r="M2119" s="973" t="s">
        <v>2000</v>
      </c>
      <c r="N2119" s="973" t="s">
        <v>2001</v>
      </c>
      <c r="O2119" s="973" t="s">
        <v>1971</v>
      </c>
      <c r="P2119" s="973" t="s">
        <v>999</v>
      </c>
      <c r="Q2119" s="973" t="s">
        <v>1000</v>
      </c>
      <c r="R2119" s="973" t="s">
        <v>1001</v>
      </c>
      <c r="S2119" s="973" t="s">
        <v>1002</v>
      </c>
      <c r="AE2119" s="423" t="str">
        <f t="shared" si="33"/>
        <v/>
      </c>
    </row>
    <row r="2120" spans="4:31" x14ac:dyDescent="0.25">
      <c r="D2120" s="973" t="s">
        <v>990</v>
      </c>
      <c r="E2120" s="973" t="s">
        <v>991</v>
      </c>
      <c r="F2120" s="973" t="s">
        <v>992</v>
      </c>
      <c r="G2120" s="973" t="s">
        <v>1997</v>
      </c>
      <c r="H2120" s="973" t="s">
        <v>1998</v>
      </c>
      <c r="I2120" s="973" t="s">
        <v>1999</v>
      </c>
      <c r="J2120" s="973" t="s">
        <v>697</v>
      </c>
      <c r="K2120" s="973" t="s">
        <v>995</v>
      </c>
      <c r="L2120" s="973" t="s">
        <v>996</v>
      </c>
      <c r="M2120" s="973" t="s">
        <v>2000</v>
      </c>
      <c r="N2120" s="973" t="s">
        <v>2001</v>
      </c>
      <c r="O2120" s="973" t="s">
        <v>1971</v>
      </c>
      <c r="P2120" s="973" t="s">
        <v>999</v>
      </c>
      <c r="Q2120" s="973" t="s">
        <v>1000</v>
      </c>
      <c r="R2120" s="973" t="s">
        <v>1001</v>
      </c>
      <c r="S2120" s="973" t="s">
        <v>1002</v>
      </c>
      <c r="AE2120" s="423" t="str">
        <f t="shared" si="33"/>
        <v/>
      </c>
    </row>
    <row r="2121" spans="4:31" x14ac:dyDescent="0.25">
      <c r="D2121" s="973" t="s">
        <v>990</v>
      </c>
      <c r="E2121" s="973" t="s">
        <v>991</v>
      </c>
      <c r="F2121" s="973" t="s">
        <v>992</v>
      </c>
      <c r="G2121" s="973" t="s">
        <v>1997</v>
      </c>
      <c r="H2121" s="973" t="s">
        <v>1998</v>
      </c>
      <c r="I2121" s="973" t="s">
        <v>1999</v>
      </c>
      <c r="J2121" s="973" t="s">
        <v>697</v>
      </c>
      <c r="K2121" s="973" t="s">
        <v>995</v>
      </c>
      <c r="L2121" s="973" t="s">
        <v>996</v>
      </c>
      <c r="M2121" s="973" t="s">
        <v>2000</v>
      </c>
      <c r="N2121" s="973" t="s">
        <v>2001</v>
      </c>
      <c r="O2121" s="973" t="s">
        <v>1971</v>
      </c>
      <c r="P2121" s="973" t="s">
        <v>999</v>
      </c>
      <c r="Q2121" s="973" t="s">
        <v>1000</v>
      </c>
      <c r="R2121" s="973" t="s">
        <v>1001</v>
      </c>
      <c r="S2121" s="973" t="s">
        <v>1002</v>
      </c>
      <c r="AE2121" s="423" t="str">
        <f t="shared" si="33"/>
        <v/>
      </c>
    </row>
    <row r="2122" spans="4:31" x14ac:dyDescent="0.25">
      <c r="D2122" s="973" t="s">
        <v>990</v>
      </c>
      <c r="E2122" s="973" t="s">
        <v>991</v>
      </c>
      <c r="F2122" s="973" t="s">
        <v>992</v>
      </c>
      <c r="G2122" s="973" t="s">
        <v>1997</v>
      </c>
      <c r="H2122" s="973" t="s">
        <v>1998</v>
      </c>
      <c r="I2122" s="973" t="s">
        <v>1999</v>
      </c>
      <c r="J2122" s="973" t="s">
        <v>697</v>
      </c>
      <c r="K2122" s="973" t="s">
        <v>995</v>
      </c>
      <c r="L2122" s="973" t="s">
        <v>996</v>
      </c>
      <c r="M2122" s="973" t="s">
        <v>2000</v>
      </c>
      <c r="N2122" s="973" t="s">
        <v>2001</v>
      </c>
      <c r="O2122" s="973" t="s">
        <v>1971</v>
      </c>
      <c r="P2122" s="973" t="s">
        <v>999</v>
      </c>
      <c r="Q2122" s="973" t="s">
        <v>1000</v>
      </c>
      <c r="R2122" s="973" t="s">
        <v>1001</v>
      </c>
      <c r="S2122" s="973" t="s">
        <v>1002</v>
      </c>
      <c r="AE2122" s="423" t="str">
        <f t="shared" si="33"/>
        <v/>
      </c>
    </row>
    <row r="2123" spans="4:31" x14ac:dyDescent="0.25">
      <c r="D2123" s="973" t="s">
        <v>990</v>
      </c>
      <c r="E2123" s="973" t="s">
        <v>991</v>
      </c>
      <c r="F2123" s="973" t="s">
        <v>992</v>
      </c>
      <c r="G2123" s="973" t="s">
        <v>1997</v>
      </c>
      <c r="H2123" s="973" t="s">
        <v>1998</v>
      </c>
      <c r="I2123" s="973" t="s">
        <v>1999</v>
      </c>
      <c r="J2123" s="973" t="s">
        <v>697</v>
      </c>
      <c r="K2123" s="973" t="s">
        <v>995</v>
      </c>
      <c r="L2123" s="973" t="s">
        <v>996</v>
      </c>
      <c r="M2123" s="973" t="s">
        <v>2000</v>
      </c>
      <c r="N2123" s="973" t="s">
        <v>2001</v>
      </c>
      <c r="O2123" s="973" t="s">
        <v>1971</v>
      </c>
      <c r="P2123" s="973" t="s">
        <v>999</v>
      </c>
      <c r="Q2123" s="973" t="s">
        <v>1000</v>
      </c>
      <c r="R2123" s="973" t="s">
        <v>1001</v>
      </c>
      <c r="S2123" s="973" t="s">
        <v>1002</v>
      </c>
      <c r="AE2123" s="423" t="str">
        <f t="shared" si="33"/>
        <v/>
      </c>
    </row>
    <row r="2124" spans="4:31" x14ac:dyDescent="0.25">
      <c r="D2124" s="973" t="s">
        <v>990</v>
      </c>
      <c r="E2124" s="973" t="s">
        <v>991</v>
      </c>
      <c r="F2124" s="973" t="s">
        <v>992</v>
      </c>
      <c r="G2124" s="973" t="s">
        <v>1997</v>
      </c>
      <c r="H2124" s="973" t="s">
        <v>1998</v>
      </c>
      <c r="I2124" s="973" t="s">
        <v>1999</v>
      </c>
      <c r="J2124" s="973" t="s">
        <v>697</v>
      </c>
      <c r="K2124" s="973" t="s">
        <v>995</v>
      </c>
      <c r="L2124" s="973" t="s">
        <v>996</v>
      </c>
      <c r="M2124" s="973" t="s">
        <v>2000</v>
      </c>
      <c r="N2124" s="973" t="s">
        <v>2001</v>
      </c>
      <c r="O2124" s="973" t="s">
        <v>1971</v>
      </c>
      <c r="P2124" s="973" t="s">
        <v>999</v>
      </c>
      <c r="Q2124" s="973" t="s">
        <v>1000</v>
      </c>
      <c r="R2124" s="973" t="s">
        <v>1001</v>
      </c>
      <c r="S2124" s="973" t="s">
        <v>1002</v>
      </c>
      <c r="AE2124" s="423" t="str">
        <f t="shared" si="33"/>
        <v/>
      </c>
    </row>
    <row r="2125" spans="4:31" x14ac:dyDescent="0.25">
      <c r="D2125" s="973" t="s">
        <v>990</v>
      </c>
      <c r="E2125" s="973" t="s">
        <v>991</v>
      </c>
      <c r="F2125" s="973" t="s">
        <v>992</v>
      </c>
      <c r="G2125" s="973" t="s">
        <v>1997</v>
      </c>
      <c r="H2125" s="973" t="s">
        <v>1998</v>
      </c>
      <c r="I2125" s="973" t="s">
        <v>1999</v>
      </c>
      <c r="J2125" s="973" t="s">
        <v>697</v>
      </c>
      <c r="K2125" s="973" t="s">
        <v>995</v>
      </c>
      <c r="L2125" s="973" t="s">
        <v>996</v>
      </c>
      <c r="M2125" s="973" t="s">
        <v>2000</v>
      </c>
      <c r="N2125" s="973" t="s">
        <v>2001</v>
      </c>
      <c r="O2125" s="973" t="s">
        <v>1971</v>
      </c>
      <c r="P2125" s="973" t="s">
        <v>999</v>
      </c>
      <c r="Q2125" s="973" t="s">
        <v>1000</v>
      </c>
      <c r="R2125" s="973" t="s">
        <v>1001</v>
      </c>
      <c r="S2125" s="973" t="s">
        <v>1002</v>
      </c>
      <c r="AE2125" s="423" t="str">
        <f t="shared" si="33"/>
        <v/>
      </c>
    </row>
    <row r="2126" spans="4:31" x14ac:dyDescent="0.25">
      <c r="D2126" s="973" t="s">
        <v>990</v>
      </c>
      <c r="E2126" s="973" t="s">
        <v>991</v>
      </c>
      <c r="F2126" s="973" t="s">
        <v>992</v>
      </c>
      <c r="G2126" s="973" t="s">
        <v>1997</v>
      </c>
      <c r="H2126" s="973" t="s">
        <v>1998</v>
      </c>
      <c r="I2126" s="973" t="s">
        <v>1999</v>
      </c>
      <c r="J2126" s="973" t="s">
        <v>697</v>
      </c>
      <c r="K2126" s="973" t="s">
        <v>995</v>
      </c>
      <c r="L2126" s="973" t="s">
        <v>996</v>
      </c>
      <c r="M2126" s="973" t="s">
        <v>2000</v>
      </c>
      <c r="N2126" s="973" t="s">
        <v>2001</v>
      </c>
      <c r="O2126" s="973" t="s">
        <v>1971</v>
      </c>
      <c r="P2126" s="973" t="s">
        <v>999</v>
      </c>
      <c r="Q2126" s="973" t="s">
        <v>1000</v>
      </c>
      <c r="R2126" s="973" t="s">
        <v>1001</v>
      </c>
      <c r="S2126" s="973" t="s">
        <v>1002</v>
      </c>
      <c r="AE2126" s="423" t="str">
        <f t="shared" si="33"/>
        <v/>
      </c>
    </row>
    <row r="2127" spans="4:31" x14ac:dyDescent="0.25">
      <c r="D2127" s="973" t="s">
        <v>990</v>
      </c>
      <c r="E2127" s="973" t="s">
        <v>991</v>
      </c>
      <c r="F2127" s="973" t="s">
        <v>992</v>
      </c>
      <c r="G2127" s="973" t="s">
        <v>1997</v>
      </c>
      <c r="H2127" s="973" t="s">
        <v>1998</v>
      </c>
      <c r="I2127" s="973" t="s">
        <v>1999</v>
      </c>
      <c r="J2127" s="973" t="s">
        <v>697</v>
      </c>
      <c r="K2127" s="973" t="s">
        <v>995</v>
      </c>
      <c r="L2127" s="973" t="s">
        <v>996</v>
      </c>
      <c r="M2127" s="973" t="s">
        <v>2000</v>
      </c>
      <c r="N2127" s="973" t="s">
        <v>2001</v>
      </c>
      <c r="O2127" s="973" t="s">
        <v>1971</v>
      </c>
      <c r="P2127" s="973" t="s">
        <v>999</v>
      </c>
      <c r="Q2127" s="973" t="s">
        <v>1000</v>
      </c>
      <c r="R2127" s="973" t="s">
        <v>1001</v>
      </c>
      <c r="S2127" s="973" t="s">
        <v>1002</v>
      </c>
      <c r="AE2127" s="423" t="str">
        <f t="shared" si="33"/>
        <v/>
      </c>
    </row>
    <row r="2128" spans="4:31" x14ac:dyDescent="0.25">
      <c r="D2128" s="973" t="s">
        <v>990</v>
      </c>
      <c r="E2128" s="973" t="s">
        <v>991</v>
      </c>
      <c r="F2128" s="973" t="s">
        <v>992</v>
      </c>
      <c r="G2128" s="973" t="s">
        <v>1997</v>
      </c>
      <c r="H2128" s="973" t="s">
        <v>1998</v>
      </c>
      <c r="I2128" s="973" t="s">
        <v>1999</v>
      </c>
      <c r="J2128" s="973" t="s">
        <v>697</v>
      </c>
      <c r="K2128" s="973" t="s">
        <v>995</v>
      </c>
      <c r="L2128" s="973" t="s">
        <v>996</v>
      </c>
      <c r="M2128" s="973" t="s">
        <v>2000</v>
      </c>
      <c r="N2128" s="973" t="s">
        <v>2001</v>
      </c>
      <c r="O2128" s="973" t="s">
        <v>1971</v>
      </c>
      <c r="P2128" s="973" t="s">
        <v>999</v>
      </c>
      <c r="Q2128" s="973" t="s">
        <v>1000</v>
      </c>
      <c r="R2128" s="973" t="s">
        <v>1001</v>
      </c>
      <c r="S2128" s="973" t="s">
        <v>1002</v>
      </c>
      <c r="AE2128" s="423" t="str">
        <f t="shared" si="33"/>
        <v/>
      </c>
    </row>
    <row r="2129" spans="4:31" x14ac:dyDescent="0.25">
      <c r="D2129" s="973" t="s">
        <v>990</v>
      </c>
      <c r="E2129" s="973" t="s">
        <v>991</v>
      </c>
      <c r="F2129" s="973" t="s">
        <v>992</v>
      </c>
      <c r="G2129" s="973" t="s">
        <v>1997</v>
      </c>
      <c r="H2129" s="973" t="s">
        <v>1998</v>
      </c>
      <c r="I2129" s="973" t="s">
        <v>1999</v>
      </c>
      <c r="J2129" s="973" t="s">
        <v>697</v>
      </c>
      <c r="K2129" s="973" t="s">
        <v>995</v>
      </c>
      <c r="L2129" s="973" t="s">
        <v>996</v>
      </c>
      <c r="M2129" s="973" t="s">
        <v>2000</v>
      </c>
      <c r="N2129" s="973" t="s">
        <v>2001</v>
      </c>
      <c r="O2129" s="973" t="s">
        <v>1971</v>
      </c>
      <c r="P2129" s="973" t="s">
        <v>999</v>
      </c>
      <c r="Q2129" s="973" t="s">
        <v>1000</v>
      </c>
      <c r="R2129" s="973" t="s">
        <v>1001</v>
      </c>
      <c r="S2129" s="973" t="s">
        <v>1002</v>
      </c>
      <c r="AE2129" s="423" t="str">
        <f t="shared" si="33"/>
        <v/>
      </c>
    </row>
    <row r="2130" spans="4:31" x14ac:dyDescent="0.25">
      <c r="D2130" s="973" t="s">
        <v>990</v>
      </c>
      <c r="E2130" s="973" t="s">
        <v>991</v>
      </c>
      <c r="F2130" s="973" t="s">
        <v>992</v>
      </c>
      <c r="G2130" s="973" t="s">
        <v>1997</v>
      </c>
      <c r="H2130" s="973" t="s">
        <v>1998</v>
      </c>
      <c r="I2130" s="973" t="s">
        <v>1999</v>
      </c>
      <c r="J2130" s="973" t="s">
        <v>697</v>
      </c>
      <c r="K2130" s="973" t="s">
        <v>995</v>
      </c>
      <c r="L2130" s="973" t="s">
        <v>996</v>
      </c>
      <c r="M2130" s="973" t="s">
        <v>2000</v>
      </c>
      <c r="N2130" s="973" t="s">
        <v>2001</v>
      </c>
      <c r="O2130" s="973" t="s">
        <v>1971</v>
      </c>
      <c r="P2130" s="973" t="s">
        <v>999</v>
      </c>
      <c r="Q2130" s="973" t="s">
        <v>1000</v>
      </c>
      <c r="R2130" s="973" t="s">
        <v>1001</v>
      </c>
      <c r="S2130" s="973" t="s">
        <v>1002</v>
      </c>
      <c r="AE2130" s="423" t="str">
        <f t="shared" si="33"/>
        <v/>
      </c>
    </row>
    <row r="2131" spans="4:31" x14ac:dyDescent="0.25">
      <c r="D2131" s="973" t="s">
        <v>990</v>
      </c>
      <c r="E2131" s="973" t="s">
        <v>991</v>
      </c>
      <c r="F2131" s="973" t="s">
        <v>992</v>
      </c>
      <c r="G2131" s="973" t="s">
        <v>1997</v>
      </c>
      <c r="H2131" s="973" t="s">
        <v>1998</v>
      </c>
      <c r="I2131" s="973" t="s">
        <v>1999</v>
      </c>
      <c r="J2131" s="973" t="s">
        <v>697</v>
      </c>
      <c r="K2131" s="973" t="s">
        <v>995</v>
      </c>
      <c r="L2131" s="973" t="s">
        <v>996</v>
      </c>
      <c r="M2131" s="973" t="s">
        <v>2000</v>
      </c>
      <c r="N2131" s="973" t="s">
        <v>2001</v>
      </c>
      <c r="O2131" s="973" t="s">
        <v>1971</v>
      </c>
      <c r="P2131" s="973" t="s">
        <v>999</v>
      </c>
      <c r="Q2131" s="973" t="s">
        <v>1000</v>
      </c>
      <c r="R2131" s="973" t="s">
        <v>1001</v>
      </c>
      <c r="S2131" s="973" t="s">
        <v>1002</v>
      </c>
      <c r="AE2131" s="423" t="str">
        <f t="shared" si="33"/>
        <v/>
      </c>
    </row>
    <row r="2132" spans="4:31" x14ac:dyDescent="0.25">
      <c r="D2132" s="973" t="s">
        <v>990</v>
      </c>
      <c r="E2132" s="973" t="s">
        <v>991</v>
      </c>
      <c r="F2132" s="973" t="s">
        <v>992</v>
      </c>
      <c r="G2132" s="973" t="s">
        <v>1997</v>
      </c>
      <c r="H2132" s="973" t="s">
        <v>1998</v>
      </c>
      <c r="I2132" s="973" t="s">
        <v>1999</v>
      </c>
      <c r="J2132" s="973" t="s">
        <v>697</v>
      </c>
      <c r="K2132" s="973" t="s">
        <v>995</v>
      </c>
      <c r="L2132" s="973" t="s">
        <v>996</v>
      </c>
      <c r="M2132" s="973" t="s">
        <v>2000</v>
      </c>
      <c r="N2132" s="973" t="s">
        <v>2001</v>
      </c>
      <c r="O2132" s="973" t="s">
        <v>1971</v>
      </c>
      <c r="P2132" s="973" t="s">
        <v>999</v>
      </c>
      <c r="Q2132" s="973" t="s">
        <v>1000</v>
      </c>
      <c r="R2132" s="973" t="s">
        <v>1001</v>
      </c>
      <c r="S2132" s="973" t="s">
        <v>1002</v>
      </c>
      <c r="AE2132" s="423" t="str">
        <f t="shared" si="33"/>
        <v/>
      </c>
    </row>
    <row r="2133" spans="4:31" x14ac:dyDescent="0.25">
      <c r="D2133" s="973" t="s">
        <v>990</v>
      </c>
      <c r="E2133" s="973" t="s">
        <v>991</v>
      </c>
      <c r="F2133" s="973" t="s">
        <v>992</v>
      </c>
      <c r="G2133" s="973" t="s">
        <v>1997</v>
      </c>
      <c r="H2133" s="973" t="s">
        <v>1998</v>
      </c>
      <c r="I2133" s="973" t="s">
        <v>1999</v>
      </c>
      <c r="J2133" s="973" t="s">
        <v>697</v>
      </c>
      <c r="K2133" s="973" t="s">
        <v>995</v>
      </c>
      <c r="L2133" s="973" t="s">
        <v>996</v>
      </c>
      <c r="M2133" s="973" t="s">
        <v>2000</v>
      </c>
      <c r="N2133" s="973" t="s">
        <v>2001</v>
      </c>
      <c r="O2133" s="973" t="s">
        <v>1971</v>
      </c>
      <c r="P2133" s="973" t="s">
        <v>999</v>
      </c>
      <c r="Q2133" s="973" t="s">
        <v>1000</v>
      </c>
      <c r="R2133" s="973" t="s">
        <v>1001</v>
      </c>
      <c r="S2133" s="973" t="s">
        <v>1002</v>
      </c>
      <c r="AE2133" s="423" t="str">
        <f t="shared" si="33"/>
        <v/>
      </c>
    </row>
    <row r="2134" spans="4:31" x14ac:dyDescent="0.25">
      <c r="D2134" s="973" t="s">
        <v>990</v>
      </c>
      <c r="E2134" s="973" t="s">
        <v>991</v>
      </c>
      <c r="F2134" s="973" t="s">
        <v>992</v>
      </c>
      <c r="G2134" s="973" t="s">
        <v>1997</v>
      </c>
      <c r="H2134" s="973" t="s">
        <v>1998</v>
      </c>
      <c r="I2134" s="973" t="s">
        <v>1999</v>
      </c>
      <c r="J2134" s="973" t="s">
        <v>697</v>
      </c>
      <c r="K2134" s="973" t="s">
        <v>995</v>
      </c>
      <c r="L2134" s="973" t="s">
        <v>996</v>
      </c>
      <c r="M2134" s="973" t="s">
        <v>2000</v>
      </c>
      <c r="N2134" s="973" t="s">
        <v>2001</v>
      </c>
      <c r="O2134" s="973" t="s">
        <v>1971</v>
      </c>
      <c r="P2134" s="973" t="s">
        <v>999</v>
      </c>
      <c r="Q2134" s="973" t="s">
        <v>1000</v>
      </c>
      <c r="R2134" s="973" t="s">
        <v>1001</v>
      </c>
      <c r="S2134" s="973" t="s">
        <v>1002</v>
      </c>
      <c r="AE2134" s="423" t="str">
        <f t="shared" si="33"/>
        <v/>
      </c>
    </row>
    <row r="2135" spans="4:31" x14ac:dyDescent="0.25">
      <c r="D2135" s="973" t="s">
        <v>990</v>
      </c>
      <c r="E2135" s="973" t="s">
        <v>991</v>
      </c>
      <c r="F2135" s="973" t="s">
        <v>992</v>
      </c>
      <c r="G2135" s="973" t="s">
        <v>1997</v>
      </c>
      <c r="H2135" s="973" t="s">
        <v>1998</v>
      </c>
      <c r="I2135" s="973" t="s">
        <v>1999</v>
      </c>
      <c r="J2135" s="973" t="s">
        <v>697</v>
      </c>
      <c r="K2135" s="973" t="s">
        <v>995</v>
      </c>
      <c r="L2135" s="973" t="s">
        <v>996</v>
      </c>
      <c r="M2135" s="973" t="s">
        <v>2000</v>
      </c>
      <c r="N2135" s="973" t="s">
        <v>2001</v>
      </c>
      <c r="O2135" s="973" t="s">
        <v>1971</v>
      </c>
      <c r="P2135" s="973" t="s">
        <v>999</v>
      </c>
      <c r="Q2135" s="973" t="s">
        <v>1000</v>
      </c>
      <c r="R2135" s="973" t="s">
        <v>1001</v>
      </c>
      <c r="S2135" s="973" t="s">
        <v>1002</v>
      </c>
      <c r="AE2135" s="423" t="str">
        <f t="shared" si="33"/>
        <v/>
      </c>
    </row>
    <row r="2136" spans="4:31" x14ac:dyDescent="0.25">
      <c r="D2136" s="973" t="s">
        <v>990</v>
      </c>
      <c r="E2136" s="973" t="s">
        <v>991</v>
      </c>
      <c r="F2136" s="973" t="s">
        <v>992</v>
      </c>
      <c r="G2136" s="973" t="s">
        <v>1997</v>
      </c>
      <c r="H2136" s="973" t="s">
        <v>1998</v>
      </c>
      <c r="I2136" s="973" t="s">
        <v>1999</v>
      </c>
      <c r="J2136" s="973" t="s">
        <v>697</v>
      </c>
      <c r="K2136" s="973" t="s">
        <v>995</v>
      </c>
      <c r="L2136" s="973" t="s">
        <v>996</v>
      </c>
      <c r="M2136" s="973" t="s">
        <v>2000</v>
      </c>
      <c r="N2136" s="973" t="s">
        <v>2001</v>
      </c>
      <c r="O2136" s="973" t="s">
        <v>1971</v>
      </c>
      <c r="P2136" s="973" t="s">
        <v>999</v>
      </c>
      <c r="Q2136" s="973" t="s">
        <v>1000</v>
      </c>
      <c r="R2136" s="973" t="s">
        <v>1001</v>
      </c>
      <c r="S2136" s="973" t="s">
        <v>1002</v>
      </c>
      <c r="AE2136" s="423" t="str">
        <f t="shared" si="33"/>
        <v/>
      </c>
    </row>
    <row r="2137" spans="4:31" x14ac:dyDescent="0.25">
      <c r="D2137" s="973" t="s">
        <v>990</v>
      </c>
      <c r="E2137" s="973" t="s">
        <v>991</v>
      </c>
      <c r="F2137" s="973" t="s">
        <v>992</v>
      </c>
      <c r="G2137" s="973" t="s">
        <v>1997</v>
      </c>
      <c r="H2137" s="973" t="s">
        <v>1998</v>
      </c>
      <c r="I2137" s="973" t="s">
        <v>1999</v>
      </c>
      <c r="J2137" s="973" t="s">
        <v>697</v>
      </c>
      <c r="K2137" s="973" t="s">
        <v>995</v>
      </c>
      <c r="L2137" s="973" t="s">
        <v>996</v>
      </c>
      <c r="M2137" s="973" t="s">
        <v>2000</v>
      </c>
      <c r="N2137" s="973" t="s">
        <v>2001</v>
      </c>
      <c r="O2137" s="973" t="s">
        <v>1971</v>
      </c>
      <c r="P2137" s="973" t="s">
        <v>999</v>
      </c>
      <c r="Q2137" s="973" t="s">
        <v>1000</v>
      </c>
      <c r="R2137" s="973" t="s">
        <v>1001</v>
      </c>
      <c r="S2137" s="973" t="s">
        <v>1002</v>
      </c>
      <c r="AE2137" s="423" t="str">
        <f t="shared" si="33"/>
        <v/>
      </c>
    </row>
    <row r="2138" spans="4:31" x14ac:dyDescent="0.25">
      <c r="D2138" s="973" t="s">
        <v>990</v>
      </c>
      <c r="E2138" s="973" t="s">
        <v>991</v>
      </c>
      <c r="F2138" s="973" t="s">
        <v>992</v>
      </c>
      <c r="G2138" s="973" t="s">
        <v>1997</v>
      </c>
      <c r="H2138" s="973" t="s">
        <v>1998</v>
      </c>
      <c r="I2138" s="973" t="s">
        <v>1999</v>
      </c>
      <c r="J2138" s="973" t="s">
        <v>697</v>
      </c>
      <c r="K2138" s="973" t="s">
        <v>995</v>
      </c>
      <c r="L2138" s="973" t="s">
        <v>996</v>
      </c>
      <c r="M2138" s="973" t="s">
        <v>2000</v>
      </c>
      <c r="N2138" s="973" t="s">
        <v>2001</v>
      </c>
      <c r="O2138" s="973" t="s">
        <v>1971</v>
      </c>
      <c r="P2138" s="973" t="s">
        <v>999</v>
      </c>
      <c r="Q2138" s="973" t="s">
        <v>1000</v>
      </c>
      <c r="R2138" s="973" t="s">
        <v>1001</v>
      </c>
      <c r="S2138" s="973" t="s">
        <v>1002</v>
      </c>
      <c r="AE2138" s="423" t="str">
        <f t="shared" si="33"/>
        <v/>
      </c>
    </row>
    <row r="2139" spans="4:31" x14ac:dyDescent="0.25">
      <c r="D2139" s="973" t="s">
        <v>990</v>
      </c>
      <c r="E2139" s="973" t="s">
        <v>991</v>
      </c>
      <c r="F2139" s="973" t="s">
        <v>992</v>
      </c>
      <c r="G2139" s="973" t="s">
        <v>1997</v>
      </c>
      <c r="H2139" s="973" t="s">
        <v>1998</v>
      </c>
      <c r="I2139" s="973" t="s">
        <v>1999</v>
      </c>
      <c r="J2139" s="973" t="s">
        <v>697</v>
      </c>
      <c r="K2139" s="973" t="s">
        <v>995</v>
      </c>
      <c r="L2139" s="973" t="s">
        <v>996</v>
      </c>
      <c r="M2139" s="973" t="s">
        <v>2000</v>
      </c>
      <c r="N2139" s="973" t="s">
        <v>2001</v>
      </c>
      <c r="O2139" s="973" t="s">
        <v>1971</v>
      </c>
      <c r="P2139" s="973" t="s">
        <v>999</v>
      </c>
      <c r="Q2139" s="973" t="s">
        <v>1000</v>
      </c>
      <c r="R2139" s="973" t="s">
        <v>1001</v>
      </c>
      <c r="S2139" s="973" t="s">
        <v>1002</v>
      </c>
      <c r="AE2139" s="423" t="str">
        <f t="shared" si="33"/>
        <v/>
      </c>
    </row>
    <row r="2140" spans="4:31" x14ac:dyDescent="0.25">
      <c r="D2140" s="973" t="s">
        <v>990</v>
      </c>
      <c r="E2140" s="973" t="s">
        <v>991</v>
      </c>
      <c r="F2140" s="973" t="s">
        <v>992</v>
      </c>
      <c r="G2140" s="973" t="s">
        <v>1997</v>
      </c>
      <c r="H2140" s="973" t="s">
        <v>1998</v>
      </c>
      <c r="I2140" s="973" t="s">
        <v>1999</v>
      </c>
      <c r="J2140" s="973" t="s">
        <v>697</v>
      </c>
      <c r="K2140" s="973" t="s">
        <v>995</v>
      </c>
      <c r="L2140" s="973" t="s">
        <v>996</v>
      </c>
      <c r="M2140" s="973" t="s">
        <v>2000</v>
      </c>
      <c r="N2140" s="973" t="s">
        <v>2001</v>
      </c>
      <c r="O2140" s="973" t="s">
        <v>1971</v>
      </c>
      <c r="P2140" s="973" t="s">
        <v>999</v>
      </c>
      <c r="Q2140" s="973" t="s">
        <v>1000</v>
      </c>
      <c r="R2140" s="973" t="s">
        <v>1001</v>
      </c>
      <c r="S2140" s="973" t="s">
        <v>1002</v>
      </c>
      <c r="AE2140" s="423" t="str">
        <f t="shared" si="33"/>
        <v/>
      </c>
    </row>
    <row r="2141" spans="4:31" x14ac:dyDescent="0.25">
      <c r="D2141" s="973" t="s">
        <v>990</v>
      </c>
      <c r="E2141" s="973" t="s">
        <v>991</v>
      </c>
      <c r="F2141" s="973" t="s">
        <v>992</v>
      </c>
      <c r="G2141" s="973" t="s">
        <v>1997</v>
      </c>
      <c r="H2141" s="973" t="s">
        <v>1998</v>
      </c>
      <c r="I2141" s="973" t="s">
        <v>1999</v>
      </c>
      <c r="J2141" s="973" t="s">
        <v>697</v>
      </c>
      <c r="K2141" s="973" t="s">
        <v>995</v>
      </c>
      <c r="L2141" s="973" t="s">
        <v>996</v>
      </c>
      <c r="M2141" s="973" t="s">
        <v>2000</v>
      </c>
      <c r="N2141" s="973" t="s">
        <v>2001</v>
      </c>
      <c r="O2141" s="973" t="s">
        <v>1971</v>
      </c>
      <c r="P2141" s="973" t="s">
        <v>999</v>
      </c>
      <c r="Q2141" s="973" t="s">
        <v>1000</v>
      </c>
      <c r="R2141" s="973" t="s">
        <v>1001</v>
      </c>
      <c r="S2141" s="973" t="s">
        <v>1002</v>
      </c>
      <c r="AE2141" s="423" t="str">
        <f t="shared" si="33"/>
        <v/>
      </c>
    </row>
    <row r="2142" spans="4:31" x14ac:dyDescent="0.25">
      <c r="D2142" s="973" t="s">
        <v>990</v>
      </c>
      <c r="E2142" s="973" t="s">
        <v>991</v>
      </c>
      <c r="F2142" s="973" t="s">
        <v>992</v>
      </c>
      <c r="G2142" s="973" t="s">
        <v>1997</v>
      </c>
      <c r="H2142" s="973" t="s">
        <v>1998</v>
      </c>
      <c r="I2142" s="973" t="s">
        <v>1999</v>
      </c>
      <c r="J2142" s="973" t="s">
        <v>697</v>
      </c>
      <c r="K2142" s="973" t="s">
        <v>995</v>
      </c>
      <c r="L2142" s="973" t="s">
        <v>996</v>
      </c>
      <c r="M2142" s="973" t="s">
        <v>2000</v>
      </c>
      <c r="N2142" s="973" t="s">
        <v>2001</v>
      </c>
      <c r="O2142" s="973" t="s">
        <v>1971</v>
      </c>
      <c r="P2142" s="973" t="s">
        <v>999</v>
      </c>
      <c r="Q2142" s="973" t="s">
        <v>1000</v>
      </c>
      <c r="R2142" s="973" t="s">
        <v>1001</v>
      </c>
      <c r="S2142" s="973" t="s">
        <v>1002</v>
      </c>
      <c r="AE2142" s="423" t="str">
        <f t="shared" si="33"/>
        <v/>
      </c>
    </row>
    <row r="2143" spans="4:31" x14ac:dyDescent="0.25">
      <c r="D2143" s="973" t="s">
        <v>990</v>
      </c>
      <c r="E2143" s="973" t="s">
        <v>991</v>
      </c>
      <c r="F2143" s="973" t="s">
        <v>992</v>
      </c>
      <c r="G2143" s="973" t="s">
        <v>1997</v>
      </c>
      <c r="H2143" s="973" t="s">
        <v>1998</v>
      </c>
      <c r="I2143" s="973" t="s">
        <v>1999</v>
      </c>
      <c r="J2143" s="973" t="s">
        <v>697</v>
      </c>
      <c r="K2143" s="973" t="s">
        <v>995</v>
      </c>
      <c r="L2143" s="973" t="s">
        <v>996</v>
      </c>
      <c r="M2143" s="973" t="s">
        <v>2000</v>
      </c>
      <c r="N2143" s="973" t="s">
        <v>2001</v>
      </c>
      <c r="O2143" s="973" t="s">
        <v>1971</v>
      </c>
      <c r="P2143" s="973" t="s">
        <v>999</v>
      </c>
      <c r="Q2143" s="973" t="s">
        <v>1000</v>
      </c>
      <c r="R2143" s="973" t="s">
        <v>1001</v>
      </c>
      <c r="S2143" s="973" t="s">
        <v>1002</v>
      </c>
      <c r="AE2143" s="423" t="str">
        <f t="shared" si="33"/>
        <v/>
      </c>
    </row>
    <row r="2144" spans="4:31" x14ac:dyDescent="0.25">
      <c r="D2144" s="973" t="s">
        <v>990</v>
      </c>
      <c r="E2144" s="973" t="s">
        <v>991</v>
      </c>
      <c r="F2144" s="973" t="s">
        <v>992</v>
      </c>
      <c r="G2144" s="973" t="s">
        <v>1997</v>
      </c>
      <c r="H2144" s="973" t="s">
        <v>1998</v>
      </c>
      <c r="I2144" s="973" t="s">
        <v>1999</v>
      </c>
      <c r="J2144" s="973" t="s">
        <v>697</v>
      </c>
      <c r="K2144" s="973" t="s">
        <v>995</v>
      </c>
      <c r="L2144" s="973" t="s">
        <v>996</v>
      </c>
      <c r="M2144" s="973" t="s">
        <v>2000</v>
      </c>
      <c r="N2144" s="973" t="s">
        <v>2001</v>
      </c>
      <c r="O2144" s="973" t="s">
        <v>1971</v>
      </c>
      <c r="P2144" s="973" t="s">
        <v>999</v>
      </c>
      <c r="Q2144" s="973" t="s">
        <v>1000</v>
      </c>
      <c r="R2144" s="973" t="s">
        <v>1001</v>
      </c>
      <c r="S2144" s="973" t="s">
        <v>1002</v>
      </c>
      <c r="AE2144" s="423" t="str">
        <f t="shared" si="33"/>
        <v/>
      </c>
    </row>
    <row r="2145" spans="4:31" x14ac:dyDescent="0.25">
      <c r="D2145" s="973" t="s">
        <v>990</v>
      </c>
      <c r="E2145" s="973" t="s">
        <v>991</v>
      </c>
      <c r="F2145" s="973" t="s">
        <v>992</v>
      </c>
      <c r="G2145" s="973" t="s">
        <v>1997</v>
      </c>
      <c r="H2145" s="973" t="s">
        <v>1998</v>
      </c>
      <c r="I2145" s="973" t="s">
        <v>1999</v>
      </c>
      <c r="J2145" s="973" t="s">
        <v>697</v>
      </c>
      <c r="K2145" s="973" t="s">
        <v>995</v>
      </c>
      <c r="L2145" s="973" t="s">
        <v>996</v>
      </c>
      <c r="M2145" s="973" t="s">
        <v>2000</v>
      </c>
      <c r="N2145" s="973" t="s">
        <v>2001</v>
      </c>
      <c r="O2145" s="973" t="s">
        <v>1971</v>
      </c>
      <c r="P2145" s="973" t="s">
        <v>999</v>
      </c>
      <c r="Q2145" s="973" t="s">
        <v>1000</v>
      </c>
      <c r="R2145" s="973" t="s">
        <v>1001</v>
      </c>
      <c r="S2145" s="973" t="s">
        <v>1002</v>
      </c>
      <c r="AE2145" s="423" t="str">
        <f t="shared" si="33"/>
        <v/>
      </c>
    </row>
    <row r="2146" spans="4:31" x14ac:dyDescent="0.25">
      <c r="D2146" s="973" t="s">
        <v>990</v>
      </c>
      <c r="E2146" s="973" t="s">
        <v>991</v>
      </c>
      <c r="F2146" s="973" t="s">
        <v>992</v>
      </c>
      <c r="G2146" s="973" t="s">
        <v>1997</v>
      </c>
      <c r="H2146" s="973" t="s">
        <v>1998</v>
      </c>
      <c r="I2146" s="973" t="s">
        <v>1999</v>
      </c>
      <c r="J2146" s="973" t="s">
        <v>697</v>
      </c>
      <c r="K2146" s="973" t="s">
        <v>995</v>
      </c>
      <c r="L2146" s="973" t="s">
        <v>996</v>
      </c>
      <c r="M2146" s="973" t="s">
        <v>2000</v>
      </c>
      <c r="N2146" s="973" t="s">
        <v>2001</v>
      </c>
      <c r="O2146" s="973" t="s">
        <v>1971</v>
      </c>
      <c r="P2146" s="973" t="s">
        <v>999</v>
      </c>
      <c r="Q2146" s="973" t="s">
        <v>1000</v>
      </c>
      <c r="R2146" s="973" t="s">
        <v>1001</v>
      </c>
      <c r="S2146" s="973" t="s">
        <v>1002</v>
      </c>
      <c r="AE2146" s="423" t="str">
        <f t="shared" si="33"/>
        <v/>
      </c>
    </row>
    <row r="2147" spans="4:31" x14ac:dyDescent="0.25">
      <c r="D2147" s="973" t="s">
        <v>990</v>
      </c>
      <c r="E2147" s="973" t="s">
        <v>991</v>
      </c>
      <c r="F2147" s="973" t="s">
        <v>992</v>
      </c>
      <c r="G2147" s="973" t="s">
        <v>1997</v>
      </c>
      <c r="H2147" s="973" t="s">
        <v>1998</v>
      </c>
      <c r="I2147" s="973" t="s">
        <v>1999</v>
      </c>
      <c r="J2147" s="973" t="s">
        <v>697</v>
      </c>
      <c r="K2147" s="973" t="s">
        <v>995</v>
      </c>
      <c r="L2147" s="973" t="s">
        <v>996</v>
      </c>
      <c r="M2147" s="973" t="s">
        <v>2000</v>
      </c>
      <c r="N2147" s="973" t="s">
        <v>2001</v>
      </c>
      <c r="O2147" s="973" t="s">
        <v>1971</v>
      </c>
      <c r="P2147" s="973" t="s">
        <v>999</v>
      </c>
      <c r="Q2147" s="973" t="s">
        <v>1000</v>
      </c>
      <c r="R2147" s="973" t="s">
        <v>1001</v>
      </c>
      <c r="S2147" s="973" t="s">
        <v>1002</v>
      </c>
      <c r="AE2147" s="423" t="str">
        <f t="shared" si="33"/>
        <v/>
      </c>
    </row>
    <row r="2148" spans="4:31" x14ac:dyDescent="0.25">
      <c r="D2148" s="973" t="s">
        <v>990</v>
      </c>
      <c r="E2148" s="973" t="s">
        <v>991</v>
      </c>
      <c r="F2148" s="973" t="s">
        <v>992</v>
      </c>
      <c r="G2148" s="973" t="s">
        <v>1997</v>
      </c>
      <c r="H2148" s="973" t="s">
        <v>1998</v>
      </c>
      <c r="I2148" s="973" t="s">
        <v>1999</v>
      </c>
      <c r="J2148" s="973" t="s">
        <v>697</v>
      </c>
      <c r="K2148" s="973" t="s">
        <v>995</v>
      </c>
      <c r="L2148" s="973" t="s">
        <v>996</v>
      </c>
      <c r="M2148" s="973" t="s">
        <v>2000</v>
      </c>
      <c r="N2148" s="973" t="s">
        <v>2001</v>
      </c>
      <c r="O2148" s="973" t="s">
        <v>1971</v>
      </c>
      <c r="P2148" s="973" t="s">
        <v>999</v>
      </c>
      <c r="Q2148" s="973" t="s">
        <v>1000</v>
      </c>
      <c r="R2148" s="973" t="s">
        <v>1001</v>
      </c>
      <c r="S2148" s="973" t="s">
        <v>1002</v>
      </c>
      <c r="AE2148" s="423" t="str">
        <f t="shared" si="33"/>
        <v/>
      </c>
    </row>
    <row r="2149" spans="4:31" x14ac:dyDescent="0.25">
      <c r="D2149" s="973" t="s">
        <v>990</v>
      </c>
      <c r="E2149" s="973" t="s">
        <v>991</v>
      </c>
      <c r="F2149" s="973" t="s">
        <v>992</v>
      </c>
      <c r="G2149" s="973" t="s">
        <v>1997</v>
      </c>
      <c r="H2149" s="973" t="s">
        <v>1998</v>
      </c>
      <c r="I2149" s="973" t="s">
        <v>1999</v>
      </c>
      <c r="J2149" s="973" t="s">
        <v>697</v>
      </c>
      <c r="K2149" s="973" t="s">
        <v>995</v>
      </c>
      <c r="L2149" s="973" t="s">
        <v>996</v>
      </c>
      <c r="M2149" s="973" t="s">
        <v>2000</v>
      </c>
      <c r="N2149" s="973" t="s">
        <v>2001</v>
      </c>
      <c r="O2149" s="973" t="s">
        <v>1971</v>
      </c>
      <c r="P2149" s="973" t="s">
        <v>999</v>
      </c>
      <c r="Q2149" s="973" t="s">
        <v>1000</v>
      </c>
      <c r="R2149" s="973" t="s">
        <v>1001</v>
      </c>
      <c r="S2149" s="973" t="s">
        <v>1002</v>
      </c>
      <c r="AE2149" s="423" t="str">
        <f t="shared" si="33"/>
        <v/>
      </c>
    </row>
    <row r="2150" spans="4:31" x14ac:dyDescent="0.25">
      <c r="D2150" s="973" t="s">
        <v>990</v>
      </c>
      <c r="E2150" s="973" t="s">
        <v>991</v>
      </c>
      <c r="F2150" s="973" t="s">
        <v>992</v>
      </c>
      <c r="G2150" s="973" t="s">
        <v>1997</v>
      </c>
      <c r="H2150" s="973" t="s">
        <v>1998</v>
      </c>
      <c r="I2150" s="973" t="s">
        <v>1999</v>
      </c>
      <c r="J2150" s="973" t="s">
        <v>697</v>
      </c>
      <c r="K2150" s="973" t="s">
        <v>995</v>
      </c>
      <c r="L2150" s="973" t="s">
        <v>996</v>
      </c>
      <c r="M2150" s="973" t="s">
        <v>2000</v>
      </c>
      <c r="N2150" s="973" t="s">
        <v>2001</v>
      </c>
      <c r="O2150" s="973" t="s">
        <v>1971</v>
      </c>
      <c r="P2150" s="973" t="s">
        <v>999</v>
      </c>
      <c r="Q2150" s="973" t="s">
        <v>1000</v>
      </c>
      <c r="R2150" s="973" t="s">
        <v>1001</v>
      </c>
      <c r="S2150" s="973" t="s">
        <v>1002</v>
      </c>
      <c r="AE2150" s="423" t="str">
        <f t="shared" si="33"/>
        <v/>
      </c>
    </row>
    <row r="2151" spans="4:31" x14ac:dyDescent="0.25">
      <c r="D2151" s="973" t="s">
        <v>990</v>
      </c>
      <c r="E2151" s="973" t="s">
        <v>991</v>
      </c>
      <c r="F2151" s="973" t="s">
        <v>992</v>
      </c>
      <c r="G2151" s="973" t="s">
        <v>1997</v>
      </c>
      <c r="H2151" s="973" t="s">
        <v>1998</v>
      </c>
      <c r="I2151" s="973" t="s">
        <v>1999</v>
      </c>
      <c r="J2151" s="973" t="s">
        <v>697</v>
      </c>
      <c r="K2151" s="973" t="s">
        <v>995</v>
      </c>
      <c r="L2151" s="973" t="s">
        <v>996</v>
      </c>
      <c r="M2151" s="973" t="s">
        <v>2000</v>
      </c>
      <c r="N2151" s="973" t="s">
        <v>2001</v>
      </c>
      <c r="O2151" s="973" t="s">
        <v>1971</v>
      </c>
      <c r="P2151" s="973" t="s">
        <v>999</v>
      </c>
      <c r="Q2151" s="973" t="s">
        <v>1000</v>
      </c>
      <c r="R2151" s="973" t="s">
        <v>1001</v>
      </c>
      <c r="S2151" s="973" t="s">
        <v>1002</v>
      </c>
      <c r="AE2151" s="423" t="str">
        <f t="shared" si="33"/>
        <v/>
      </c>
    </row>
    <row r="2152" spans="4:31" x14ac:dyDescent="0.25">
      <c r="D2152" s="973" t="s">
        <v>990</v>
      </c>
      <c r="E2152" s="973" t="s">
        <v>991</v>
      </c>
      <c r="F2152" s="973" t="s">
        <v>992</v>
      </c>
      <c r="G2152" s="973" t="s">
        <v>1997</v>
      </c>
      <c r="H2152" s="973" t="s">
        <v>1998</v>
      </c>
      <c r="I2152" s="973" t="s">
        <v>1999</v>
      </c>
      <c r="J2152" s="973" t="s">
        <v>697</v>
      </c>
      <c r="K2152" s="973" t="s">
        <v>995</v>
      </c>
      <c r="L2152" s="973" t="s">
        <v>996</v>
      </c>
      <c r="M2152" s="973" t="s">
        <v>2000</v>
      </c>
      <c r="N2152" s="973" t="s">
        <v>2001</v>
      </c>
      <c r="O2152" s="973" t="s">
        <v>1971</v>
      </c>
      <c r="P2152" s="973" t="s">
        <v>999</v>
      </c>
      <c r="Q2152" s="973" t="s">
        <v>1000</v>
      </c>
      <c r="R2152" s="973" t="s">
        <v>1001</v>
      </c>
      <c r="S2152" s="973" t="s">
        <v>1002</v>
      </c>
      <c r="AE2152" s="423" t="str">
        <f t="shared" si="33"/>
        <v/>
      </c>
    </row>
    <row r="2153" spans="4:31" x14ac:dyDescent="0.25">
      <c r="D2153" s="973" t="s">
        <v>990</v>
      </c>
      <c r="E2153" s="973" t="s">
        <v>991</v>
      </c>
      <c r="F2153" s="973" t="s">
        <v>992</v>
      </c>
      <c r="G2153" s="973" t="s">
        <v>1997</v>
      </c>
      <c r="H2153" s="973" t="s">
        <v>1998</v>
      </c>
      <c r="I2153" s="973" t="s">
        <v>1999</v>
      </c>
      <c r="J2153" s="973" t="s">
        <v>697</v>
      </c>
      <c r="K2153" s="973" t="s">
        <v>995</v>
      </c>
      <c r="L2153" s="973" t="s">
        <v>996</v>
      </c>
      <c r="M2153" s="973" t="s">
        <v>2000</v>
      </c>
      <c r="N2153" s="973" t="s">
        <v>2001</v>
      </c>
      <c r="O2153" s="973" t="s">
        <v>1971</v>
      </c>
      <c r="P2153" s="973" t="s">
        <v>999</v>
      </c>
      <c r="Q2153" s="973" t="s">
        <v>1000</v>
      </c>
      <c r="R2153" s="973" t="s">
        <v>1001</v>
      </c>
      <c r="S2153" s="973" t="s">
        <v>1002</v>
      </c>
      <c r="AE2153" s="423" t="str">
        <f t="shared" si="33"/>
        <v/>
      </c>
    </row>
    <row r="2154" spans="4:31" x14ac:dyDescent="0.25">
      <c r="D2154" s="973" t="s">
        <v>990</v>
      </c>
      <c r="E2154" s="973" t="s">
        <v>991</v>
      </c>
      <c r="F2154" s="973" t="s">
        <v>992</v>
      </c>
      <c r="G2154" s="973" t="s">
        <v>1997</v>
      </c>
      <c r="H2154" s="973" t="s">
        <v>1998</v>
      </c>
      <c r="I2154" s="973" t="s">
        <v>1999</v>
      </c>
      <c r="J2154" s="973" t="s">
        <v>697</v>
      </c>
      <c r="K2154" s="973" t="s">
        <v>995</v>
      </c>
      <c r="L2154" s="973" t="s">
        <v>996</v>
      </c>
      <c r="M2154" s="973" t="s">
        <v>2000</v>
      </c>
      <c r="N2154" s="973" t="s">
        <v>2001</v>
      </c>
      <c r="O2154" s="973" t="s">
        <v>1971</v>
      </c>
      <c r="P2154" s="973" t="s">
        <v>999</v>
      </c>
      <c r="Q2154" s="973" t="s">
        <v>1000</v>
      </c>
      <c r="R2154" s="973" t="s">
        <v>1001</v>
      </c>
      <c r="S2154" s="973" t="s">
        <v>1002</v>
      </c>
      <c r="AE2154" s="423" t="str">
        <f t="shared" si="33"/>
        <v/>
      </c>
    </row>
    <row r="2155" spans="4:31" x14ac:dyDescent="0.25">
      <c r="D2155" s="973" t="s">
        <v>990</v>
      </c>
      <c r="E2155" s="973" t="s">
        <v>991</v>
      </c>
      <c r="F2155" s="973" t="s">
        <v>992</v>
      </c>
      <c r="G2155" s="973" t="s">
        <v>1997</v>
      </c>
      <c r="H2155" s="973" t="s">
        <v>1998</v>
      </c>
      <c r="I2155" s="973" t="s">
        <v>1999</v>
      </c>
      <c r="J2155" s="973" t="s">
        <v>697</v>
      </c>
      <c r="K2155" s="973" t="s">
        <v>995</v>
      </c>
      <c r="L2155" s="973" t="s">
        <v>996</v>
      </c>
      <c r="M2155" s="973" t="s">
        <v>2000</v>
      </c>
      <c r="N2155" s="973" t="s">
        <v>2001</v>
      </c>
      <c r="O2155" s="973" t="s">
        <v>1971</v>
      </c>
      <c r="P2155" s="973" t="s">
        <v>999</v>
      </c>
      <c r="Q2155" s="973" t="s">
        <v>1000</v>
      </c>
      <c r="R2155" s="973" t="s">
        <v>1001</v>
      </c>
      <c r="S2155" s="973" t="s">
        <v>1002</v>
      </c>
      <c r="AE2155" s="423" t="str">
        <f t="shared" si="33"/>
        <v/>
      </c>
    </row>
    <row r="2156" spans="4:31" x14ac:dyDescent="0.25">
      <c r="D2156" s="973" t="s">
        <v>990</v>
      </c>
      <c r="E2156" s="973" t="s">
        <v>991</v>
      </c>
      <c r="F2156" s="973" t="s">
        <v>992</v>
      </c>
      <c r="G2156" s="973" t="s">
        <v>1997</v>
      </c>
      <c r="H2156" s="973" t="s">
        <v>1998</v>
      </c>
      <c r="I2156" s="973" t="s">
        <v>1999</v>
      </c>
      <c r="J2156" s="973" t="s">
        <v>697</v>
      </c>
      <c r="K2156" s="973" t="s">
        <v>995</v>
      </c>
      <c r="L2156" s="973" t="s">
        <v>996</v>
      </c>
      <c r="M2156" s="973" t="s">
        <v>2000</v>
      </c>
      <c r="N2156" s="973" t="s">
        <v>2001</v>
      </c>
      <c r="O2156" s="973" t="s">
        <v>1971</v>
      </c>
      <c r="P2156" s="973" t="s">
        <v>999</v>
      </c>
      <c r="Q2156" s="973" t="s">
        <v>1000</v>
      </c>
      <c r="R2156" s="973" t="s">
        <v>1001</v>
      </c>
      <c r="S2156" s="973" t="s">
        <v>1002</v>
      </c>
      <c r="AE2156" s="423" t="str">
        <f t="shared" si="33"/>
        <v/>
      </c>
    </row>
    <row r="2157" spans="4:31" x14ac:dyDescent="0.25">
      <c r="D2157" s="973" t="s">
        <v>990</v>
      </c>
      <c r="E2157" s="973" t="s">
        <v>991</v>
      </c>
      <c r="F2157" s="973" t="s">
        <v>992</v>
      </c>
      <c r="G2157" s="973" t="s">
        <v>1997</v>
      </c>
      <c r="H2157" s="973" t="s">
        <v>1998</v>
      </c>
      <c r="I2157" s="973" t="s">
        <v>1999</v>
      </c>
      <c r="J2157" s="973" t="s">
        <v>697</v>
      </c>
      <c r="K2157" s="973" t="s">
        <v>995</v>
      </c>
      <c r="L2157" s="973" t="s">
        <v>996</v>
      </c>
      <c r="M2157" s="973" t="s">
        <v>2000</v>
      </c>
      <c r="N2157" s="973" t="s">
        <v>2001</v>
      </c>
      <c r="O2157" s="973" t="s">
        <v>1971</v>
      </c>
      <c r="P2157" s="973" t="s">
        <v>999</v>
      </c>
      <c r="Q2157" s="973" t="s">
        <v>1000</v>
      </c>
      <c r="R2157" s="973" t="s">
        <v>1001</v>
      </c>
      <c r="S2157" s="973" t="s">
        <v>1002</v>
      </c>
      <c r="AE2157" s="423" t="str">
        <f t="shared" si="33"/>
        <v/>
      </c>
    </row>
    <row r="2158" spans="4:31" x14ac:dyDescent="0.25">
      <c r="D2158" s="973" t="s">
        <v>990</v>
      </c>
      <c r="E2158" s="973" t="s">
        <v>991</v>
      </c>
      <c r="F2158" s="973" t="s">
        <v>992</v>
      </c>
      <c r="G2158" s="973" t="s">
        <v>1997</v>
      </c>
      <c r="H2158" s="973" t="s">
        <v>1998</v>
      </c>
      <c r="I2158" s="973" t="s">
        <v>1999</v>
      </c>
      <c r="J2158" s="973" t="s">
        <v>697</v>
      </c>
      <c r="K2158" s="973" t="s">
        <v>995</v>
      </c>
      <c r="L2158" s="973" t="s">
        <v>996</v>
      </c>
      <c r="M2158" s="973" t="s">
        <v>2000</v>
      </c>
      <c r="N2158" s="973" t="s">
        <v>2001</v>
      </c>
      <c r="O2158" s="973" t="s">
        <v>1971</v>
      </c>
      <c r="P2158" s="973" t="s">
        <v>999</v>
      </c>
      <c r="Q2158" s="973" t="s">
        <v>1000</v>
      </c>
      <c r="R2158" s="973" t="s">
        <v>1001</v>
      </c>
      <c r="S2158" s="973" t="s">
        <v>1002</v>
      </c>
      <c r="AE2158" s="423" t="str">
        <f t="shared" si="33"/>
        <v/>
      </c>
    </row>
    <row r="2159" spans="4:31" x14ac:dyDescent="0.25">
      <c r="D2159" s="973" t="s">
        <v>990</v>
      </c>
      <c r="E2159" s="973" t="s">
        <v>991</v>
      </c>
      <c r="F2159" s="973" t="s">
        <v>992</v>
      </c>
      <c r="G2159" s="973" t="s">
        <v>1997</v>
      </c>
      <c r="H2159" s="973" t="s">
        <v>1998</v>
      </c>
      <c r="I2159" s="973" t="s">
        <v>1999</v>
      </c>
      <c r="J2159" s="973" t="s">
        <v>697</v>
      </c>
      <c r="K2159" s="973" t="s">
        <v>995</v>
      </c>
      <c r="L2159" s="973" t="s">
        <v>996</v>
      </c>
      <c r="M2159" s="973" t="s">
        <v>2000</v>
      </c>
      <c r="N2159" s="973" t="s">
        <v>2001</v>
      </c>
      <c r="O2159" s="973" t="s">
        <v>1971</v>
      </c>
      <c r="P2159" s="973" t="s">
        <v>999</v>
      </c>
      <c r="Q2159" s="973" t="s">
        <v>1000</v>
      </c>
      <c r="R2159" s="973" t="s">
        <v>1001</v>
      </c>
      <c r="S2159" s="973" t="s">
        <v>1002</v>
      </c>
      <c r="AE2159" s="423" t="str">
        <f t="shared" si="33"/>
        <v/>
      </c>
    </row>
    <row r="2160" spans="4:31" x14ac:dyDescent="0.25">
      <c r="D2160" s="973" t="s">
        <v>990</v>
      </c>
      <c r="E2160" s="973" t="s">
        <v>991</v>
      </c>
      <c r="F2160" s="973" t="s">
        <v>992</v>
      </c>
      <c r="G2160" s="973" t="s">
        <v>1997</v>
      </c>
      <c r="H2160" s="973" t="s">
        <v>1998</v>
      </c>
      <c r="I2160" s="973" t="s">
        <v>1999</v>
      </c>
      <c r="J2160" s="973" t="s">
        <v>697</v>
      </c>
      <c r="K2160" s="973" t="s">
        <v>995</v>
      </c>
      <c r="L2160" s="973" t="s">
        <v>996</v>
      </c>
      <c r="M2160" s="973" t="s">
        <v>2000</v>
      </c>
      <c r="N2160" s="973" t="s">
        <v>2001</v>
      </c>
      <c r="O2160" s="973" t="s">
        <v>1971</v>
      </c>
      <c r="P2160" s="973" t="s">
        <v>999</v>
      </c>
      <c r="Q2160" s="973" t="s">
        <v>1000</v>
      </c>
      <c r="R2160" s="973" t="s">
        <v>1001</v>
      </c>
      <c r="S2160" s="973" t="s">
        <v>1002</v>
      </c>
      <c r="AE2160" s="423" t="str">
        <f t="shared" si="33"/>
        <v/>
      </c>
    </row>
    <row r="2161" spans="4:31" x14ac:dyDescent="0.25">
      <c r="D2161" s="973" t="s">
        <v>990</v>
      </c>
      <c r="E2161" s="973" t="s">
        <v>991</v>
      </c>
      <c r="F2161" s="973" t="s">
        <v>992</v>
      </c>
      <c r="G2161" s="973" t="s">
        <v>1997</v>
      </c>
      <c r="H2161" s="973" t="s">
        <v>1998</v>
      </c>
      <c r="I2161" s="973" t="s">
        <v>1999</v>
      </c>
      <c r="J2161" s="973" t="s">
        <v>697</v>
      </c>
      <c r="K2161" s="973" t="s">
        <v>995</v>
      </c>
      <c r="L2161" s="973" t="s">
        <v>996</v>
      </c>
      <c r="M2161" s="973" t="s">
        <v>2000</v>
      </c>
      <c r="N2161" s="973" t="s">
        <v>2001</v>
      </c>
      <c r="O2161" s="973" t="s">
        <v>1971</v>
      </c>
      <c r="P2161" s="973" t="s">
        <v>999</v>
      </c>
      <c r="Q2161" s="973" t="s">
        <v>1000</v>
      </c>
      <c r="R2161" s="973" t="s">
        <v>1001</v>
      </c>
      <c r="S2161" s="973" t="s">
        <v>1002</v>
      </c>
      <c r="AE2161" s="423" t="str">
        <f t="shared" si="33"/>
        <v/>
      </c>
    </row>
    <row r="2162" spans="4:31" x14ac:dyDescent="0.25">
      <c r="D2162" s="973" t="s">
        <v>990</v>
      </c>
      <c r="E2162" s="973" t="s">
        <v>991</v>
      </c>
      <c r="F2162" s="973" t="s">
        <v>992</v>
      </c>
      <c r="G2162" s="973" t="s">
        <v>1997</v>
      </c>
      <c r="H2162" s="973" t="s">
        <v>1998</v>
      </c>
      <c r="I2162" s="973" t="s">
        <v>1999</v>
      </c>
      <c r="J2162" s="973" t="s">
        <v>697</v>
      </c>
      <c r="K2162" s="973" t="s">
        <v>995</v>
      </c>
      <c r="L2162" s="973" t="s">
        <v>996</v>
      </c>
      <c r="M2162" s="973" t="s">
        <v>2000</v>
      </c>
      <c r="N2162" s="973" t="s">
        <v>2001</v>
      </c>
      <c r="O2162" s="973" t="s">
        <v>1971</v>
      </c>
      <c r="P2162" s="973" t="s">
        <v>999</v>
      </c>
      <c r="Q2162" s="973" t="s">
        <v>1000</v>
      </c>
      <c r="R2162" s="973" t="s">
        <v>1001</v>
      </c>
      <c r="S2162" s="973" t="s">
        <v>1002</v>
      </c>
      <c r="AE2162" s="423" t="str">
        <f t="shared" si="33"/>
        <v/>
      </c>
    </row>
    <row r="2163" spans="4:31" x14ac:dyDescent="0.25">
      <c r="D2163" s="973" t="s">
        <v>990</v>
      </c>
      <c r="E2163" s="973" t="s">
        <v>991</v>
      </c>
      <c r="F2163" s="973" t="s">
        <v>992</v>
      </c>
      <c r="G2163" s="973" t="s">
        <v>1997</v>
      </c>
      <c r="H2163" s="973" t="s">
        <v>1998</v>
      </c>
      <c r="I2163" s="973" t="s">
        <v>1999</v>
      </c>
      <c r="J2163" s="973" t="s">
        <v>697</v>
      </c>
      <c r="K2163" s="973" t="s">
        <v>995</v>
      </c>
      <c r="L2163" s="973" t="s">
        <v>996</v>
      </c>
      <c r="M2163" s="973" t="s">
        <v>2000</v>
      </c>
      <c r="N2163" s="973" t="s">
        <v>2001</v>
      </c>
      <c r="O2163" s="973" t="s">
        <v>1971</v>
      </c>
      <c r="P2163" s="973" t="s">
        <v>999</v>
      </c>
      <c r="Q2163" s="973" t="s">
        <v>1000</v>
      </c>
      <c r="R2163" s="973" t="s">
        <v>1001</v>
      </c>
      <c r="S2163" s="973" t="s">
        <v>1002</v>
      </c>
      <c r="AE2163" s="423" t="str">
        <f t="shared" si="33"/>
        <v/>
      </c>
    </row>
    <row r="2164" spans="4:31" x14ac:dyDescent="0.25">
      <c r="D2164" s="973" t="s">
        <v>990</v>
      </c>
      <c r="E2164" s="973" t="s">
        <v>991</v>
      </c>
      <c r="F2164" s="973" t="s">
        <v>992</v>
      </c>
      <c r="G2164" s="973" t="s">
        <v>1997</v>
      </c>
      <c r="H2164" s="973" t="s">
        <v>1998</v>
      </c>
      <c r="I2164" s="973" t="s">
        <v>1999</v>
      </c>
      <c r="J2164" s="973" t="s">
        <v>697</v>
      </c>
      <c r="K2164" s="973" t="s">
        <v>995</v>
      </c>
      <c r="L2164" s="973" t="s">
        <v>996</v>
      </c>
      <c r="M2164" s="973" t="s">
        <v>2000</v>
      </c>
      <c r="N2164" s="973" t="s">
        <v>2001</v>
      </c>
      <c r="O2164" s="973" t="s">
        <v>1971</v>
      </c>
      <c r="P2164" s="973" t="s">
        <v>999</v>
      </c>
      <c r="Q2164" s="973" t="s">
        <v>1000</v>
      </c>
      <c r="R2164" s="973" t="s">
        <v>1001</v>
      </c>
      <c r="S2164" s="973" t="s">
        <v>1002</v>
      </c>
      <c r="AE2164" s="423" t="str">
        <f t="shared" si="33"/>
        <v/>
      </c>
    </row>
    <row r="2165" spans="4:31" x14ac:dyDescent="0.25">
      <c r="D2165" s="973" t="s">
        <v>990</v>
      </c>
      <c r="E2165" s="973" t="s">
        <v>991</v>
      </c>
      <c r="F2165" s="973" t="s">
        <v>992</v>
      </c>
      <c r="G2165" s="973" t="s">
        <v>1997</v>
      </c>
      <c r="H2165" s="973" t="s">
        <v>1998</v>
      </c>
      <c r="I2165" s="973" t="s">
        <v>1999</v>
      </c>
      <c r="J2165" s="973" t="s">
        <v>697</v>
      </c>
      <c r="K2165" s="973" t="s">
        <v>995</v>
      </c>
      <c r="L2165" s="973" t="s">
        <v>996</v>
      </c>
      <c r="M2165" s="973" t="s">
        <v>2000</v>
      </c>
      <c r="N2165" s="973" t="s">
        <v>2001</v>
      </c>
      <c r="O2165" s="973" t="s">
        <v>1971</v>
      </c>
      <c r="P2165" s="973" t="s">
        <v>999</v>
      </c>
      <c r="Q2165" s="973" t="s">
        <v>1000</v>
      </c>
      <c r="R2165" s="973" t="s">
        <v>1001</v>
      </c>
      <c r="S2165" s="973" t="s">
        <v>1002</v>
      </c>
      <c r="AE2165" s="423" t="str">
        <f t="shared" si="33"/>
        <v/>
      </c>
    </row>
    <row r="2166" spans="4:31" x14ac:dyDescent="0.25">
      <c r="D2166" s="973" t="s">
        <v>990</v>
      </c>
      <c r="E2166" s="973" t="s">
        <v>991</v>
      </c>
      <c r="F2166" s="973" t="s">
        <v>992</v>
      </c>
      <c r="G2166" s="973" t="s">
        <v>1997</v>
      </c>
      <c r="H2166" s="973" t="s">
        <v>1998</v>
      </c>
      <c r="I2166" s="973" t="s">
        <v>1999</v>
      </c>
      <c r="J2166" s="973" t="s">
        <v>697</v>
      </c>
      <c r="K2166" s="973" t="s">
        <v>995</v>
      </c>
      <c r="L2166" s="973" t="s">
        <v>996</v>
      </c>
      <c r="M2166" s="973" t="s">
        <v>2000</v>
      </c>
      <c r="N2166" s="973" t="s">
        <v>2001</v>
      </c>
      <c r="O2166" s="973" t="s">
        <v>1971</v>
      </c>
      <c r="P2166" s="973" t="s">
        <v>999</v>
      </c>
      <c r="Q2166" s="973" t="s">
        <v>1000</v>
      </c>
      <c r="R2166" s="973" t="s">
        <v>1001</v>
      </c>
      <c r="S2166" s="973" t="s">
        <v>1002</v>
      </c>
      <c r="AE2166" s="423" t="str">
        <f t="shared" si="33"/>
        <v/>
      </c>
    </row>
    <row r="2167" spans="4:31" x14ac:dyDescent="0.25">
      <c r="D2167" s="973" t="s">
        <v>990</v>
      </c>
      <c r="E2167" s="973" t="s">
        <v>991</v>
      </c>
      <c r="F2167" s="973" t="s">
        <v>992</v>
      </c>
      <c r="G2167" s="973" t="s">
        <v>1997</v>
      </c>
      <c r="H2167" s="973" t="s">
        <v>1998</v>
      </c>
      <c r="I2167" s="973" t="s">
        <v>1999</v>
      </c>
      <c r="J2167" s="973" t="s">
        <v>697</v>
      </c>
      <c r="K2167" s="973" t="s">
        <v>995</v>
      </c>
      <c r="L2167" s="973" t="s">
        <v>996</v>
      </c>
      <c r="M2167" s="973" t="s">
        <v>2000</v>
      </c>
      <c r="N2167" s="973" t="s">
        <v>2001</v>
      </c>
      <c r="O2167" s="973" t="s">
        <v>1971</v>
      </c>
      <c r="P2167" s="973" t="s">
        <v>999</v>
      </c>
      <c r="Q2167" s="973" t="s">
        <v>1000</v>
      </c>
      <c r="R2167" s="973" t="s">
        <v>1001</v>
      </c>
      <c r="S2167" s="973" t="s">
        <v>1002</v>
      </c>
      <c r="AE2167" s="423" t="str">
        <f t="shared" si="33"/>
        <v/>
      </c>
    </row>
    <row r="2168" spans="4:31" x14ac:dyDescent="0.25">
      <c r="D2168" s="973" t="s">
        <v>990</v>
      </c>
      <c r="E2168" s="973" t="s">
        <v>991</v>
      </c>
      <c r="F2168" s="973" t="s">
        <v>992</v>
      </c>
      <c r="G2168" s="973" t="s">
        <v>1997</v>
      </c>
      <c r="H2168" s="973" t="s">
        <v>1998</v>
      </c>
      <c r="I2168" s="973" t="s">
        <v>1999</v>
      </c>
      <c r="J2168" s="973" t="s">
        <v>697</v>
      </c>
      <c r="K2168" s="973" t="s">
        <v>995</v>
      </c>
      <c r="L2168" s="973" t="s">
        <v>996</v>
      </c>
      <c r="M2168" s="973" t="s">
        <v>2000</v>
      </c>
      <c r="N2168" s="973" t="s">
        <v>2001</v>
      </c>
      <c r="O2168" s="973" t="s">
        <v>1971</v>
      </c>
      <c r="P2168" s="973" t="s">
        <v>999</v>
      </c>
      <c r="Q2168" s="973" t="s">
        <v>1000</v>
      </c>
      <c r="R2168" s="973" t="s">
        <v>1001</v>
      </c>
      <c r="S2168" s="973" t="s">
        <v>1002</v>
      </c>
      <c r="AE2168" s="423" t="str">
        <f t="shared" si="33"/>
        <v/>
      </c>
    </row>
    <row r="2169" spans="4:31" x14ac:dyDescent="0.25">
      <c r="D2169" s="973" t="s">
        <v>990</v>
      </c>
      <c r="E2169" s="973" t="s">
        <v>991</v>
      </c>
      <c r="F2169" s="973" t="s">
        <v>992</v>
      </c>
      <c r="G2169" s="973" t="s">
        <v>1997</v>
      </c>
      <c r="H2169" s="973" t="s">
        <v>1998</v>
      </c>
      <c r="I2169" s="973" t="s">
        <v>1999</v>
      </c>
      <c r="J2169" s="973" t="s">
        <v>697</v>
      </c>
      <c r="K2169" s="973" t="s">
        <v>995</v>
      </c>
      <c r="L2169" s="973" t="s">
        <v>996</v>
      </c>
      <c r="M2169" s="973" t="s">
        <v>2000</v>
      </c>
      <c r="N2169" s="973" t="s">
        <v>2001</v>
      </c>
      <c r="O2169" s="973" t="s">
        <v>1971</v>
      </c>
      <c r="P2169" s="973" t="s">
        <v>999</v>
      </c>
      <c r="Q2169" s="973" t="s">
        <v>1000</v>
      </c>
      <c r="R2169" s="973" t="s">
        <v>1001</v>
      </c>
      <c r="S2169" s="973" t="s">
        <v>1002</v>
      </c>
      <c r="AE2169" s="423" t="str">
        <f t="shared" si="33"/>
        <v/>
      </c>
    </row>
    <row r="2170" spans="4:31" x14ac:dyDescent="0.25">
      <c r="D2170" s="973" t="s">
        <v>990</v>
      </c>
      <c r="E2170" s="973" t="s">
        <v>991</v>
      </c>
      <c r="F2170" s="973" t="s">
        <v>992</v>
      </c>
      <c r="G2170" s="973" t="s">
        <v>1997</v>
      </c>
      <c r="H2170" s="973" t="s">
        <v>1998</v>
      </c>
      <c r="I2170" s="973" t="s">
        <v>1999</v>
      </c>
      <c r="J2170" s="973" t="s">
        <v>697</v>
      </c>
      <c r="K2170" s="973" t="s">
        <v>995</v>
      </c>
      <c r="L2170" s="973" t="s">
        <v>996</v>
      </c>
      <c r="M2170" s="973" t="s">
        <v>2000</v>
      </c>
      <c r="N2170" s="973" t="s">
        <v>2001</v>
      </c>
      <c r="O2170" s="973" t="s">
        <v>1971</v>
      </c>
      <c r="P2170" s="973" t="s">
        <v>999</v>
      </c>
      <c r="Q2170" s="973" t="s">
        <v>1000</v>
      </c>
      <c r="R2170" s="973" t="s">
        <v>1001</v>
      </c>
      <c r="S2170" s="973" t="s">
        <v>1002</v>
      </c>
      <c r="AE2170" s="423" t="str">
        <f t="shared" si="33"/>
        <v/>
      </c>
    </row>
    <row r="2171" spans="4:31" x14ac:dyDescent="0.25">
      <c r="D2171" s="973" t="s">
        <v>990</v>
      </c>
      <c r="E2171" s="973" t="s">
        <v>991</v>
      </c>
      <c r="F2171" s="973" t="s">
        <v>992</v>
      </c>
      <c r="G2171" s="973" t="s">
        <v>1997</v>
      </c>
      <c r="H2171" s="973" t="s">
        <v>1998</v>
      </c>
      <c r="I2171" s="973" t="s">
        <v>1999</v>
      </c>
      <c r="J2171" s="973" t="s">
        <v>697</v>
      </c>
      <c r="K2171" s="973" t="s">
        <v>995</v>
      </c>
      <c r="L2171" s="973" t="s">
        <v>996</v>
      </c>
      <c r="M2171" s="973" t="s">
        <v>2000</v>
      </c>
      <c r="N2171" s="973" t="s">
        <v>2001</v>
      </c>
      <c r="O2171" s="973" t="s">
        <v>1971</v>
      </c>
      <c r="P2171" s="973" t="s">
        <v>999</v>
      </c>
      <c r="Q2171" s="973" t="s">
        <v>1000</v>
      </c>
      <c r="R2171" s="973" t="s">
        <v>1001</v>
      </c>
      <c r="S2171" s="973" t="s">
        <v>1002</v>
      </c>
      <c r="AE2171" s="423" t="str">
        <f t="shared" si="33"/>
        <v/>
      </c>
    </row>
    <row r="2172" spans="4:31" x14ac:dyDescent="0.25">
      <c r="D2172" s="973" t="s">
        <v>990</v>
      </c>
      <c r="E2172" s="973" t="s">
        <v>991</v>
      </c>
      <c r="F2172" s="973" t="s">
        <v>992</v>
      </c>
      <c r="G2172" s="973" t="s">
        <v>1997</v>
      </c>
      <c r="H2172" s="973" t="s">
        <v>1998</v>
      </c>
      <c r="I2172" s="973" t="s">
        <v>1999</v>
      </c>
      <c r="J2172" s="973" t="s">
        <v>697</v>
      </c>
      <c r="K2172" s="973" t="s">
        <v>995</v>
      </c>
      <c r="L2172" s="973" t="s">
        <v>996</v>
      </c>
      <c r="M2172" s="973" t="s">
        <v>2000</v>
      </c>
      <c r="N2172" s="973" t="s">
        <v>2001</v>
      </c>
      <c r="O2172" s="973" t="s">
        <v>1971</v>
      </c>
      <c r="P2172" s="973" t="s">
        <v>999</v>
      </c>
      <c r="Q2172" s="973" t="s">
        <v>1000</v>
      </c>
      <c r="R2172" s="973" t="s">
        <v>1001</v>
      </c>
      <c r="S2172" s="973" t="s">
        <v>1002</v>
      </c>
      <c r="AE2172" s="423" t="str">
        <f t="shared" si="33"/>
        <v/>
      </c>
    </row>
    <row r="2173" spans="4:31" x14ac:dyDescent="0.25">
      <c r="D2173" s="973" t="s">
        <v>990</v>
      </c>
      <c r="E2173" s="973" t="s">
        <v>991</v>
      </c>
      <c r="F2173" s="973" t="s">
        <v>992</v>
      </c>
      <c r="G2173" s="973" t="s">
        <v>1997</v>
      </c>
      <c r="H2173" s="973" t="s">
        <v>1998</v>
      </c>
      <c r="I2173" s="973" t="s">
        <v>1999</v>
      </c>
      <c r="J2173" s="973" t="s">
        <v>697</v>
      </c>
      <c r="K2173" s="973" t="s">
        <v>995</v>
      </c>
      <c r="L2173" s="973" t="s">
        <v>996</v>
      </c>
      <c r="M2173" s="973" t="s">
        <v>2000</v>
      </c>
      <c r="N2173" s="973" t="s">
        <v>2001</v>
      </c>
      <c r="O2173" s="973" t="s">
        <v>1971</v>
      </c>
      <c r="P2173" s="973" t="s">
        <v>999</v>
      </c>
      <c r="Q2173" s="973" t="s">
        <v>1000</v>
      </c>
      <c r="R2173" s="973" t="s">
        <v>1001</v>
      </c>
      <c r="S2173" s="973" t="s">
        <v>1002</v>
      </c>
      <c r="AE2173" s="423" t="str">
        <f t="shared" si="33"/>
        <v/>
      </c>
    </row>
    <row r="2174" spans="4:31" x14ac:dyDescent="0.25">
      <c r="D2174" s="973" t="s">
        <v>990</v>
      </c>
      <c r="E2174" s="973" t="s">
        <v>991</v>
      </c>
      <c r="F2174" s="973" t="s">
        <v>992</v>
      </c>
      <c r="G2174" s="973" t="s">
        <v>1997</v>
      </c>
      <c r="H2174" s="973" t="s">
        <v>1998</v>
      </c>
      <c r="I2174" s="973" t="s">
        <v>1999</v>
      </c>
      <c r="J2174" s="973" t="s">
        <v>697</v>
      </c>
      <c r="K2174" s="973" t="s">
        <v>995</v>
      </c>
      <c r="L2174" s="973" t="s">
        <v>996</v>
      </c>
      <c r="M2174" s="973" t="s">
        <v>2000</v>
      </c>
      <c r="N2174" s="973" t="s">
        <v>2001</v>
      </c>
      <c r="O2174" s="973" t="s">
        <v>1971</v>
      </c>
      <c r="P2174" s="973" t="s">
        <v>999</v>
      </c>
      <c r="Q2174" s="973" t="s">
        <v>1000</v>
      </c>
      <c r="R2174" s="973" t="s">
        <v>1001</v>
      </c>
      <c r="S2174" s="973" t="s">
        <v>1002</v>
      </c>
      <c r="AE2174" s="423" t="str">
        <f t="shared" si="33"/>
        <v/>
      </c>
    </row>
    <row r="2175" spans="4:31" x14ac:dyDescent="0.25">
      <c r="D2175" s="973" t="s">
        <v>990</v>
      </c>
      <c r="E2175" s="973" t="s">
        <v>991</v>
      </c>
      <c r="F2175" s="973" t="s">
        <v>992</v>
      </c>
      <c r="G2175" s="973" t="s">
        <v>1997</v>
      </c>
      <c r="H2175" s="973" t="s">
        <v>1998</v>
      </c>
      <c r="I2175" s="973" t="s">
        <v>1999</v>
      </c>
      <c r="J2175" s="973" t="s">
        <v>697</v>
      </c>
      <c r="K2175" s="973" t="s">
        <v>995</v>
      </c>
      <c r="L2175" s="973" t="s">
        <v>996</v>
      </c>
      <c r="M2175" s="973" t="s">
        <v>2000</v>
      </c>
      <c r="N2175" s="973" t="s">
        <v>2001</v>
      </c>
      <c r="O2175" s="973" t="s">
        <v>1971</v>
      </c>
      <c r="P2175" s="973" t="s">
        <v>999</v>
      </c>
      <c r="Q2175" s="973" t="s">
        <v>1000</v>
      </c>
      <c r="R2175" s="973" t="s">
        <v>1001</v>
      </c>
      <c r="S2175" s="973" t="s">
        <v>1002</v>
      </c>
      <c r="AE2175" s="423" t="str">
        <f t="shared" si="33"/>
        <v/>
      </c>
    </row>
    <row r="2176" spans="4:31" x14ac:dyDescent="0.25">
      <c r="D2176" s="973" t="s">
        <v>990</v>
      </c>
      <c r="E2176" s="973" t="s">
        <v>991</v>
      </c>
      <c r="F2176" s="973" t="s">
        <v>992</v>
      </c>
      <c r="G2176" s="973" t="s">
        <v>1997</v>
      </c>
      <c r="H2176" s="973" t="s">
        <v>1998</v>
      </c>
      <c r="I2176" s="973" t="s">
        <v>1999</v>
      </c>
      <c r="J2176" s="973" t="s">
        <v>697</v>
      </c>
      <c r="K2176" s="973" t="s">
        <v>995</v>
      </c>
      <c r="L2176" s="973" t="s">
        <v>996</v>
      </c>
      <c r="M2176" s="973" t="s">
        <v>2000</v>
      </c>
      <c r="N2176" s="973" t="s">
        <v>2001</v>
      </c>
      <c r="O2176" s="973" t="s">
        <v>1971</v>
      </c>
      <c r="P2176" s="973" t="s">
        <v>999</v>
      </c>
      <c r="Q2176" s="973" t="s">
        <v>1000</v>
      </c>
      <c r="R2176" s="973" t="s">
        <v>1001</v>
      </c>
      <c r="S2176" s="973" t="s">
        <v>1002</v>
      </c>
      <c r="AE2176" s="423" t="str">
        <f t="shared" si="33"/>
        <v/>
      </c>
    </row>
    <row r="2177" spans="4:31" x14ac:dyDescent="0.25">
      <c r="D2177" s="973" t="s">
        <v>990</v>
      </c>
      <c r="E2177" s="973" t="s">
        <v>991</v>
      </c>
      <c r="F2177" s="973" t="s">
        <v>992</v>
      </c>
      <c r="G2177" s="973" t="s">
        <v>1997</v>
      </c>
      <c r="H2177" s="973" t="s">
        <v>1998</v>
      </c>
      <c r="I2177" s="973" t="s">
        <v>1999</v>
      </c>
      <c r="J2177" s="973" t="s">
        <v>697</v>
      </c>
      <c r="K2177" s="973" t="s">
        <v>995</v>
      </c>
      <c r="L2177" s="973" t="s">
        <v>996</v>
      </c>
      <c r="M2177" s="973" t="s">
        <v>2000</v>
      </c>
      <c r="N2177" s="973" t="s">
        <v>2001</v>
      </c>
      <c r="O2177" s="973" t="s">
        <v>1971</v>
      </c>
      <c r="P2177" s="973" t="s">
        <v>999</v>
      </c>
      <c r="Q2177" s="973" t="s">
        <v>1000</v>
      </c>
      <c r="R2177" s="973" t="s">
        <v>1001</v>
      </c>
      <c r="S2177" s="973" t="s">
        <v>1002</v>
      </c>
      <c r="AE2177" s="423" t="str">
        <f t="shared" si="33"/>
        <v/>
      </c>
    </row>
    <row r="2178" spans="4:31" x14ac:dyDescent="0.25">
      <c r="D2178" s="973" t="s">
        <v>990</v>
      </c>
      <c r="E2178" s="973" t="s">
        <v>991</v>
      </c>
      <c r="F2178" s="973" t="s">
        <v>992</v>
      </c>
      <c r="G2178" s="973" t="s">
        <v>1997</v>
      </c>
      <c r="H2178" s="973" t="s">
        <v>1998</v>
      </c>
      <c r="I2178" s="973" t="s">
        <v>1999</v>
      </c>
      <c r="J2178" s="973" t="s">
        <v>697</v>
      </c>
      <c r="K2178" s="973" t="s">
        <v>995</v>
      </c>
      <c r="L2178" s="973" t="s">
        <v>996</v>
      </c>
      <c r="M2178" s="973" t="s">
        <v>2000</v>
      </c>
      <c r="N2178" s="973" t="s">
        <v>2001</v>
      </c>
      <c r="O2178" s="973" t="s">
        <v>1971</v>
      </c>
      <c r="P2178" s="973" t="s">
        <v>999</v>
      </c>
      <c r="Q2178" s="973" t="s">
        <v>1000</v>
      </c>
      <c r="R2178" s="973" t="s">
        <v>1001</v>
      </c>
      <c r="S2178" s="973" t="s">
        <v>1002</v>
      </c>
      <c r="AE2178" s="423" t="str">
        <f t="shared" si="33"/>
        <v/>
      </c>
    </row>
    <row r="2179" spans="4:31" x14ac:dyDescent="0.25">
      <c r="D2179" s="973" t="s">
        <v>990</v>
      </c>
      <c r="E2179" s="973" t="s">
        <v>991</v>
      </c>
      <c r="F2179" s="973" t="s">
        <v>992</v>
      </c>
      <c r="G2179" s="973" t="s">
        <v>1997</v>
      </c>
      <c r="H2179" s="973" t="s">
        <v>1998</v>
      </c>
      <c r="I2179" s="973" t="s">
        <v>1999</v>
      </c>
      <c r="J2179" s="973" t="s">
        <v>697</v>
      </c>
      <c r="K2179" s="973" t="s">
        <v>995</v>
      </c>
      <c r="L2179" s="973" t="s">
        <v>996</v>
      </c>
      <c r="M2179" s="973" t="s">
        <v>2000</v>
      </c>
      <c r="N2179" s="973" t="s">
        <v>2001</v>
      </c>
      <c r="O2179" s="973" t="s">
        <v>1971</v>
      </c>
      <c r="P2179" s="973" t="s">
        <v>999</v>
      </c>
      <c r="Q2179" s="973" t="s">
        <v>1000</v>
      </c>
      <c r="R2179" s="973" t="s">
        <v>1001</v>
      </c>
      <c r="S2179" s="973" t="s">
        <v>1002</v>
      </c>
      <c r="AE2179" s="423" t="str">
        <f t="shared" ref="AE2179:AE2242" si="34">B2179&amp;C2179</f>
        <v/>
      </c>
    </row>
    <row r="2180" spans="4:31" x14ac:dyDescent="0.25">
      <c r="D2180" s="973" t="s">
        <v>990</v>
      </c>
      <c r="E2180" s="973" t="s">
        <v>991</v>
      </c>
      <c r="F2180" s="973" t="s">
        <v>992</v>
      </c>
      <c r="G2180" s="973" t="s">
        <v>1997</v>
      </c>
      <c r="H2180" s="973" t="s">
        <v>1998</v>
      </c>
      <c r="I2180" s="973" t="s">
        <v>1999</v>
      </c>
      <c r="J2180" s="973" t="s">
        <v>697</v>
      </c>
      <c r="K2180" s="973" t="s">
        <v>995</v>
      </c>
      <c r="L2180" s="973" t="s">
        <v>996</v>
      </c>
      <c r="M2180" s="973" t="s">
        <v>2000</v>
      </c>
      <c r="N2180" s="973" t="s">
        <v>2001</v>
      </c>
      <c r="O2180" s="973" t="s">
        <v>1971</v>
      </c>
      <c r="P2180" s="973" t="s">
        <v>999</v>
      </c>
      <c r="Q2180" s="973" t="s">
        <v>1000</v>
      </c>
      <c r="R2180" s="973" t="s">
        <v>1001</v>
      </c>
      <c r="S2180" s="973" t="s">
        <v>1002</v>
      </c>
      <c r="AE2180" s="423" t="str">
        <f t="shared" si="34"/>
        <v/>
      </c>
    </row>
    <row r="2181" spans="4:31" x14ac:dyDescent="0.25">
      <c r="D2181" s="973" t="s">
        <v>990</v>
      </c>
      <c r="E2181" s="973" t="s">
        <v>991</v>
      </c>
      <c r="F2181" s="973" t="s">
        <v>992</v>
      </c>
      <c r="G2181" s="973" t="s">
        <v>1997</v>
      </c>
      <c r="H2181" s="973" t="s">
        <v>1998</v>
      </c>
      <c r="I2181" s="973" t="s">
        <v>1999</v>
      </c>
      <c r="J2181" s="973" t="s">
        <v>697</v>
      </c>
      <c r="K2181" s="973" t="s">
        <v>995</v>
      </c>
      <c r="L2181" s="973" t="s">
        <v>996</v>
      </c>
      <c r="M2181" s="973" t="s">
        <v>2000</v>
      </c>
      <c r="N2181" s="973" t="s">
        <v>2001</v>
      </c>
      <c r="O2181" s="973" t="s">
        <v>1971</v>
      </c>
      <c r="P2181" s="973" t="s">
        <v>999</v>
      </c>
      <c r="Q2181" s="973" t="s">
        <v>1000</v>
      </c>
      <c r="R2181" s="973" t="s">
        <v>1001</v>
      </c>
      <c r="S2181" s="973" t="s">
        <v>1002</v>
      </c>
      <c r="AE2181" s="423" t="str">
        <f t="shared" si="34"/>
        <v/>
      </c>
    </row>
    <row r="2182" spans="4:31" x14ac:dyDescent="0.25">
      <c r="D2182" s="973" t="s">
        <v>990</v>
      </c>
      <c r="E2182" s="973" t="s">
        <v>991</v>
      </c>
      <c r="F2182" s="973" t="s">
        <v>992</v>
      </c>
      <c r="G2182" s="973" t="s">
        <v>1997</v>
      </c>
      <c r="H2182" s="973" t="s">
        <v>1998</v>
      </c>
      <c r="I2182" s="973" t="s">
        <v>1999</v>
      </c>
      <c r="J2182" s="973" t="s">
        <v>697</v>
      </c>
      <c r="K2182" s="973" t="s">
        <v>995</v>
      </c>
      <c r="L2182" s="973" t="s">
        <v>996</v>
      </c>
      <c r="M2182" s="973" t="s">
        <v>2000</v>
      </c>
      <c r="N2182" s="973" t="s">
        <v>2001</v>
      </c>
      <c r="O2182" s="973" t="s">
        <v>1971</v>
      </c>
      <c r="P2182" s="973" t="s">
        <v>999</v>
      </c>
      <c r="Q2182" s="973" t="s">
        <v>1000</v>
      </c>
      <c r="R2182" s="973" t="s">
        <v>1001</v>
      </c>
      <c r="S2182" s="973" t="s">
        <v>1002</v>
      </c>
      <c r="AE2182" s="423" t="str">
        <f t="shared" si="34"/>
        <v/>
      </c>
    </row>
    <row r="2183" spans="4:31" x14ac:dyDescent="0.25">
      <c r="D2183" s="973" t="s">
        <v>990</v>
      </c>
      <c r="E2183" s="973" t="s">
        <v>991</v>
      </c>
      <c r="F2183" s="973" t="s">
        <v>992</v>
      </c>
      <c r="G2183" s="973" t="s">
        <v>1997</v>
      </c>
      <c r="H2183" s="973" t="s">
        <v>1998</v>
      </c>
      <c r="I2183" s="973" t="s">
        <v>1999</v>
      </c>
      <c r="J2183" s="973" t="s">
        <v>697</v>
      </c>
      <c r="K2183" s="973" t="s">
        <v>995</v>
      </c>
      <c r="L2183" s="973" t="s">
        <v>996</v>
      </c>
      <c r="M2183" s="973" t="s">
        <v>2000</v>
      </c>
      <c r="N2183" s="973" t="s">
        <v>2001</v>
      </c>
      <c r="O2183" s="973" t="s">
        <v>1971</v>
      </c>
      <c r="P2183" s="973" t="s">
        <v>999</v>
      </c>
      <c r="Q2183" s="973" t="s">
        <v>1000</v>
      </c>
      <c r="R2183" s="973" t="s">
        <v>1001</v>
      </c>
      <c r="S2183" s="973" t="s">
        <v>1002</v>
      </c>
      <c r="AE2183" s="423" t="str">
        <f t="shared" si="34"/>
        <v/>
      </c>
    </row>
    <row r="2184" spans="4:31" x14ac:dyDescent="0.25">
      <c r="D2184" s="973" t="s">
        <v>990</v>
      </c>
      <c r="E2184" s="973" t="s">
        <v>991</v>
      </c>
      <c r="F2184" s="973" t="s">
        <v>992</v>
      </c>
      <c r="G2184" s="973" t="s">
        <v>1997</v>
      </c>
      <c r="H2184" s="973" t="s">
        <v>1998</v>
      </c>
      <c r="I2184" s="973" t="s">
        <v>1999</v>
      </c>
      <c r="J2184" s="973" t="s">
        <v>697</v>
      </c>
      <c r="K2184" s="973" t="s">
        <v>995</v>
      </c>
      <c r="L2184" s="973" t="s">
        <v>996</v>
      </c>
      <c r="M2184" s="973" t="s">
        <v>2000</v>
      </c>
      <c r="N2184" s="973" t="s">
        <v>2001</v>
      </c>
      <c r="O2184" s="973" t="s">
        <v>1971</v>
      </c>
      <c r="P2184" s="973" t="s">
        <v>999</v>
      </c>
      <c r="Q2184" s="973" t="s">
        <v>1000</v>
      </c>
      <c r="R2184" s="973" t="s">
        <v>1001</v>
      </c>
      <c r="S2184" s="973" t="s">
        <v>1002</v>
      </c>
      <c r="AE2184" s="423" t="str">
        <f t="shared" si="34"/>
        <v/>
      </c>
    </row>
    <row r="2185" spans="4:31" x14ac:dyDescent="0.25">
      <c r="D2185" s="973" t="s">
        <v>990</v>
      </c>
      <c r="E2185" s="973" t="s">
        <v>991</v>
      </c>
      <c r="F2185" s="973" t="s">
        <v>992</v>
      </c>
      <c r="G2185" s="973" t="s">
        <v>1997</v>
      </c>
      <c r="H2185" s="973" t="s">
        <v>1998</v>
      </c>
      <c r="I2185" s="973" t="s">
        <v>1999</v>
      </c>
      <c r="J2185" s="973" t="s">
        <v>697</v>
      </c>
      <c r="K2185" s="973" t="s">
        <v>995</v>
      </c>
      <c r="L2185" s="973" t="s">
        <v>996</v>
      </c>
      <c r="M2185" s="973" t="s">
        <v>2000</v>
      </c>
      <c r="N2185" s="973" t="s">
        <v>2001</v>
      </c>
      <c r="O2185" s="973" t="s">
        <v>1971</v>
      </c>
      <c r="P2185" s="973" t="s">
        <v>999</v>
      </c>
      <c r="Q2185" s="973" t="s">
        <v>1000</v>
      </c>
      <c r="R2185" s="973" t="s">
        <v>1001</v>
      </c>
      <c r="S2185" s="973" t="s">
        <v>1002</v>
      </c>
      <c r="AE2185" s="423" t="str">
        <f t="shared" si="34"/>
        <v/>
      </c>
    </row>
    <row r="2186" spans="4:31" x14ac:dyDescent="0.25">
      <c r="D2186" s="973" t="s">
        <v>990</v>
      </c>
      <c r="E2186" s="973" t="s">
        <v>991</v>
      </c>
      <c r="F2186" s="973" t="s">
        <v>992</v>
      </c>
      <c r="G2186" s="973" t="s">
        <v>1997</v>
      </c>
      <c r="H2186" s="973" t="s">
        <v>1998</v>
      </c>
      <c r="I2186" s="973" t="s">
        <v>1999</v>
      </c>
      <c r="J2186" s="973" t="s">
        <v>697</v>
      </c>
      <c r="K2186" s="973" t="s">
        <v>995</v>
      </c>
      <c r="L2186" s="973" t="s">
        <v>996</v>
      </c>
      <c r="M2186" s="973" t="s">
        <v>2000</v>
      </c>
      <c r="N2186" s="973" t="s">
        <v>2001</v>
      </c>
      <c r="O2186" s="973" t="s">
        <v>1971</v>
      </c>
      <c r="P2186" s="973" t="s">
        <v>999</v>
      </c>
      <c r="Q2186" s="973" t="s">
        <v>1000</v>
      </c>
      <c r="R2186" s="973" t="s">
        <v>1001</v>
      </c>
      <c r="S2186" s="973" t="s">
        <v>1002</v>
      </c>
      <c r="AE2186" s="423" t="str">
        <f t="shared" si="34"/>
        <v/>
      </c>
    </row>
    <row r="2187" spans="4:31" x14ac:dyDescent="0.25">
      <c r="D2187" s="973" t="s">
        <v>990</v>
      </c>
      <c r="E2187" s="973" t="s">
        <v>991</v>
      </c>
      <c r="F2187" s="973" t="s">
        <v>992</v>
      </c>
      <c r="G2187" s="973" t="s">
        <v>1997</v>
      </c>
      <c r="H2187" s="973" t="s">
        <v>1998</v>
      </c>
      <c r="I2187" s="973" t="s">
        <v>1999</v>
      </c>
      <c r="J2187" s="973" t="s">
        <v>697</v>
      </c>
      <c r="K2187" s="973" t="s">
        <v>995</v>
      </c>
      <c r="L2187" s="973" t="s">
        <v>996</v>
      </c>
      <c r="M2187" s="973" t="s">
        <v>2000</v>
      </c>
      <c r="N2187" s="973" t="s">
        <v>2001</v>
      </c>
      <c r="O2187" s="973" t="s">
        <v>1971</v>
      </c>
      <c r="P2187" s="973" t="s">
        <v>999</v>
      </c>
      <c r="Q2187" s="973" t="s">
        <v>1000</v>
      </c>
      <c r="R2187" s="973" t="s">
        <v>1001</v>
      </c>
      <c r="S2187" s="973" t="s">
        <v>1002</v>
      </c>
      <c r="AE2187" s="423" t="str">
        <f t="shared" si="34"/>
        <v/>
      </c>
    </row>
    <row r="2188" spans="4:31" x14ac:dyDescent="0.25">
      <c r="D2188" s="973" t="s">
        <v>990</v>
      </c>
      <c r="E2188" s="973" t="s">
        <v>991</v>
      </c>
      <c r="F2188" s="973" t="s">
        <v>992</v>
      </c>
      <c r="G2188" s="973" t="s">
        <v>1997</v>
      </c>
      <c r="H2188" s="973" t="s">
        <v>1998</v>
      </c>
      <c r="I2188" s="973" t="s">
        <v>1999</v>
      </c>
      <c r="J2188" s="973" t="s">
        <v>697</v>
      </c>
      <c r="K2188" s="973" t="s">
        <v>995</v>
      </c>
      <c r="L2188" s="973" t="s">
        <v>996</v>
      </c>
      <c r="M2188" s="973" t="s">
        <v>2000</v>
      </c>
      <c r="N2188" s="973" t="s">
        <v>2001</v>
      </c>
      <c r="O2188" s="973" t="s">
        <v>1971</v>
      </c>
      <c r="P2188" s="973" t="s">
        <v>999</v>
      </c>
      <c r="Q2188" s="973" t="s">
        <v>1000</v>
      </c>
      <c r="R2188" s="973" t="s">
        <v>1001</v>
      </c>
      <c r="S2188" s="973" t="s">
        <v>1002</v>
      </c>
      <c r="AE2188" s="423" t="str">
        <f t="shared" si="34"/>
        <v/>
      </c>
    </row>
    <row r="2189" spans="4:31" x14ac:dyDescent="0.25">
      <c r="D2189" s="973" t="s">
        <v>990</v>
      </c>
      <c r="E2189" s="973" t="s">
        <v>991</v>
      </c>
      <c r="F2189" s="973" t="s">
        <v>992</v>
      </c>
      <c r="G2189" s="973" t="s">
        <v>1997</v>
      </c>
      <c r="H2189" s="973" t="s">
        <v>1998</v>
      </c>
      <c r="I2189" s="973" t="s">
        <v>1999</v>
      </c>
      <c r="J2189" s="973" t="s">
        <v>697</v>
      </c>
      <c r="K2189" s="973" t="s">
        <v>995</v>
      </c>
      <c r="L2189" s="973" t="s">
        <v>996</v>
      </c>
      <c r="M2189" s="973" t="s">
        <v>2000</v>
      </c>
      <c r="N2189" s="973" t="s">
        <v>2001</v>
      </c>
      <c r="O2189" s="973" t="s">
        <v>1971</v>
      </c>
      <c r="P2189" s="973" t="s">
        <v>999</v>
      </c>
      <c r="Q2189" s="973" t="s">
        <v>1000</v>
      </c>
      <c r="R2189" s="973" t="s">
        <v>1001</v>
      </c>
      <c r="S2189" s="973" t="s">
        <v>1002</v>
      </c>
      <c r="AE2189" s="423" t="str">
        <f t="shared" si="34"/>
        <v/>
      </c>
    </row>
    <row r="2190" spans="4:31" x14ac:dyDescent="0.25">
      <c r="D2190" s="973" t="s">
        <v>990</v>
      </c>
      <c r="E2190" s="973" t="s">
        <v>991</v>
      </c>
      <c r="F2190" s="973" t="s">
        <v>992</v>
      </c>
      <c r="G2190" s="973" t="s">
        <v>1997</v>
      </c>
      <c r="H2190" s="973" t="s">
        <v>1998</v>
      </c>
      <c r="I2190" s="973" t="s">
        <v>1999</v>
      </c>
      <c r="J2190" s="973" t="s">
        <v>697</v>
      </c>
      <c r="K2190" s="973" t="s">
        <v>995</v>
      </c>
      <c r="L2190" s="973" t="s">
        <v>996</v>
      </c>
      <c r="M2190" s="973" t="s">
        <v>2000</v>
      </c>
      <c r="N2190" s="973" t="s">
        <v>2001</v>
      </c>
      <c r="O2190" s="973" t="s">
        <v>1971</v>
      </c>
      <c r="P2190" s="973" t="s">
        <v>999</v>
      </c>
      <c r="Q2190" s="973" t="s">
        <v>1000</v>
      </c>
      <c r="R2190" s="973" t="s">
        <v>1001</v>
      </c>
      <c r="S2190" s="973" t="s">
        <v>1002</v>
      </c>
      <c r="AE2190" s="423" t="str">
        <f t="shared" si="34"/>
        <v/>
      </c>
    </row>
    <row r="2191" spans="4:31" x14ac:dyDescent="0.25">
      <c r="D2191" s="973" t="s">
        <v>990</v>
      </c>
      <c r="E2191" s="973" t="s">
        <v>991</v>
      </c>
      <c r="F2191" s="973" t="s">
        <v>992</v>
      </c>
      <c r="G2191" s="973" t="s">
        <v>1997</v>
      </c>
      <c r="H2191" s="973" t="s">
        <v>1998</v>
      </c>
      <c r="I2191" s="973" t="s">
        <v>1999</v>
      </c>
      <c r="J2191" s="973" t="s">
        <v>697</v>
      </c>
      <c r="K2191" s="973" t="s">
        <v>995</v>
      </c>
      <c r="L2191" s="973" t="s">
        <v>996</v>
      </c>
      <c r="M2191" s="973" t="s">
        <v>2000</v>
      </c>
      <c r="N2191" s="973" t="s">
        <v>2001</v>
      </c>
      <c r="O2191" s="973" t="s">
        <v>1971</v>
      </c>
      <c r="P2191" s="973" t="s">
        <v>999</v>
      </c>
      <c r="Q2191" s="973" t="s">
        <v>1000</v>
      </c>
      <c r="R2191" s="973" t="s">
        <v>1001</v>
      </c>
      <c r="S2191" s="973" t="s">
        <v>1002</v>
      </c>
      <c r="AE2191" s="423" t="str">
        <f t="shared" si="34"/>
        <v/>
      </c>
    </row>
    <row r="2192" spans="4:31" x14ac:dyDescent="0.25">
      <c r="D2192" s="973" t="s">
        <v>990</v>
      </c>
      <c r="E2192" s="973" t="s">
        <v>991</v>
      </c>
      <c r="F2192" s="973" t="s">
        <v>992</v>
      </c>
      <c r="G2192" s="973" t="s">
        <v>1997</v>
      </c>
      <c r="H2192" s="973" t="s">
        <v>1998</v>
      </c>
      <c r="I2192" s="973" t="s">
        <v>1999</v>
      </c>
      <c r="J2192" s="973" t="s">
        <v>697</v>
      </c>
      <c r="K2192" s="973" t="s">
        <v>995</v>
      </c>
      <c r="L2192" s="973" t="s">
        <v>996</v>
      </c>
      <c r="M2192" s="973" t="s">
        <v>2000</v>
      </c>
      <c r="N2192" s="973" t="s">
        <v>2001</v>
      </c>
      <c r="O2192" s="973" t="s">
        <v>1971</v>
      </c>
      <c r="P2192" s="973" t="s">
        <v>999</v>
      </c>
      <c r="Q2192" s="973" t="s">
        <v>1000</v>
      </c>
      <c r="R2192" s="973" t="s">
        <v>1001</v>
      </c>
      <c r="S2192" s="973" t="s">
        <v>1002</v>
      </c>
      <c r="AE2192" s="423" t="str">
        <f t="shared" si="34"/>
        <v/>
      </c>
    </row>
    <row r="2193" spans="4:31" x14ac:dyDescent="0.25">
      <c r="D2193" s="973" t="s">
        <v>990</v>
      </c>
      <c r="E2193" s="973" t="s">
        <v>991</v>
      </c>
      <c r="F2193" s="973" t="s">
        <v>992</v>
      </c>
      <c r="G2193" s="973" t="s">
        <v>1997</v>
      </c>
      <c r="H2193" s="973" t="s">
        <v>1998</v>
      </c>
      <c r="I2193" s="973" t="s">
        <v>1999</v>
      </c>
      <c r="J2193" s="973" t="s">
        <v>697</v>
      </c>
      <c r="K2193" s="973" t="s">
        <v>995</v>
      </c>
      <c r="L2193" s="973" t="s">
        <v>996</v>
      </c>
      <c r="M2193" s="973" t="s">
        <v>2000</v>
      </c>
      <c r="N2193" s="973" t="s">
        <v>2001</v>
      </c>
      <c r="O2193" s="973" t="s">
        <v>1971</v>
      </c>
      <c r="P2193" s="973" t="s">
        <v>999</v>
      </c>
      <c r="Q2193" s="973" t="s">
        <v>1000</v>
      </c>
      <c r="R2193" s="973" t="s">
        <v>1001</v>
      </c>
      <c r="S2193" s="973" t="s">
        <v>1002</v>
      </c>
      <c r="AE2193" s="423" t="str">
        <f t="shared" si="34"/>
        <v/>
      </c>
    </row>
    <row r="2194" spans="4:31" x14ac:dyDescent="0.25">
      <c r="D2194" s="973" t="s">
        <v>990</v>
      </c>
      <c r="E2194" s="973" t="s">
        <v>991</v>
      </c>
      <c r="F2194" s="973" t="s">
        <v>992</v>
      </c>
      <c r="G2194" s="973" t="s">
        <v>1997</v>
      </c>
      <c r="H2194" s="973" t="s">
        <v>1998</v>
      </c>
      <c r="I2194" s="973" t="s">
        <v>1999</v>
      </c>
      <c r="J2194" s="973" t="s">
        <v>697</v>
      </c>
      <c r="K2194" s="973" t="s">
        <v>995</v>
      </c>
      <c r="L2194" s="973" t="s">
        <v>996</v>
      </c>
      <c r="M2194" s="973" t="s">
        <v>2000</v>
      </c>
      <c r="N2194" s="973" t="s">
        <v>2001</v>
      </c>
      <c r="O2194" s="973" t="s">
        <v>1971</v>
      </c>
      <c r="P2194" s="973" t="s">
        <v>999</v>
      </c>
      <c r="Q2194" s="973" t="s">
        <v>1000</v>
      </c>
      <c r="R2194" s="973" t="s">
        <v>1001</v>
      </c>
      <c r="S2194" s="973" t="s">
        <v>1002</v>
      </c>
      <c r="AE2194" s="423" t="str">
        <f t="shared" si="34"/>
        <v/>
      </c>
    </row>
    <row r="2195" spans="4:31" x14ac:dyDescent="0.25">
      <c r="D2195" s="973" t="s">
        <v>990</v>
      </c>
      <c r="E2195" s="973" t="s">
        <v>991</v>
      </c>
      <c r="F2195" s="973" t="s">
        <v>992</v>
      </c>
      <c r="G2195" s="973" t="s">
        <v>1997</v>
      </c>
      <c r="H2195" s="973" t="s">
        <v>1998</v>
      </c>
      <c r="I2195" s="973" t="s">
        <v>1999</v>
      </c>
      <c r="J2195" s="973" t="s">
        <v>697</v>
      </c>
      <c r="K2195" s="973" t="s">
        <v>995</v>
      </c>
      <c r="L2195" s="973" t="s">
        <v>996</v>
      </c>
      <c r="M2195" s="973" t="s">
        <v>2000</v>
      </c>
      <c r="N2195" s="973" t="s">
        <v>2001</v>
      </c>
      <c r="O2195" s="973" t="s">
        <v>1971</v>
      </c>
      <c r="P2195" s="973" t="s">
        <v>999</v>
      </c>
      <c r="Q2195" s="973" t="s">
        <v>1000</v>
      </c>
      <c r="R2195" s="973" t="s">
        <v>1001</v>
      </c>
      <c r="S2195" s="973" t="s">
        <v>1002</v>
      </c>
      <c r="AE2195" s="423" t="str">
        <f t="shared" si="34"/>
        <v/>
      </c>
    </row>
    <row r="2196" spans="4:31" x14ac:dyDescent="0.25">
      <c r="D2196" s="973" t="s">
        <v>990</v>
      </c>
      <c r="E2196" s="973" t="s">
        <v>991</v>
      </c>
      <c r="F2196" s="973" t="s">
        <v>992</v>
      </c>
      <c r="G2196" s="973" t="s">
        <v>1997</v>
      </c>
      <c r="H2196" s="973" t="s">
        <v>1998</v>
      </c>
      <c r="I2196" s="973" t="s">
        <v>1999</v>
      </c>
      <c r="J2196" s="973" t="s">
        <v>697</v>
      </c>
      <c r="K2196" s="973" t="s">
        <v>995</v>
      </c>
      <c r="L2196" s="973" t="s">
        <v>996</v>
      </c>
      <c r="M2196" s="973" t="s">
        <v>2000</v>
      </c>
      <c r="N2196" s="973" t="s">
        <v>2001</v>
      </c>
      <c r="O2196" s="973" t="s">
        <v>1971</v>
      </c>
      <c r="P2196" s="973" t="s">
        <v>999</v>
      </c>
      <c r="Q2196" s="973" t="s">
        <v>1000</v>
      </c>
      <c r="R2196" s="973" t="s">
        <v>1001</v>
      </c>
      <c r="S2196" s="973" t="s">
        <v>1002</v>
      </c>
      <c r="AE2196" s="423" t="str">
        <f t="shared" si="34"/>
        <v/>
      </c>
    </row>
    <row r="2197" spans="4:31" x14ac:dyDescent="0.25">
      <c r="D2197" s="973" t="s">
        <v>990</v>
      </c>
      <c r="E2197" s="973" t="s">
        <v>991</v>
      </c>
      <c r="F2197" s="973" t="s">
        <v>992</v>
      </c>
      <c r="G2197" s="973" t="s">
        <v>1997</v>
      </c>
      <c r="H2197" s="973" t="s">
        <v>1998</v>
      </c>
      <c r="I2197" s="973" t="s">
        <v>1999</v>
      </c>
      <c r="J2197" s="973" t="s">
        <v>697</v>
      </c>
      <c r="K2197" s="973" t="s">
        <v>995</v>
      </c>
      <c r="L2197" s="973" t="s">
        <v>996</v>
      </c>
      <c r="M2197" s="973" t="s">
        <v>2000</v>
      </c>
      <c r="N2197" s="973" t="s">
        <v>2001</v>
      </c>
      <c r="O2197" s="973" t="s">
        <v>1971</v>
      </c>
      <c r="P2197" s="973" t="s">
        <v>999</v>
      </c>
      <c r="Q2197" s="973" t="s">
        <v>1000</v>
      </c>
      <c r="R2197" s="973" t="s">
        <v>1001</v>
      </c>
      <c r="S2197" s="973" t="s">
        <v>1002</v>
      </c>
      <c r="AE2197" s="423" t="str">
        <f t="shared" si="34"/>
        <v/>
      </c>
    </row>
    <row r="2198" spans="4:31" x14ac:dyDescent="0.25">
      <c r="D2198" s="973" t="s">
        <v>990</v>
      </c>
      <c r="E2198" s="973" t="s">
        <v>991</v>
      </c>
      <c r="F2198" s="973" t="s">
        <v>992</v>
      </c>
      <c r="G2198" s="973" t="s">
        <v>1997</v>
      </c>
      <c r="H2198" s="973" t="s">
        <v>1998</v>
      </c>
      <c r="I2198" s="973" t="s">
        <v>1999</v>
      </c>
      <c r="J2198" s="973" t="s">
        <v>697</v>
      </c>
      <c r="K2198" s="973" t="s">
        <v>995</v>
      </c>
      <c r="L2198" s="973" t="s">
        <v>996</v>
      </c>
      <c r="M2198" s="973" t="s">
        <v>2000</v>
      </c>
      <c r="N2198" s="973" t="s">
        <v>2001</v>
      </c>
      <c r="O2198" s="973" t="s">
        <v>1971</v>
      </c>
      <c r="P2198" s="973" t="s">
        <v>999</v>
      </c>
      <c r="Q2198" s="973" t="s">
        <v>1000</v>
      </c>
      <c r="R2198" s="973" t="s">
        <v>1001</v>
      </c>
      <c r="S2198" s="973" t="s">
        <v>1002</v>
      </c>
      <c r="AE2198" s="423" t="str">
        <f t="shared" si="34"/>
        <v/>
      </c>
    </row>
    <row r="2199" spans="4:31" x14ac:dyDescent="0.25">
      <c r="D2199" s="973" t="s">
        <v>990</v>
      </c>
      <c r="E2199" s="973" t="s">
        <v>991</v>
      </c>
      <c r="F2199" s="973" t="s">
        <v>992</v>
      </c>
      <c r="G2199" s="973" t="s">
        <v>1997</v>
      </c>
      <c r="H2199" s="973" t="s">
        <v>1998</v>
      </c>
      <c r="I2199" s="973" t="s">
        <v>1999</v>
      </c>
      <c r="J2199" s="973" t="s">
        <v>697</v>
      </c>
      <c r="K2199" s="973" t="s">
        <v>995</v>
      </c>
      <c r="L2199" s="973" t="s">
        <v>996</v>
      </c>
      <c r="M2199" s="973" t="s">
        <v>2000</v>
      </c>
      <c r="N2199" s="973" t="s">
        <v>2001</v>
      </c>
      <c r="O2199" s="973" t="s">
        <v>1971</v>
      </c>
      <c r="P2199" s="973" t="s">
        <v>999</v>
      </c>
      <c r="Q2199" s="973" t="s">
        <v>1000</v>
      </c>
      <c r="R2199" s="973" t="s">
        <v>1001</v>
      </c>
      <c r="S2199" s="973" t="s">
        <v>1002</v>
      </c>
      <c r="AE2199" s="423" t="str">
        <f t="shared" si="34"/>
        <v/>
      </c>
    </row>
    <row r="2200" spans="4:31" x14ac:dyDescent="0.25">
      <c r="D2200" s="973" t="s">
        <v>990</v>
      </c>
      <c r="E2200" s="973" t="s">
        <v>991</v>
      </c>
      <c r="F2200" s="973" t="s">
        <v>992</v>
      </c>
      <c r="G2200" s="973" t="s">
        <v>1997</v>
      </c>
      <c r="H2200" s="973" t="s">
        <v>1998</v>
      </c>
      <c r="I2200" s="973" t="s">
        <v>1999</v>
      </c>
      <c r="J2200" s="973" t="s">
        <v>697</v>
      </c>
      <c r="K2200" s="973" t="s">
        <v>995</v>
      </c>
      <c r="L2200" s="973" t="s">
        <v>996</v>
      </c>
      <c r="M2200" s="973" t="s">
        <v>2000</v>
      </c>
      <c r="N2200" s="973" t="s">
        <v>2001</v>
      </c>
      <c r="O2200" s="973" t="s">
        <v>1971</v>
      </c>
      <c r="P2200" s="973" t="s">
        <v>999</v>
      </c>
      <c r="Q2200" s="973" t="s">
        <v>1000</v>
      </c>
      <c r="R2200" s="973" t="s">
        <v>1001</v>
      </c>
      <c r="S2200" s="973" t="s">
        <v>1002</v>
      </c>
      <c r="AE2200" s="423" t="str">
        <f t="shared" si="34"/>
        <v/>
      </c>
    </row>
    <row r="2201" spans="4:31" x14ac:dyDescent="0.25">
      <c r="D2201" s="973" t="s">
        <v>990</v>
      </c>
      <c r="E2201" s="973" t="s">
        <v>991</v>
      </c>
      <c r="F2201" s="973" t="s">
        <v>992</v>
      </c>
      <c r="G2201" s="973" t="s">
        <v>1997</v>
      </c>
      <c r="H2201" s="973" t="s">
        <v>1998</v>
      </c>
      <c r="I2201" s="973" t="s">
        <v>1999</v>
      </c>
      <c r="J2201" s="973" t="s">
        <v>697</v>
      </c>
      <c r="K2201" s="973" t="s">
        <v>995</v>
      </c>
      <c r="L2201" s="973" t="s">
        <v>996</v>
      </c>
      <c r="M2201" s="973" t="s">
        <v>2000</v>
      </c>
      <c r="N2201" s="973" t="s">
        <v>2001</v>
      </c>
      <c r="O2201" s="973" t="s">
        <v>1971</v>
      </c>
      <c r="P2201" s="973" t="s">
        <v>999</v>
      </c>
      <c r="Q2201" s="973" t="s">
        <v>1000</v>
      </c>
      <c r="R2201" s="973" t="s">
        <v>1001</v>
      </c>
      <c r="S2201" s="973" t="s">
        <v>1002</v>
      </c>
      <c r="AE2201" s="423" t="str">
        <f t="shared" si="34"/>
        <v/>
      </c>
    </row>
    <row r="2202" spans="4:31" x14ac:dyDescent="0.25">
      <c r="D2202" s="973" t="s">
        <v>990</v>
      </c>
      <c r="E2202" s="973" t="s">
        <v>991</v>
      </c>
      <c r="F2202" s="973" t="s">
        <v>992</v>
      </c>
      <c r="G2202" s="973" t="s">
        <v>1997</v>
      </c>
      <c r="H2202" s="973" t="s">
        <v>1998</v>
      </c>
      <c r="I2202" s="973" t="s">
        <v>1999</v>
      </c>
      <c r="J2202" s="973" t="s">
        <v>697</v>
      </c>
      <c r="K2202" s="973" t="s">
        <v>995</v>
      </c>
      <c r="L2202" s="973" t="s">
        <v>996</v>
      </c>
      <c r="M2202" s="973" t="s">
        <v>2000</v>
      </c>
      <c r="N2202" s="973" t="s">
        <v>2001</v>
      </c>
      <c r="O2202" s="973" t="s">
        <v>1971</v>
      </c>
      <c r="P2202" s="973" t="s">
        <v>999</v>
      </c>
      <c r="Q2202" s="973" t="s">
        <v>1000</v>
      </c>
      <c r="R2202" s="973" t="s">
        <v>1001</v>
      </c>
      <c r="S2202" s="973" t="s">
        <v>1002</v>
      </c>
      <c r="AE2202" s="423" t="str">
        <f t="shared" si="34"/>
        <v/>
      </c>
    </row>
    <row r="2203" spans="4:31" x14ac:dyDescent="0.25">
      <c r="D2203" s="973" t="s">
        <v>990</v>
      </c>
      <c r="E2203" s="973" t="s">
        <v>991</v>
      </c>
      <c r="F2203" s="973" t="s">
        <v>992</v>
      </c>
      <c r="G2203" s="973" t="s">
        <v>1997</v>
      </c>
      <c r="H2203" s="973" t="s">
        <v>1998</v>
      </c>
      <c r="I2203" s="973" t="s">
        <v>1999</v>
      </c>
      <c r="J2203" s="973" t="s">
        <v>697</v>
      </c>
      <c r="K2203" s="973" t="s">
        <v>995</v>
      </c>
      <c r="L2203" s="973" t="s">
        <v>996</v>
      </c>
      <c r="M2203" s="973" t="s">
        <v>2000</v>
      </c>
      <c r="N2203" s="973" t="s">
        <v>2001</v>
      </c>
      <c r="O2203" s="973" t="s">
        <v>1971</v>
      </c>
      <c r="P2203" s="973" t="s">
        <v>999</v>
      </c>
      <c r="Q2203" s="973" t="s">
        <v>1000</v>
      </c>
      <c r="R2203" s="973" t="s">
        <v>1001</v>
      </c>
      <c r="S2203" s="973" t="s">
        <v>1002</v>
      </c>
      <c r="AE2203" s="423" t="str">
        <f t="shared" si="34"/>
        <v/>
      </c>
    </row>
    <row r="2204" spans="4:31" x14ac:dyDescent="0.25">
      <c r="D2204" s="973" t="s">
        <v>990</v>
      </c>
      <c r="E2204" s="973" t="s">
        <v>991</v>
      </c>
      <c r="F2204" s="973" t="s">
        <v>992</v>
      </c>
      <c r="G2204" s="973" t="s">
        <v>1997</v>
      </c>
      <c r="H2204" s="973" t="s">
        <v>1998</v>
      </c>
      <c r="I2204" s="973" t="s">
        <v>1999</v>
      </c>
      <c r="J2204" s="973" t="s">
        <v>697</v>
      </c>
      <c r="K2204" s="973" t="s">
        <v>995</v>
      </c>
      <c r="L2204" s="973" t="s">
        <v>996</v>
      </c>
      <c r="M2204" s="973" t="s">
        <v>2000</v>
      </c>
      <c r="N2204" s="973" t="s">
        <v>2001</v>
      </c>
      <c r="O2204" s="973" t="s">
        <v>1971</v>
      </c>
      <c r="P2204" s="973" t="s">
        <v>999</v>
      </c>
      <c r="Q2204" s="973" t="s">
        <v>1000</v>
      </c>
      <c r="R2204" s="973" t="s">
        <v>1001</v>
      </c>
      <c r="S2204" s="973" t="s">
        <v>1002</v>
      </c>
      <c r="AE2204" s="423" t="str">
        <f t="shared" si="34"/>
        <v/>
      </c>
    </row>
    <row r="2205" spans="4:31" x14ac:dyDescent="0.25">
      <c r="D2205" s="973" t="s">
        <v>990</v>
      </c>
      <c r="E2205" s="973" t="s">
        <v>991</v>
      </c>
      <c r="F2205" s="973" t="s">
        <v>992</v>
      </c>
      <c r="G2205" s="973" t="s">
        <v>1997</v>
      </c>
      <c r="H2205" s="973" t="s">
        <v>1998</v>
      </c>
      <c r="I2205" s="973" t="s">
        <v>1999</v>
      </c>
      <c r="J2205" s="973" t="s">
        <v>697</v>
      </c>
      <c r="K2205" s="973" t="s">
        <v>995</v>
      </c>
      <c r="L2205" s="973" t="s">
        <v>996</v>
      </c>
      <c r="M2205" s="973" t="s">
        <v>2000</v>
      </c>
      <c r="N2205" s="973" t="s">
        <v>2001</v>
      </c>
      <c r="O2205" s="973" t="s">
        <v>1971</v>
      </c>
      <c r="P2205" s="973" t="s">
        <v>999</v>
      </c>
      <c r="Q2205" s="973" t="s">
        <v>1000</v>
      </c>
      <c r="R2205" s="973" t="s">
        <v>1001</v>
      </c>
      <c r="S2205" s="973" t="s">
        <v>1002</v>
      </c>
      <c r="AE2205" s="423" t="str">
        <f t="shared" si="34"/>
        <v/>
      </c>
    </row>
    <row r="2206" spans="4:31" x14ac:dyDescent="0.25">
      <c r="D2206" s="973" t="s">
        <v>990</v>
      </c>
      <c r="E2206" s="973" t="s">
        <v>991</v>
      </c>
      <c r="F2206" s="973" t="s">
        <v>992</v>
      </c>
      <c r="G2206" s="973" t="s">
        <v>1997</v>
      </c>
      <c r="H2206" s="973" t="s">
        <v>1998</v>
      </c>
      <c r="I2206" s="973" t="s">
        <v>1999</v>
      </c>
      <c r="J2206" s="973" t="s">
        <v>697</v>
      </c>
      <c r="K2206" s="973" t="s">
        <v>995</v>
      </c>
      <c r="L2206" s="973" t="s">
        <v>996</v>
      </c>
      <c r="M2206" s="973" t="s">
        <v>2000</v>
      </c>
      <c r="N2206" s="973" t="s">
        <v>2001</v>
      </c>
      <c r="O2206" s="973" t="s">
        <v>1971</v>
      </c>
      <c r="P2206" s="973" t="s">
        <v>999</v>
      </c>
      <c r="Q2206" s="973" t="s">
        <v>1000</v>
      </c>
      <c r="R2206" s="973" t="s">
        <v>1001</v>
      </c>
      <c r="S2206" s="973" t="s">
        <v>1002</v>
      </c>
      <c r="AE2206" s="423" t="str">
        <f t="shared" si="34"/>
        <v/>
      </c>
    </row>
    <row r="2207" spans="4:31" x14ac:dyDescent="0.25">
      <c r="D2207" s="973" t="s">
        <v>990</v>
      </c>
      <c r="E2207" s="973" t="s">
        <v>991</v>
      </c>
      <c r="F2207" s="973" t="s">
        <v>992</v>
      </c>
      <c r="G2207" s="973" t="s">
        <v>1997</v>
      </c>
      <c r="H2207" s="973" t="s">
        <v>1998</v>
      </c>
      <c r="I2207" s="973" t="s">
        <v>1999</v>
      </c>
      <c r="J2207" s="973" t="s">
        <v>697</v>
      </c>
      <c r="K2207" s="973" t="s">
        <v>995</v>
      </c>
      <c r="L2207" s="973" t="s">
        <v>996</v>
      </c>
      <c r="M2207" s="973" t="s">
        <v>2000</v>
      </c>
      <c r="N2207" s="973" t="s">
        <v>2001</v>
      </c>
      <c r="O2207" s="973" t="s">
        <v>1971</v>
      </c>
      <c r="P2207" s="973" t="s">
        <v>999</v>
      </c>
      <c r="Q2207" s="973" t="s">
        <v>1000</v>
      </c>
      <c r="R2207" s="973" t="s">
        <v>1001</v>
      </c>
      <c r="S2207" s="973" t="s">
        <v>1002</v>
      </c>
      <c r="AE2207" s="423" t="str">
        <f t="shared" si="34"/>
        <v/>
      </c>
    </row>
    <row r="2208" spans="4:31" x14ac:dyDescent="0.25">
      <c r="D2208" s="973" t="s">
        <v>990</v>
      </c>
      <c r="E2208" s="973" t="s">
        <v>991</v>
      </c>
      <c r="F2208" s="973" t="s">
        <v>992</v>
      </c>
      <c r="G2208" s="973" t="s">
        <v>1997</v>
      </c>
      <c r="H2208" s="973" t="s">
        <v>1998</v>
      </c>
      <c r="I2208" s="973" t="s">
        <v>1999</v>
      </c>
      <c r="J2208" s="973" t="s">
        <v>697</v>
      </c>
      <c r="K2208" s="973" t="s">
        <v>995</v>
      </c>
      <c r="L2208" s="973" t="s">
        <v>996</v>
      </c>
      <c r="M2208" s="973" t="s">
        <v>2000</v>
      </c>
      <c r="N2208" s="973" t="s">
        <v>2001</v>
      </c>
      <c r="O2208" s="973" t="s">
        <v>1971</v>
      </c>
      <c r="P2208" s="973" t="s">
        <v>999</v>
      </c>
      <c r="Q2208" s="973" t="s">
        <v>1000</v>
      </c>
      <c r="R2208" s="973" t="s">
        <v>1001</v>
      </c>
      <c r="S2208" s="973" t="s">
        <v>1002</v>
      </c>
      <c r="AE2208" s="423" t="str">
        <f t="shared" si="34"/>
        <v/>
      </c>
    </row>
    <row r="2209" spans="4:31" x14ac:dyDescent="0.25">
      <c r="D2209" s="973" t="s">
        <v>990</v>
      </c>
      <c r="E2209" s="973" t="s">
        <v>991</v>
      </c>
      <c r="F2209" s="973" t="s">
        <v>992</v>
      </c>
      <c r="G2209" s="973" t="s">
        <v>1997</v>
      </c>
      <c r="H2209" s="973" t="s">
        <v>1998</v>
      </c>
      <c r="I2209" s="973" t="s">
        <v>1999</v>
      </c>
      <c r="J2209" s="973" t="s">
        <v>697</v>
      </c>
      <c r="K2209" s="973" t="s">
        <v>995</v>
      </c>
      <c r="L2209" s="973" t="s">
        <v>996</v>
      </c>
      <c r="M2209" s="973" t="s">
        <v>2000</v>
      </c>
      <c r="N2209" s="973" t="s">
        <v>2001</v>
      </c>
      <c r="O2209" s="973" t="s">
        <v>1971</v>
      </c>
      <c r="P2209" s="973" t="s">
        <v>999</v>
      </c>
      <c r="Q2209" s="973" t="s">
        <v>1000</v>
      </c>
      <c r="R2209" s="973" t="s">
        <v>1001</v>
      </c>
      <c r="S2209" s="973" t="s">
        <v>1002</v>
      </c>
      <c r="AE2209" s="423" t="str">
        <f t="shared" si="34"/>
        <v/>
      </c>
    </row>
    <row r="2210" spans="4:31" x14ac:dyDescent="0.25">
      <c r="D2210" s="973" t="s">
        <v>990</v>
      </c>
      <c r="E2210" s="973" t="s">
        <v>991</v>
      </c>
      <c r="F2210" s="973" t="s">
        <v>992</v>
      </c>
      <c r="G2210" s="973" t="s">
        <v>1997</v>
      </c>
      <c r="H2210" s="973" t="s">
        <v>1998</v>
      </c>
      <c r="I2210" s="973" t="s">
        <v>1999</v>
      </c>
      <c r="J2210" s="973" t="s">
        <v>697</v>
      </c>
      <c r="K2210" s="973" t="s">
        <v>995</v>
      </c>
      <c r="L2210" s="973" t="s">
        <v>996</v>
      </c>
      <c r="M2210" s="973" t="s">
        <v>2000</v>
      </c>
      <c r="N2210" s="973" t="s">
        <v>2001</v>
      </c>
      <c r="O2210" s="973" t="s">
        <v>1971</v>
      </c>
      <c r="P2210" s="973" t="s">
        <v>999</v>
      </c>
      <c r="Q2210" s="973" t="s">
        <v>1000</v>
      </c>
      <c r="R2210" s="973" t="s">
        <v>1001</v>
      </c>
      <c r="S2210" s="973" t="s">
        <v>1002</v>
      </c>
      <c r="AE2210" s="423" t="str">
        <f t="shared" si="34"/>
        <v/>
      </c>
    </row>
    <row r="2211" spans="4:31" x14ac:dyDescent="0.25">
      <c r="D2211" s="973" t="s">
        <v>990</v>
      </c>
      <c r="E2211" s="973" t="s">
        <v>991</v>
      </c>
      <c r="F2211" s="973" t="s">
        <v>992</v>
      </c>
      <c r="G2211" s="973" t="s">
        <v>1997</v>
      </c>
      <c r="H2211" s="973" t="s">
        <v>1998</v>
      </c>
      <c r="I2211" s="973" t="s">
        <v>1999</v>
      </c>
      <c r="J2211" s="973" t="s">
        <v>697</v>
      </c>
      <c r="K2211" s="973" t="s">
        <v>995</v>
      </c>
      <c r="L2211" s="973" t="s">
        <v>996</v>
      </c>
      <c r="M2211" s="973" t="s">
        <v>2000</v>
      </c>
      <c r="N2211" s="973" t="s">
        <v>2001</v>
      </c>
      <c r="O2211" s="973" t="s">
        <v>1971</v>
      </c>
      <c r="P2211" s="973" t="s">
        <v>999</v>
      </c>
      <c r="Q2211" s="973" t="s">
        <v>1000</v>
      </c>
      <c r="R2211" s="973" t="s">
        <v>1001</v>
      </c>
      <c r="S2211" s="973" t="s">
        <v>1002</v>
      </c>
      <c r="AE2211" s="423" t="str">
        <f t="shared" si="34"/>
        <v/>
      </c>
    </row>
    <row r="2212" spans="4:31" x14ac:dyDescent="0.25">
      <c r="D2212" s="973" t="s">
        <v>990</v>
      </c>
      <c r="E2212" s="973" t="s">
        <v>991</v>
      </c>
      <c r="F2212" s="973" t="s">
        <v>992</v>
      </c>
      <c r="G2212" s="973" t="s">
        <v>1997</v>
      </c>
      <c r="H2212" s="973" t="s">
        <v>1998</v>
      </c>
      <c r="I2212" s="973" t="s">
        <v>1999</v>
      </c>
      <c r="J2212" s="973" t="s">
        <v>697</v>
      </c>
      <c r="K2212" s="973" t="s">
        <v>995</v>
      </c>
      <c r="L2212" s="973" t="s">
        <v>996</v>
      </c>
      <c r="M2212" s="973" t="s">
        <v>2000</v>
      </c>
      <c r="N2212" s="973" t="s">
        <v>2001</v>
      </c>
      <c r="O2212" s="973" t="s">
        <v>1971</v>
      </c>
      <c r="P2212" s="973" t="s">
        <v>999</v>
      </c>
      <c r="Q2212" s="973" t="s">
        <v>1000</v>
      </c>
      <c r="R2212" s="973" t="s">
        <v>1001</v>
      </c>
      <c r="S2212" s="973" t="s">
        <v>1002</v>
      </c>
      <c r="AE2212" s="423" t="str">
        <f t="shared" si="34"/>
        <v/>
      </c>
    </row>
    <row r="2213" spans="4:31" x14ac:dyDescent="0.25">
      <c r="D2213" s="973" t="s">
        <v>990</v>
      </c>
      <c r="E2213" s="973" t="s">
        <v>991</v>
      </c>
      <c r="F2213" s="973" t="s">
        <v>992</v>
      </c>
      <c r="G2213" s="973" t="s">
        <v>1997</v>
      </c>
      <c r="H2213" s="973" t="s">
        <v>1998</v>
      </c>
      <c r="I2213" s="973" t="s">
        <v>1999</v>
      </c>
      <c r="J2213" s="973" t="s">
        <v>697</v>
      </c>
      <c r="K2213" s="973" t="s">
        <v>995</v>
      </c>
      <c r="L2213" s="973" t="s">
        <v>996</v>
      </c>
      <c r="M2213" s="973" t="s">
        <v>2000</v>
      </c>
      <c r="N2213" s="973" t="s">
        <v>2001</v>
      </c>
      <c r="O2213" s="973" t="s">
        <v>1971</v>
      </c>
      <c r="P2213" s="973" t="s">
        <v>999</v>
      </c>
      <c r="Q2213" s="973" t="s">
        <v>1000</v>
      </c>
      <c r="R2213" s="973" t="s">
        <v>1001</v>
      </c>
      <c r="S2213" s="973" t="s">
        <v>1002</v>
      </c>
      <c r="AE2213" s="423" t="str">
        <f t="shared" si="34"/>
        <v/>
      </c>
    </row>
    <row r="2214" spans="4:31" x14ac:dyDescent="0.25">
      <c r="D2214" s="973" t="s">
        <v>990</v>
      </c>
      <c r="E2214" s="973" t="s">
        <v>991</v>
      </c>
      <c r="F2214" s="973" t="s">
        <v>992</v>
      </c>
      <c r="G2214" s="973" t="s">
        <v>1997</v>
      </c>
      <c r="H2214" s="973" t="s">
        <v>1998</v>
      </c>
      <c r="I2214" s="973" t="s">
        <v>1999</v>
      </c>
      <c r="J2214" s="973" t="s">
        <v>697</v>
      </c>
      <c r="K2214" s="973" t="s">
        <v>995</v>
      </c>
      <c r="L2214" s="973" t="s">
        <v>996</v>
      </c>
      <c r="M2214" s="973" t="s">
        <v>2000</v>
      </c>
      <c r="N2214" s="973" t="s">
        <v>2001</v>
      </c>
      <c r="O2214" s="973" t="s">
        <v>1971</v>
      </c>
      <c r="P2214" s="973" t="s">
        <v>999</v>
      </c>
      <c r="Q2214" s="973" t="s">
        <v>1000</v>
      </c>
      <c r="R2214" s="973" t="s">
        <v>1001</v>
      </c>
      <c r="S2214" s="973" t="s">
        <v>1002</v>
      </c>
      <c r="AE2214" s="423" t="str">
        <f t="shared" si="34"/>
        <v/>
      </c>
    </row>
    <row r="2215" spans="4:31" x14ac:dyDescent="0.25">
      <c r="D2215" s="973" t="s">
        <v>990</v>
      </c>
      <c r="E2215" s="973" t="s">
        <v>991</v>
      </c>
      <c r="F2215" s="973" t="s">
        <v>992</v>
      </c>
      <c r="G2215" s="973" t="s">
        <v>1997</v>
      </c>
      <c r="H2215" s="973" t="s">
        <v>1998</v>
      </c>
      <c r="I2215" s="973" t="s">
        <v>1999</v>
      </c>
      <c r="J2215" s="973" t="s">
        <v>697</v>
      </c>
      <c r="K2215" s="973" t="s">
        <v>995</v>
      </c>
      <c r="L2215" s="973" t="s">
        <v>996</v>
      </c>
      <c r="M2215" s="973" t="s">
        <v>2000</v>
      </c>
      <c r="N2215" s="973" t="s">
        <v>2001</v>
      </c>
      <c r="O2215" s="973" t="s">
        <v>1971</v>
      </c>
      <c r="P2215" s="973" t="s">
        <v>999</v>
      </c>
      <c r="Q2215" s="973" t="s">
        <v>1000</v>
      </c>
      <c r="R2215" s="973" t="s">
        <v>1001</v>
      </c>
      <c r="S2215" s="973" t="s">
        <v>1002</v>
      </c>
      <c r="AE2215" s="423" t="str">
        <f t="shared" si="34"/>
        <v/>
      </c>
    </row>
    <row r="2216" spans="4:31" x14ac:dyDescent="0.25">
      <c r="D2216" s="973" t="s">
        <v>990</v>
      </c>
      <c r="E2216" s="973" t="s">
        <v>991</v>
      </c>
      <c r="F2216" s="973" t="s">
        <v>992</v>
      </c>
      <c r="G2216" s="973" t="s">
        <v>1997</v>
      </c>
      <c r="H2216" s="973" t="s">
        <v>1998</v>
      </c>
      <c r="I2216" s="973" t="s">
        <v>1999</v>
      </c>
      <c r="J2216" s="973" t="s">
        <v>697</v>
      </c>
      <c r="K2216" s="973" t="s">
        <v>995</v>
      </c>
      <c r="L2216" s="973" t="s">
        <v>996</v>
      </c>
      <c r="M2216" s="973" t="s">
        <v>2000</v>
      </c>
      <c r="N2216" s="973" t="s">
        <v>2001</v>
      </c>
      <c r="O2216" s="973" t="s">
        <v>1971</v>
      </c>
      <c r="P2216" s="973" t="s">
        <v>999</v>
      </c>
      <c r="Q2216" s="973" t="s">
        <v>1000</v>
      </c>
      <c r="R2216" s="973" t="s">
        <v>1001</v>
      </c>
      <c r="S2216" s="973" t="s">
        <v>1002</v>
      </c>
      <c r="AE2216" s="423" t="str">
        <f t="shared" si="34"/>
        <v/>
      </c>
    </row>
    <row r="2217" spans="4:31" x14ac:dyDescent="0.25">
      <c r="D2217" s="973" t="s">
        <v>990</v>
      </c>
      <c r="E2217" s="973" t="s">
        <v>991</v>
      </c>
      <c r="F2217" s="973" t="s">
        <v>992</v>
      </c>
      <c r="G2217" s="973" t="s">
        <v>1997</v>
      </c>
      <c r="H2217" s="973" t="s">
        <v>1998</v>
      </c>
      <c r="I2217" s="973" t="s">
        <v>1999</v>
      </c>
      <c r="J2217" s="973" t="s">
        <v>697</v>
      </c>
      <c r="K2217" s="973" t="s">
        <v>995</v>
      </c>
      <c r="L2217" s="973" t="s">
        <v>996</v>
      </c>
      <c r="M2217" s="973" t="s">
        <v>2000</v>
      </c>
      <c r="N2217" s="973" t="s">
        <v>2001</v>
      </c>
      <c r="O2217" s="973" t="s">
        <v>1971</v>
      </c>
      <c r="P2217" s="973" t="s">
        <v>999</v>
      </c>
      <c r="Q2217" s="973" t="s">
        <v>1000</v>
      </c>
      <c r="R2217" s="973" t="s">
        <v>1001</v>
      </c>
      <c r="S2217" s="973" t="s">
        <v>1002</v>
      </c>
      <c r="AE2217" s="423" t="str">
        <f t="shared" si="34"/>
        <v/>
      </c>
    </row>
    <row r="2218" spans="4:31" x14ac:dyDescent="0.25">
      <c r="D2218" s="973" t="s">
        <v>990</v>
      </c>
      <c r="E2218" s="973" t="s">
        <v>991</v>
      </c>
      <c r="F2218" s="973" t="s">
        <v>992</v>
      </c>
      <c r="G2218" s="973" t="s">
        <v>1997</v>
      </c>
      <c r="H2218" s="973" t="s">
        <v>1998</v>
      </c>
      <c r="I2218" s="973" t="s">
        <v>1999</v>
      </c>
      <c r="J2218" s="973" t="s">
        <v>697</v>
      </c>
      <c r="K2218" s="973" t="s">
        <v>995</v>
      </c>
      <c r="L2218" s="973" t="s">
        <v>996</v>
      </c>
      <c r="M2218" s="973" t="s">
        <v>2000</v>
      </c>
      <c r="N2218" s="973" t="s">
        <v>2001</v>
      </c>
      <c r="O2218" s="973" t="s">
        <v>1971</v>
      </c>
      <c r="P2218" s="973" t="s">
        <v>999</v>
      </c>
      <c r="Q2218" s="973" t="s">
        <v>1000</v>
      </c>
      <c r="R2218" s="973" t="s">
        <v>1001</v>
      </c>
      <c r="S2218" s="973" t="s">
        <v>1002</v>
      </c>
      <c r="AE2218" s="423" t="str">
        <f t="shared" si="34"/>
        <v/>
      </c>
    </row>
    <row r="2219" spans="4:31" x14ac:dyDescent="0.25">
      <c r="D2219" s="973" t="s">
        <v>990</v>
      </c>
      <c r="E2219" s="973" t="s">
        <v>991</v>
      </c>
      <c r="F2219" s="973" t="s">
        <v>992</v>
      </c>
      <c r="G2219" s="973" t="s">
        <v>1997</v>
      </c>
      <c r="H2219" s="973" t="s">
        <v>1998</v>
      </c>
      <c r="I2219" s="973" t="s">
        <v>1999</v>
      </c>
      <c r="J2219" s="973" t="s">
        <v>697</v>
      </c>
      <c r="K2219" s="973" t="s">
        <v>995</v>
      </c>
      <c r="L2219" s="973" t="s">
        <v>996</v>
      </c>
      <c r="M2219" s="973" t="s">
        <v>2000</v>
      </c>
      <c r="N2219" s="973" t="s">
        <v>2001</v>
      </c>
      <c r="O2219" s="973" t="s">
        <v>1971</v>
      </c>
      <c r="P2219" s="973" t="s">
        <v>999</v>
      </c>
      <c r="Q2219" s="973" t="s">
        <v>1000</v>
      </c>
      <c r="R2219" s="973" t="s">
        <v>1001</v>
      </c>
      <c r="S2219" s="973" t="s">
        <v>1002</v>
      </c>
      <c r="AE2219" s="423" t="str">
        <f t="shared" si="34"/>
        <v/>
      </c>
    </row>
    <row r="2220" spans="4:31" x14ac:dyDescent="0.25">
      <c r="D2220" s="973" t="s">
        <v>990</v>
      </c>
      <c r="E2220" s="973" t="s">
        <v>991</v>
      </c>
      <c r="F2220" s="973" t="s">
        <v>992</v>
      </c>
      <c r="G2220" s="973" t="s">
        <v>1997</v>
      </c>
      <c r="H2220" s="973" t="s">
        <v>1998</v>
      </c>
      <c r="I2220" s="973" t="s">
        <v>1999</v>
      </c>
      <c r="J2220" s="973" t="s">
        <v>697</v>
      </c>
      <c r="K2220" s="973" t="s">
        <v>995</v>
      </c>
      <c r="L2220" s="973" t="s">
        <v>996</v>
      </c>
      <c r="M2220" s="973" t="s">
        <v>2000</v>
      </c>
      <c r="N2220" s="973" t="s">
        <v>2001</v>
      </c>
      <c r="O2220" s="973" t="s">
        <v>1971</v>
      </c>
      <c r="P2220" s="973" t="s">
        <v>999</v>
      </c>
      <c r="Q2220" s="973" t="s">
        <v>1000</v>
      </c>
      <c r="R2220" s="973" t="s">
        <v>1001</v>
      </c>
      <c r="S2220" s="973" t="s">
        <v>1002</v>
      </c>
      <c r="AE2220" s="423" t="str">
        <f t="shared" si="34"/>
        <v/>
      </c>
    </row>
    <row r="2221" spans="4:31" x14ac:dyDescent="0.25">
      <c r="D2221" s="973" t="s">
        <v>990</v>
      </c>
      <c r="E2221" s="973" t="s">
        <v>991</v>
      </c>
      <c r="F2221" s="973" t="s">
        <v>992</v>
      </c>
      <c r="G2221" s="973" t="s">
        <v>1997</v>
      </c>
      <c r="H2221" s="973" t="s">
        <v>1998</v>
      </c>
      <c r="I2221" s="973" t="s">
        <v>1999</v>
      </c>
      <c r="J2221" s="973" t="s">
        <v>697</v>
      </c>
      <c r="K2221" s="973" t="s">
        <v>995</v>
      </c>
      <c r="L2221" s="973" t="s">
        <v>996</v>
      </c>
      <c r="M2221" s="973" t="s">
        <v>2000</v>
      </c>
      <c r="N2221" s="973" t="s">
        <v>2001</v>
      </c>
      <c r="O2221" s="973" t="s">
        <v>1971</v>
      </c>
      <c r="P2221" s="973" t="s">
        <v>999</v>
      </c>
      <c r="Q2221" s="973" t="s">
        <v>1000</v>
      </c>
      <c r="R2221" s="973" t="s">
        <v>1001</v>
      </c>
      <c r="S2221" s="973" t="s">
        <v>1002</v>
      </c>
      <c r="AE2221" s="423" t="str">
        <f t="shared" si="34"/>
        <v/>
      </c>
    </row>
    <row r="2222" spans="4:31" x14ac:dyDescent="0.25">
      <c r="D2222" s="973" t="s">
        <v>990</v>
      </c>
      <c r="E2222" s="973" t="s">
        <v>991</v>
      </c>
      <c r="F2222" s="973" t="s">
        <v>992</v>
      </c>
      <c r="G2222" s="973" t="s">
        <v>1997</v>
      </c>
      <c r="H2222" s="973" t="s">
        <v>1998</v>
      </c>
      <c r="I2222" s="973" t="s">
        <v>1999</v>
      </c>
      <c r="J2222" s="973" t="s">
        <v>697</v>
      </c>
      <c r="K2222" s="973" t="s">
        <v>995</v>
      </c>
      <c r="L2222" s="973" t="s">
        <v>996</v>
      </c>
      <c r="M2222" s="973" t="s">
        <v>2000</v>
      </c>
      <c r="N2222" s="973" t="s">
        <v>2001</v>
      </c>
      <c r="O2222" s="973" t="s">
        <v>1971</v>
      </c>
      <c r="P2222" s="973" t="s">
        <v>999</v>
      </c>
      <c r="Q2222" s="973" t="s">
        <v>1000</v>
      </c>
      <c r="R2222" s="973" t="s">
        <v>1001</v>
      </c>
      <c r="S2222" s="973" t="s">
        <v>1002</v>
      </c>
      <c r="AE2222" s="423" t="str">
        <f t="shared" si="34"/>
        <v/>
      </c>
    </row>
    <row r="2223" spans="4:31" x14ac:dyDescent="0.25">
      <c r="D2223" s="973" t="s">
        <v>990</v>
      </c>
      <c r="E2223" s="973" t="s">
        <v>991</v>
      </c>
      <c r="F2223" s="973" t="s">
        <v>992</v>
      </c>
      <c r="G2223" s="973" t="s">
        <v>1997</v>
      </c>
      <c r="H2223" s="973" t="s">
        <v>1998</v>
      </c>
      <c r="I2223" s="973" t="s">
        <v>1999</v>
      </c>
      <c r="J2223" s="973" t="s">
        <v>697</v>
      </c>
      <c r="K2223" s="973" t="s">
        <v>995</v>
      </c>
      <c r="L2223" s="973" t="s">
        <v>996</v>
      </c>
      <c r="M2223" s="973" t="s">
        <v>2000</v>
      </c>
      <c r="N2223" s="973" t="s">
        <v>2001</v>
      </c>
      <c r="O2223" s="973" t="s">
        <v>1971</v>
      </c>
      <c r="P2223" s="973" t="s">
        <v>999</v>
      </c>
      <c r="Q2223" s="973" t="s">
        <v>1000</v>
      </c>
      <c r="R2223" s="973" t="s">
        <v>1001</v>
      </c>
      <c r="S2223" s="973" t="s">
        <v>1002</v>
      </c>
      <c r="AE2223" s="423" t="str">
        <f t="shared" si="34"/>
        <v/>
      </c>
    </row>
    <row r="2224" spans="4:31" x14ac:dyDescent="0.25">
      <c r="D2224" s="973" t="s">
        <v>990</v>
      </c>
      <c r="E2224" s="973" t="s">
        <v>991</v>
      </c>
      <c r="F2224" s="973" t="s">
        <v>992</v>
      </c>
      <c r="G2224" s="973" t="s">
        <v>1997</v>
      </c>
      <c r="H2224" s="973" t="s">
        <v>1998</v>
      </c>
      <c r="I2224" s="973" t="s">
        <v>1999</v>
      </c>
      <c r="J2224" s="973" t="s">
        <v>697</v>
      </c>
      <c r="K2224" s="973" t="s">
        <v>995</v>
      </c>
      <c r="L2224" s="973" t="s">
        <v>996</v>
      </c>
      <c r="M2224" s="973" t="s">
        <v>2000</v>
      </c>
      <c r="N2224" s="973" t="s">
        <v>2001</v>
      </c>
      <c r="O2224" s="973" t="s">
        <v>1971</v>
      </c>
      <c r="P2224" s="973" t="s">
        <v>999</v>
      </c>
      <c r="Q2224" s="973" t="s">
        <v>1000</v>
      </c>
      <c r="R2224" s="973" t="s">
        <v>1001</v>
      </c>
      <c r="S2224" s="973" t="s">
        <v>1002</v>
      </c>
      <c r="AE2224" s="423" t="str">
        <f t="shared" si="34"/>
        <v/>
      </c>
    </row>
    <row r="2225" spans="4:31" x14ac:dyDescent="0.25">
      <c r="D2225" s="973" t="s">
        <v>990</v>
      </c>
      <c r="E2225" s="973" t="s">
        <v>991</v>
      </c>
      <c r="F2225" s="973" t="s">
        <v>992</v>
      </c>
      <c r="G2225" s="973" t="s">
        <v>1997</v>
      </c>
      <c r="H2225" s="973" t="s">
        <v>1998</v>
      </c>
      <c r="I2225" s="973" t="s">
        <v>1999</v>
      </c>
      <c r="J2225" s="973" t="s">
        <v>697</v>
      </c>
      <c r="K2225" s="973" t="s">
        <v>995</v>
      </c>
      <c r="L2225" s="973" t="s">
        <v>996</v>
      </c>
      <c r="M2225" s="973" t="s">
        <v>2000</v>
      </c>
      <c r="N2225" s="973" t="s">
        <v>2001</v>
      </c>
      <c r="O2225" s="973" t="s">
        <v>1971</v>
      </c>
      <c r="P2225" s="973" t="s">
        <v>999</v>
      </c>
      <c r="Q2225" s="973" t="s">
        <v>1000</v>
      </c>
      <c r="R2225" s="973" t="s">
        <v>1001</v>
      </c>
      <c r="S2225" s="973" t="s">
        <v>1002</v>
      </c>
      <c r="AE2225" s="423" t="str">
        <f t="shared" si="34"/>
        <v/>
      </c>
    </row>
    <row r="2226" spans="4:31" x14ac:dyDescent="0.25">
      <c r="D2226" s="973" t="s">
        <v>990</v>
      </c>
      <c r="E2226" s="973" t="s">
        <v>991</v>
      </c>
      <c r="F2226" s="973" t="s">
        <v>992</v>
      </c>
      <c r="G2226" s="973" t="s">
        <v>1997</v>
      </c>
      <c r="H2226" s="973" t="s">
        <v>1998</v>
      </c>
      <c r="I2226" s="973" t="s">
        <v>1999</v>
      </c>
      <c r="J2226" s="973" t="s">
        <v>697</v>
      </c>
      <c r="K2226" s="973" t="s">
        <v>995</v>
      </c>
      <c r="L2226" s="973" t="s">
        <v>996</v>
      </c>
      <c r="M2226" s="973" t="s">
        <v>2000</v>
      </c>
      <c r="N2226" s="973" t="s">
        <v>2001</v>
      </c>
      <c r="O2226" s="973" t="s">
        <v>1971</v>
      </c>
      <c r="P2226" s="973" t="s">
        <v>999</v>
      </c>
      <c r="Q2226" s="973" t="s">
        <v>1000</v>
      </c>
      <c r="R2226" s="973" t="s">
        <v>1001</v>
      </c>
      <c r="S2226" s="973" t="s">
        <v>1002</v>
      </c>
      <c r="AE2226" s="423" t="str">
        <f t="shared" si="34"/>
        <v/>
      </c>
    </row>
    <row r="2227" spans="4:31" x14ac:dyDescent="0.25">
      <c r="D2227" s="973" t="s">
        <v>990</v>
      </c>
      <c r="E2227" s="973" t="s">
        <v>991</v>
      </c>
      <c r="F2227" s="973" t="s">
        <v>992</v>
      </c>
      <c r="G2227" s="973" t="s">
        <v>1997</v>
      </c>
      <c r="H2227" s="973" t="s">
        <v>1998</v>
      </c>
      <c r="I2227" s="973" t="s">
        <v>1999</v>
      </c>
      <c r="J2227" s="973" t="s">
        <v>697</v>
      </c>
      <c r="K2227" s="973" t="s">
        <v>995</v>
      </c>
      <c r="L2227" s="973" t="s">
        <v>996</v>
      </c>
      <c r="M2227" s="973" t="s">
        <v>2000</v>
      </c>
      <c r="N2227" s="973" t="s">
        <v>2001</v>
      </c>
      <c r="O2227" s="973" t="s">
        <v>1971</v>
      </c>
      <c r="P2227" s="973" t="s">
        <v>999</v>
      </c>
      <c r="Q2227" s="973" t="s">
        <v>1000</v>
      </c>
      <c r="R2227" s="973" t="s">
        <v>1001</v>
      </c>
      <c r="S2227" s="973" t="s">
        <v>1002</v>
      </c>
      <c r="AE2227" s="423" t="str">
        <f t="shared" si="34"/>
        <v/>
      </c>
    </row>
    <row r="2228" spans="4:31" x14ac:dyDescent="0.25">
      <c r="D2228" s="973" t="s">
        <v>990</v>
      </c>
      <c r="E2228" s="973" t="s">
        <v>991</v>
      </c>
      <c r="F2228" s="973" t="s">
        <v>992</v>
      </c>
      <c r="G2228" s="973" t="s">
        <v>1997</v>
      </c>
      <c r="H2228" s="973" t="s">
        <v>1998</v>
      </c>
      <c r="I2228" s="973" t="s">
        <v>1999</v>
      </c>
      <c r="J2228" s="973" t="s">
        <v>697</v>
      </c>
      <c r="K2228" s="973" t="s">
        <v>995</v>
      </c>
      <c r="L2228" s="973" t="s">
        <v>996</v>
      </c>
      <c r="M2228" s="973" t="s">
        <v>2000</v>
      </c>
      <c r="N2228" s="973" t="s">
        <v>2001</v>
      </c>
      <c r="O2228" s="973" t="s">
        <v>1971</v>
      </c>
      <c r="P2228" s="973" t="s">
        <v>999</v>
      </c>
      <c r="Q2228" s="973" t="s">
        <v>1000</v>
      </c>
      <c r="R2228" s="973" t="s">
        <v>1001</v>
      </c>
      <c r="S2228" s="973" t="s">
        <v>1002</v>
      </c>
      <c r="AE2228" s="423" t="str">
        <f t="shared" si="34"/>
        <v/>
      </c>
    </row>
    <row r="2229" spans="4:31" x14ac:dyDescent="0.25">
      <c r="D2229" s="973" t="s">
        <v>990</v>
      </c>
      <c r="E2229" s="973" t="s">
        <v>991</v>
      </c>
      <c r="F2229" s="973" t="s">
        <v>992</v>
      </c>
      <c r="G2229" s="973" t="s">
        <v>1997</v>
      </c>
      <c r="H2229" s="973" t="s">
        <v>1998</v>
      </c>
      <c r="I2229" s="973" t="s">
        <v>1999</v>
      </c>
      <c r="J2229" s="973" t="s">
        <v>697</v>
      </c>
      <c r="K2229" s="973" t="s">
        <v>995</v>
      </c>
      <c r="L2229" s="973" t="s">
        <v>996</v>
      </c>
      <c r="M2229" s="973" t="s">
        <v>2000</v>
      </c>
      <c r="N2229" s="973" t="s">
        <v>2001</v>
      </c>
      <c r="O2229" s="973" t="s">
        <v>1971</v>
      </c>
      <c r="P2229" s="973" t="s">
        <v>999</v>
      </c>
      <c r="Q2229" s="973" t="s">
        <v>1000</v>
      </c>
      <c r="R2229" s="973" t="s">
        <v>1001</v>
      </c>
      <c r="S2229" s="973" t="s">
        <v>1002</v>
      </c>
      <c r="AE2229" s="423" t="str">
        <f t="shared" si="34"/>
        <v/>
      </c>
    </row>
    <row r="2230" spans="4:31" x14ac:dyDescent="0.25">
      <c r="D2230" s="973" t="s">
        <v>990</v>
      </c>
      <c r="E2230" s="973" t="s">
        <v>991</v>
      </c>
      <c r="F2230" s="973" t="s">
        <v>992</v>
      </c>
      <c r="G2230" s="973" t="s">
        <v>1997</v>
      </c>
      <c r="H2230" s="973" t="s">
        <v>1998</v>
      </c>
      <c r="I2230" s="973" t="s">
        <v>1999</v>
      </c>
      <c r="J2230" s="973" t="s">
        <v>697</v>
      </c>
      <c r="K2230" s="973" t="s">
        <v>995</v>
      </c>
      <c r="L2230" s="973" t="s">
        <v>996</v>
      </c>
      <c r="M2230" s="973" t="s">
        <v>2000</v>
      </c>
      <c r="N2230" s="973" t="s">
        <v>2001</v>
      </c>
      <c r="O2230" s="973" t="s">
        <v>1971</v>
      </c>
      <c r="P2230" s="973" t="s">
        <v>999</v>
      </c>
      <c r="Q2230" s="973" t="s">
        <v>1000</v>
      </c>
      <c r="R2230" s="973" t="s">
        <v>1001</v>
      </c>
      <c r="S2230" s="973" t="s">
        <v>1002</v>
      </c>
      <c r="AE2230" s="423" t="str">
        <f t="shared" si="34"/>
        <v/>
      </c>
    </row>
    <row r="2231" spans="4:31" x14ac:dyDescent="0.25">
      <c r="D2231" s="973" t="s">
        <v>990</v>
      </c>
      <c r="E2231" s="973" t="s">
        <v>991</v>
      </c>
      <c r="F2231" s="973" t="s">
        <v>992</v>
      </c>
      <c r="G2231" s="973" t="s">
        <v>1997</v>
      </c>
      <c r="H2231" s="973" t="s">
        <v>1998</v>
      </c>
      <c r="I2231" s="973" t="s">
        <v>1999</v>
      </c>
      <c r="J2231" s="973" t="s">
        <v>697</v>
      </c>
      <c r="K2231" s="973" t="s">
        <v>995</v>
      </c>
      <c r="L2231" s="973" t="s">
        <v>996</v>
      </c>
      <c r="M2231" s="973" t="s">
        <v>2000</v>
      </c>
      <c r="N2231" s="973" t="s">
        <v>2001</v>
      </c>
      <c r="O2231" s="973" t="s">
        <v>1971</v>
      </c>
      <c r="P2231" s="973" t="s">
        <v>999</v>
      </c>
      <c r="Q2231" s="973" t="s">
        <v>1000</v>
      </c>
      <c r="R2231" s="973" t="s">
        <v>1001</v>
      </c>
      <c r="S2231" s="973" t="s">
        <v>1002</v>
      </c>
      <c r="AE2231" s="423" t="str">
        <f t="shared" si="34"/>
        <v/>
      </c>
    </row>
    <row r="2232" spans="4:31" x14ac:dyDescent="0.25">
      <c r="D2232" s="973" t="s">
        <v>990</v>
      </c>
      <c r="E2232" s="973" t="s">
        <v>991</v>
      </c>
      <c r="F2232" s="973" t="s">
        <v>992</v>
      </c>
      <c r="G2232" s="973" t="s">
        <v>1997</v>
      </c>
      <c r="H2232" s="973" t="s">
        <v>1998</v>
      </c>
      <c r="I2232" s="973" t="s">
        <v>1999</v>
      </c>
      <c r="J2232" s="973" t="s">
        <v>697</v>
      </c>
      <c r="K2232" s="973" t="s">
        <v>995</v>
      </c>
      <c r="L2232" s="973" t="s">
        <v>996</v>
      </c>
      <c r="M2232" s="973" t="s">
        <v>2000</v>
      </c>
      <c r="N2232" s="973" t="s">
        <v>2001</v>
      </c>
      <c r="O2232" s="973" t="s">
        <v>1971</v>
      </c>
      <c r="P2232" s="973" t="s">
        <v>999</v>
      </c>
      <c r="Q2232" s="973" t="s">
        <v>1000</v>
      </c>
      <c r="R2232" s="973" t="s">
        <v>1001</v>
      </c>
      <c r="S2232" s="973" t="s">
        <v>1002</v>
      </c>
      <c r="AE2232" s="423" t="str">
        <f t="shared" si="34"/>
        <v/>
      </c>
    </row>
    <row r="2233" spans="4:31" x14ac:dyDescent="0.25">
      <c r="D2233" s="973" t="s">
        <v>990</v>
      </c>
      <c r="E2233" s="973" t="s">
        <v>991</v>
      </c>
      <c r="F2233" s="973" t="s">
        <v>992</v>
      </c>
      <c r="G2233" s="973" t="s">
        <v>1997</v>
      </c>
      <c r="H2233" s="973" t="s">
        <v>1998</v>
      </c>
      <c r="I2233" s="973" t="s">
        <v>1999</v>
      </c>
      <c r="J2233" s="973" t="s">
        <v>697</v>
      </c>
      <c r="K2233" s="973" t="s">
        <v>995</v>
      </c>
      <c r="L2233" s="973" t="s">
        <v>996</v>
      </c>
      <c r="M2233" s="973" t="s">
        <v>2000</v>
      </c>
      <c r="N2233" s="973" t="s">
        <v>2001</v>
      </c>
      <c r="O2233" s="973" t="s">
        <v>1971</v>
      </c>
      <c r="P2233" s="973" t="s">
        <v>999</v>
      </c>
      <c r="Q2233" s="973" t="s">
        <v>1000</v>
      </c>
      <c r="R2233" s="973" t="s">
        <v>1001</v>
      </c>
      <c r="S2233" s="973" t="s">
        <v>1002</v>
      </c>
      <c r="AE2233" s="423" t="str">
        <f t="shared" si="34"/>
        <v/>
      </c>
    </row>
    <row r="2234" spans="4:31" x14ac:dyDescent="0.25">
      <c r="D2234" s="973" t="s">
        <v>990</v>
      </c>
      <c r="E2234" s="973" t="s">
        <v>991</v>
      </c>
      <c r="F2234" s="973" t="s">
        <v>992</v>
      </c>
      <c r="G2234" s="973" t="s">
        <v>1997</v>
      </c>
      <c r="H2234" s="973" t="s">
        <v>1998</v>
      </c>
      <c r="I2234" s="973" t="s">
        <v>1999</v>
      </c>
      <c r="J2234" s="973" t="s">
        <v>697</v>
      </c>
      <c r="K2234" s="973" t="s">
        <v>995</v>
      </c>
      <c r="L2234" s="973" t="s">
        <v>996</v>
      </c>
      <c r="M2234" s="973" t="s">
        <v>2000</v>
      </c>
      <c r="N2234" s="973" t="s">
        <v>2001</v>
      </c>
      <c r="O2234" s="973" t="s">
        <v>1971</v>
      </c>
      <c r="P2234" s="973" t="s">
        <v>999</v>
      </c>
      <c r="Q2234" s="973" t="s">
        <v>1000</v>
      </c>
      <c r="R2234" s="973" t="s">
        <v>1001</v>
      </c>
      <c r="S2234" s="973" t="s">
        <v>1002</v>
      </c>
      <c r="AE2234" s="423" t="str">
        <f t="shared" si="34"/>
        <v/>
      </c>
    </row>
    <row r="2235" spans="4:31" x14ac:dyDescent="0.25">
      <c r="D2235" s="973" t="s">
        <v>990</v>
      </c>
      <c r="E2235" s="973" t="s">
        <v>991</v>
      </c>
      <c r="F2235" s="973" t="s">
        <v>992</v>
      </c>
      <c r="G2235" s="973" t="s">
        <v>1997</v>
      </c>
      <c r="H2235" s="973" t="s">
        <v>1998</v>
      </c>
      <c r="I2235" s="973" t="s">
        <v>1999</v>
      </c>
      <c r="J2235" s="973" t="s">
        <v>697</v>
      </c>
      <c r="K2235" s="973" t="s">
        <v>995</v>
      </c>
      <c r="L2235" s="973" t="s">
        <v>996</v>
      </c>
      <c r="M2235" s="973" t="s">
        <v>2000</v>
      </c>
      <c r="N2235" s="973" t="s">
        <v>2001</v>
      </c>
      <c r="O2235" s="973" t="s">
        <v>1971</v>
      </c>
      <c r="P2235" s="973" t="s">
        <v>999</v>
      </c>
      <c r="Q2235" s="973" t="s">
        <v>1000</v>
      </c>
      <c r="R2235" s="973" t="s">
        <v>1001</v>
      </c>
      <c r="S2235" s="973" t="s">
        <v>1002</v>
      </c>
      <c r="AE2235" s="423" t="str">
        <f t="shared" si="34"/>
        <v/>
      </c>
    </row>
    <row r="2236" spans="4:31" x14ac:dyDescent="0.25">
      <c r="D2236" s="973" t="s">
        <v>990</v>
      </c>
      <c r="E2236" s="973" t="s">
        <v>991</v>
      </c>
      <c r="F2236" s="973" t="s">
        <v>992</v>
      </c>
      <c r="G2236" s="973" t="s">
        <v>1997</v>
      </c>
      <c r="H2236" s="973" t="s">
        <v>1998</v>
      </c>
      <c r="I2236" s="973" t="s">
        <v>1999</v>
      </c>
      <c r="J2236" s="973" t="s">
        <v>697</v>
      </c>
      <c r="K2236" s="973" t="s">
        <v>995</v>
      </c>
      <c r="L2236" s="973" t="s">
        <v>996</v>
      </c>
      <c r="M2236" s="973" t="s">
        <v>2000</v>
      </c>
      <c r="N2236" s="973" t="s">
        <v>2001</v>
      </c>
      <c r="O2236" s="973" t="s">
        <v>1971</v>
      </c>
      <c r="P2236" s="973" t="s">
        <v>999</v>
      </c>
      <c r="Q2236" s="973" t="s">
        <v>1000</v>
      </c>
      <c r="R2236" s="973" t="s">
        <v>1001</v>
      </c>
      <c r="S2236" s="973" t="s">
        <v>1002</v>
      </c>
      <c r="AE2236" s="423" t="str">
        <f t="shared" si="34"/>
        <v/>
      </c>
    </row>
    <row r="2237" spans="4:31" x14ac:dyDescent="0.25">
      <c r="D2237" s="973" t="s">
        <v>990</v>
      </c>
      <c r="E2237" s="973" t="s">
        <v>991</v>
      </c>
      <c r="F2237" s="973" t="s">
        <v>992</v>
      </c>
      <c r="G2237" s="973" t="s">
        <v>1997</v>
      </c>
      <c r="H2237" s="973" t="s">
        <v>1998</v>
      </c>
      <c r="I2237" s="973" t="s">
        <v>1999</v>
      </c>
      <c r="J2237" s="973" t="s">
        <v>697</v>
      </c>
      <c r="K2237" s="973" t="s">
        <v>995</v>
      </c>
      <c r="L2237" s="973" t="s">
        <v>996</v>
      </c>
      <c r="M2237" s="973" t="s">
        <v>2000</v>
      </c>
      <c r="N2237" s="973" t="s">
        <v>2001</v>
      </c>
      <c r="O2237" s="973" t="s">
        <v>1971</v>
      </c>
      <c r="P2237" s="973" t="s">
        <v>999</v>
      </c>
      <c r="Q2237" s="973" t="s">
        <v>1000</v>
      </c>
      <c r="R2237" s="973" t="s">
        <v>1001</v>
      </c>
      <c r="S2237" s="973" t="s">
        <v>1002</v>
      </c>
      <c r="AE2237" s="423" t="str">
        <f t="shared" si="34"/>
        <v/>
      </c>
    </row>
    <row r="2238" spans="4:31" x14ac:dyDescent="0.25">
      <c r="D2238" s="973" t="s">
        <v>990</v>
      </c>
      <c r="E2238" s="973" t="s">
        <v>991</v>
      </c>
      <c r="F2238" s="973" t="s">
        <v>992</v>
      </c>
      <c r="G2238" s="973" t="s">
        <v>1997</v>
      </c>
      <c r="H2238" s="973" t="s">
        <v>1998</v>
      </c>
      <c r="I2238" s="973" t="s">
        <v>1999</v>
      </c>
      <c r="J2238" s="973" t="s">
        <v>697</v>
      </c>
      <c r="K2238" s="973" t="s">
        <v>995</v>
      </c>
      <c r="L2238" s="973" t="s">
        <v>996</v>
      </c>
      <c r="M2238" s="973" t="s">
        <v>2000</v>
      </c>
      <c r="N2238" s="973" t="s">
        <v>2001</v>
      </c>
      <c r="O2238" s="973" t="s">
        <v>1971</v>
      </c>
      <c r="P2238" s="973" t="s">
        <v>999</v>
      </c>
      <c r="Q2238" s="973" t="s">
        <v>1000</v>
      </c>
      <c r="R2238" s="973" t="s">
        <v>1001</v>
      </c>
      <c r="S2238" s="973" t="s">
        <v>1002</v>
      </c>
      <c r="AE2238" s="423" t="str">
        <f t="shared" si="34"/>
        <v/>
      </c>
    </row>
    <row r="2239" spans="4:31" x14ac:dyDescent="0.25">
      <c r="D2239" s="973" t="s">
        <v>990</v>
      </c>
      <c r="E2239" s="973" t="s">
        <v>991</v>
      </c>
      <c r="F2239" s="973" t="s">
        <v>992</v>
      </c>
      <c r="G2239" s="973" t="s">
        <v>1997</v>
      </c>
      <c r="H2239" s="973" t="s">
        <v>1998</v>
      </c>
      <c r="I2239" s="973" t="s">
        <v>1999</v>
      </c>
      <c r="J2239" s="973" t="s">
        <v>697</v>
      </c>
      <c r="K2239" s="973" t="s">
        <v>995</v>
      </c>
      <c r="L2239" s="973" t="s">
        <v>996</v>
      </c>
      <c r="M2239" s="973" t="s">
        <v>2000</v>
      </c>
      <c r="N2239" s="973" t="s">
        <v>2001</v>
      </c>
      <c r="O2239" s="973" t="s">
        <v>1971</v>
      </c>
      <c r="P2239" s="973" t="s">
        <v>999</v>
      </c>
      <c r="Q2239" s="973" t="s">
        <v>1000</v>
      </c>
      <c r="R2239" s="973" t="s">
        <v>1001</v>
      </c>
      <c r="S2239" s="973" t="s">
        <v>1002</v>
      </c>
      <c r="AE2239" s="423" t="str">
        <f t="shared" si="34"/>
        <v/>
      </c>
    </row>
    <row r="2240" spans="4:31" x14ac:dyDescent="0.25">
      <c r="D2240" s="973" t="s">
        <v>990</v>
      </c>
      <c r="E2240" s="973" t="s">
        <v>991</v>
      </c>
      <c r="F2240" s="973" t="s">
        <v>992</v>
      </c>
      <c r="G2240" s="973" t="s">
        <v>1997</v>
      </c>
      <c r="H2240" s="973" t="s">
        <v>1998</v>
      </c>
      <c r="I2240" s="973" t="s">
        <v>1999</v>
      </c>
      <c r="J2240" s="973" t="s">
        <v>697</v>
      </c>
      <c r="K2240" s="973" t="s">
        <v>995</v>
      </c>
      <c r="L2240" s="973" t="s">
        <v>996</v>
      </c>
      <c r="M2240" s="973" t="s">
        <v>2000</v>
      </c>
      <c r="N2240" s="973" t="s">
        <v>2001</v>
      </c>
      <c r="O2240" s="973" t="s">
        <v>1971</v>
      </c>
      <c r="P2240" s="973" t="s">
        <v>999</v>
      </c>
      <c r="Q2240" s="973" t="s">
        <v>1000</v>
      </c>
      <c r="R2240" s="973" t="s">
        <v>1001</v>
      </c>
      <c r="S2240" s="973" t="s">
        <v>1002</v>
      </c>
      <c r="AE2240" s="423" t="str">
        <f t="shared" si="34"/>
        <v/>
      </c>
    </row>
    <row r="2241" spans="4:31" x14ac:dyDescent="0.25">
      <c r="D2241" s="973" t="s">
        <v>990</v>
      </c>
      <c r="E2241" s="973" t="s">
        <v>991</v>
      </c>
      <c r="F2241" s="973" t="s">
        <v>992</v>
      </c>
      <c r="G2241" s="973" t="s">
        <v>1997</v>
      </c>
      <c r="H2241" s="973" t="s">
        <v>1998</v>
      </c>
      <c r="I2241" s="973" t="s">
        <v>1999</v>
      </c>
      <c r="J2241" s="973" t="s">
        <v>697</v>
      </c>
      <c r="K2241" s="973" t="s">
        <v>995</v>
      </c>
      <c r="L2241" s="973" t="s">
        <v>996</v>
      </c>
      <c r="M2241" s="973" t="s">
        <v>2000</v>
      </c>
      <c r="N2241" s="973" t="s">
        <v>2001</v>
      </c>
      <c r="O2241" s="973" t="s">
        <v>1971</v>
      </c>
      <c r="P2241" s="973" t="s">
        <v>999</v>
      </c>
      <c r="Q2241" s="973" t="s">
        <v>1000</v>
      </c>
      <c r="R2241" s="973" t="s">
        <v>1001</v>
      </c>
      <c r="S2241" s="973" t="s">
        <v>1002</v>
      </c>
      <c r="AE2241" s="423" t="str">
        <f t="shared" si="34"/>
        <v/>
      </c>
    </row>
    <row r="2242" spans="4:31" x14ac:dyDescent="0.25">
      <c r="D2242" s="973" t="s">
        <v>990</v>
      </c>
      <c r="E2242" s="973" t="s">
        <v>991</v>
      </c>
      <c r="F2242" s="973" t="s">
        <v>992</v>
      </c>
      <c r="G2242" s="973" t="s">
        <v>1997</v>
      </c>
      <c r="H2242" s="973" t="s">
        <v>1998</v>
      </c>
      <c r="I2242" s="973" t="s">
        <v>1999</v>
      </c>
      <c r="J2242" s="973" t="s">
        <v>697</v>
      </c>
      <c r="K2242" s="973" t="s">
        <v>995</v>
      </c>
      <c r="L2242" s="973" t="s">
        <v>996</v>
      </c>
      <c r="M2242" s="973" t="s">
        <v>2000</v>
      </c>
      <c r="N2242" s="973" t="s">
        <v>2001</v>
      </c>
      <c r="O2242" s="973" t="s">
        <v>1971</v>
      </c>
      <c r="P2242" s="973" t="s">
        <v>999</v>
      </c>
      <c r="Q2242" s="973" t="s">
        <v>1000</v>
      </c>
      <c r="R2242" s="973" t="s">
        <v>1001</v>
      </c>
      <c r="S2242" s="973" t="s">
        <v>1002</v>
      </c>
      <c r="AE2242" s="423" t="str">
        <f t="shared" si="34"/>
        <v/>
      </c>
    </row>
    <row r="2243" spans="4:31" x14ac:dyDescent="0.25">
      <c r="D2243" s="973" t="s">
        <v>990</v>
      </c>
      <c r="E2243" s="973" t="s">
        <v>991</v>
      </c>
      <c r="F2243" s="973" t="s">
        <v>992</v>
      </c>
      <c r="G2243" s="973" t="s">
        <v>1997</v>
      </c>
      <c r="H2243" s="973" t="s">
        <v>1998</v>
      </c>
      <c r="I2243" s="973" t="s">
        <v>1999</v>
      </c>
      <c r="J2243" s="973" t="s">
        <v>697</v>
      </c>
      <c r="K2243" s="973" t="s">
        <v>995</v>
      </c>
      <c r="L2243" s="973" t="s">
        <v>996</v>
      </c>
      <c r="M2243" s="973" t="s">
        <v>2000</v>
      </c>
      <c r="N2243" s="973" t="s">
        <v>2001</v>
      </c>
      <c r="O2243" s="973" t="s">
        <v>1971</v>
      </c>
      <c r="P2243" s="973" t="s">
        <v>999</v>
      </c>
      <c r="Q2243" s="973" t="s">
        <v>1000</v>
      </c>
      <c r="R2243" s="973" t="s">
        <v>1001</v>
      </c>
      <c r="S2243" s="973" t="s">
        <v>1002</v>
      </c>
      <c r="AE2243" s="423" t="str">
        <f t="shared" ref="AE2243:AE2306" si="35">B2243&amp;C2243</f>
        <v/>
      </c>
    </row>
    <row r="2244" spans="4:31" x14ac:dyDescent="0.25">
      <c r="D2244" s="973" t="s">
        <v>990</v>
      </c>
      <c r="E2244" s="973" t="s">
        <v>991</v>
      </c>
      <c r="F2244" s="973" t="s">
        <v>992</v>
      </c>
      <c r="G2244" s="973" t="s">
        <v>1997</v>
      </c>
      <c r="H2244" s="973" t="s">
        <v>1998</v>
      </c>
      <c r="I2244" s="973" t="s">
        <v>1999</v>
      </c>
      <c r="J2244" s="973" t="s">
        <v>697</v>
      </c>
      <c r="K2244" s="973" t="s">
        <v>995</v>
      </c>
      <c r="L2244" s="973" t="s">
        <v>996</v>
      </c>
      <c r="M2244" s="973" t="s">
        <v>2000</v>
      </c>
      <c r="N2244" s="973" t="s">
        <v>2001</v>
      </c>
      <c r="O2244" s="973" t="s">
        <v>1971</v>
      </c>
      <c r="P2244" s="973" t="s">
        <v>999</v>
      </c>
      <c r="Q2244" s="973" t="s">
        <v>1000</v>
      </c>
      <c r="R2244" s="973" t="s">
        <v>1001</v>
      </c>
      <c r="S2244" s="973" t="s">
        <v>1002</v>
      </c>
      <c r="AE2244" s="423" t="str">
        <f t="shared" si="35"/>
        <v/>
      </c>
    </row>
    <row r="2245" spans="4:31" x14ac:dyDescent="0.25">
      <c r="D2245" s="973" t="s">
        <v>990</v>
      </c>
      <c r="E2245" s="973" t="s">
        <v>991</v>
      </c>
      <c r="F2245" s="973" t="s">
        <v>992</v>
      </c>
      <c r="G2245" s="973" t="s">
        <v>1997</v>
      </c>
      <c r="H2245" s="973" t="s">
        <v>1998</v>
      </c>
      <c r="I2245" s="973" t="s">
        <v>1999</v>
      </c>
      <c r="J2245" s="973" t="s">
        <v>697</v>
      </c>
      <c r="K2245" s="973" t="s">
        <v>995</v>
      </c>
      <c r="L2245" s="973" t="s">
        <v>996</v>
      </c>
      <c r="M2245" s="973" t="s">
        <v>2000</v>
      </c>
      <c r="N2245" s="973" t="s">
        <v>2001</v>
      </c>
      <c r="O2245" s="973" t="s">
        <v>1971</v>
      </c>
      <c r="P2245" s="973" t="s">
        <v>999</v>
      </c>
      <c r="Q2245" s="973" t="s">
        <v>1000</v>
      </c>
      <c r="R2245" s="973" t="s">
        <v>1001</v>
      </c>
      <c r="S2245" s="973" t="s">
        <v>1002</v>
      </c>
      <c r="AE2245" s="423" t="str">
        <f t="shared" si="35"/>
        <v/>
      </c>
    </row>
    <row r="2246" spans="4:31" x14ac:dyDescent="0.25">
      <c r="D2246" s="973" t="s">
        <v>990</v>
      </c>
      <c r="E2246" s="973" t="s">
        <v>991</v>
      </c>
      <c r="F2246" s="973" t="s">
        <v>992</v>
      </c>
      <c r="G2246" s="973" t="s">
        <v>1997</v>
      </c>
      <c r="H2246" s="973" t="s">
        <v>1998</v>
      </c>
      <c r="I2246" s="973" t="s">
        <v>1999</v>
      </c>
      <c r="J2246" s="973" t="s">
        <v>697</v>
      </c>
      <c r="K2246" s="973" t="s">
        <v>995</v>
      </c>
      <c r="L2246" s="973" t="s">
        <v>996</v>
      </c>
      <c r="M2246" s="973" t="s">
        <v>2000</v>
      </c>
      <c r="N2246" s="973" t="s">
        <v>2001</v>
      </c>
      <c r="O2246" s="973" t="s">
        <v>1971</v>
      </c>
      <c r="P2246" s="973" t="s">
        <v>999</v>
      </c>
      <c r="Q2246" s="973" t="s">
        <v>1000</v>
      </c>
      <c r="R2246" s="973" t="s">
        <v>1001</v>
      </c>
      <c r="S2246" s="973" t="s">
        <v>1002</v>
      </c>
      <c r="AE2246" s="423" t="str">
        <f t="shared" si="35"/>
        <v/>
      </c>
    </row>
    <row r="2247" spans="4:31" x14ac:dyDescent="0.25">
      <c r="D2247" s="973" t="s">
        <v>990</v>
      </c>
      <c r="E2247" s="973" t="s">
        <v>991</v>
      </c>
      <c r="F2247" s="973" t="s">
        <v>992</v>
      </c>
      <c r="G2247" s="973" t="s">
        <v>1997</v>
      </c>
      <c r="H2247" s="973" t="s">
        <v>1998</v>
      </c>
      <c r="I2247" s="973" t="s">
        <v>1999</v>
      </c>
      <c r="J2247" s="973" t="s">
        <v>697</v>
      </c>
      <c r="K2247" s="973" t="s">
        <v>995</v>
      </c>
      <c r="L2247" s="973" t="s">
        <v>996</v>
      </c>
      <c r="M2247" s="973" t="s">
        <v>2000</v>
      </c>
      <c r="N2247" s="973" t="s">
        <v>2001</v>
      </c>
      <c r="O2247" s="973" t="s">
        <v>1971</v>
      </c>
      <c r="P2247" s="973" t="s">
        <v>999</v>
      </c>
      <c r="Q2247" s="973" t="s">
        <v>1000</v>
      </c>
      <c r="R2247" s="973" t="s">
        <v>1001</v>
      </c>
      <c r="S2247" s="973" t="s">
        <v>1002</v>
      </c>
      <c r="AE2247" s="423" t="str">
        <f t="shared" si="35"/>
        <v/>
      </c>
    </row>
    <row r="2248" spans="4:31" x14ac:dyDescent="0.25">
      <c r="D2248" s="973" t="s">
        <v>990</v>
      </c>
      <c r="E2248" s="973" t="s">
        <v>991</v>
      </c>
      <c r="F2248" s="973" t="s">
        <v>992</v>
      </c>
      <c r="G2248" s="973" t="s">
        <v>1997</v>
      </c>
      <c r="H2248" s="973" t="s">
        <v>1998</v>
      </c>
      <c r="I2248" s="973" t="s">
        <v>1999</v>
      </c>
      <c r="J2248" s="973" t="s">
        <v>697</v>
      </c>
      <c r="K2248" s="973" t="s">
        <v>995</v>
      </c>
      <c r="L2248" s="973" t="s">
        <v>996</v>
      </c>
      <c r="M2248" s="973" t="s">
        <v>2000</v>
      </c>
      <c r="N2248" s="973" t="s">
        <v>2001</v>
      </c>
      <c r="O2248" s="973" t="s">
        <v>1971</v>
      </c>
      <c r="P2248" s="973" t="s">
        <v>999</v>
      </c>
      <c r="Q2248" s="973" t="s">
        <v>1000</v>
      </c>
      <c r="R2248" s="973" t="s">
        <v>1001</v>
      </c>
      <c r="S2248" s="973" t="s">
        <v>1002</v>
      </c>
      <c r="AE2248" s="423" t="str">
        <f t="shared" si="35"/>
        <v/>
      </c>
    </row>
    <row r="2249" spans="4:31" x14ac:dyDescent="0.25">
      <c r="D2249" s="973" t="s">
        <v>990</v>
      </c>
      <c r="E2249" s="973" t="s">
        <v>991</v>
      </c>
      <c r="F2249" s="973" t="s">
        <v>992</v>
      </c>
      <c r="G2249" s="973" t="s">
        <v>1997</v>
      </c>
      <c r="H2249" s="973" t="s">
        <v>1998</v>
      </c>
      <c r="I2249" s="973" t="s">
        <v>1999</v>
      </c>
      <c r="J2249" s="973" t="s">
        <v>697</v>
      </c>
      <c r="K2249" s="973" t="s">
        <v>995</v>
      </c>
      <c r="L2249" s="973" t="s">
        <v>996</v>
      </c>
      <c r="M2249" s="973" t="s">
        <v>2000</v>
      </c>
      <c r="N2249" s="973" t="s">
        <v>2001</v>
      </c>
      <c r="O2249" s="973" t="s">
        <v>1971</v>
      </c>
      <c r="P2249" s="973" t="s">
        <v>999</v>
      </c>
      <c r="Q2249" s="973" t="s">
        <v>1000</v>
      </c>
      <c r="R2249" s="973" t="s">
        <v>1001</v>
      </c>
      <c r="S2249" s="973" t="s">
        <v>1002</v>
      </c>
      <c r="AE2249" s="423" t="str">
        <f t="shared" si="35"/>
        <v/>
      </c>
    </row>
    <row r="2250" spans="4:31" x14ac:dyDescent="0.25">
      <c r="D2250" s="973" t="s">
        <v>990</v>
      </c>
      <c r="E2250" s="973" t="s">
        <v>991</v>
      </c>
      <c r="F2250" s="973" t="s">
        <v>992</v>
      </c>
      <c r="G2250" s="973" t="s">
        <v>1997</v>
      </c>
      <c r="H2250" s="973" t="s">
        <v>1998</v>
      </c>
      <c r="I2250" s="973" t="s">
        <v>1999</v>
      </c>
      <c r="J2250" s="973" t="s">
        <v>697</v>
      </c>
      <c r="K2250" s="973" t="s">
        <v>995</v>
      </c>
      <c r="L2250" s="973" t="s">
        <v>996</v>
      </c>
      <c r="M2250" s="973" t="s">
        <v>2000</v>
      </c>
      <c r="N2250" s="973" t="s">
        <v>2001</v>
      </c>
      <c r="O2250" s="973" t="s">
        <v>1971</v>
      </c>
      <c r="P2250" s="973" t="s">
        <v>999</v>
      </c>
      <c r="Q2250" s="973" t="s">
        <v>1000</v>
      </c>
      <c r="R2250" s="973" t="s">
        <v>1001</v>
      </c>
      <c r="S2250" s="973" t="s">
        <v>1002</v>
      </c>
      <c r="AE2250" s="423" t="str">
        <f t="shared" si="35"/>
        <v/>
      </c>
    </row>
    <row r="2251" spans="4:31" x14ac:dyDescent="0.25">
      <c r="D2251" s="973" t="s">
        <v>990</v>
      </c>
      <c r="E2251" s="973" t="s">
        <v>991</v>
      </c>
      <c r="F2251" s="973" t="s">
        <v>992</v>
      </c>
      <c r="G2251" s="973" t="s">
        <v>1997</v>
      </c>
      <c r="H2251" s="973" t="s">
        <v>1998</v>
      </c>
      <c r="I2251" s="973" t="s">
        <v>1999</v>
      </c>
      <c r="J2251" s="973" t="s">
        <v>697</v>
      </c>
      <c r="K2251" s="973" t="s">
        <v>995</v>
      </c>
      <c r="L2251" s="973" t="s">
        <v>996</v>
      </c>
      <c r="M2251" s="973" t="s">
        <v>2000</v>
      </c>
      <c r="N2251" s="973" t="s">
        <v>2001</v>
      </c>
      <c r="O2251" s="973" t="s">
        <v>1971</v>
      </c>
      <c r="P2251" s="973" t="s">
        <v>999</v>
      </c>
      <c r="Q2251" s="973" t="s">
        <v>1000</v>
      </c>
      <c r="R2251" s="973" t="s">
        <v>1001</v>
      </c>
      <c r="S2251" s="973" t="s">
        <v>1002</v>
      </c>
      <c r="AE2251" s="423" t="str">
        <f t="shared" si="35"/>
        <v/>
      </c>
    </row>
    <row r="2252" spans="4:31" x14ac:dyDescent="0.25">
      <c r="D2252" s="973" t="s">
        <v>990</v>
      </c>
      <c r="E2252" s="973" t="s">
        <v>991</v>
      </c>
      <c r="F2252" s="973" t="s">
        <v>992</v>
      </c>
      <c r="G2252" s="973" t="s">
        <v>1997</v>
      </c>
      <c r="H2252" s="973" t="s">
        <v>1998</v>
      </c>
      <c r="I2252" s="973" t="s">
        <v>1999</v>
      </c>
      <c r="J2252" s="973" t="s">
        <v>697</v>
      </c>
      <c r="K2252" s="973" t="s">
        <v>995</v>
      </c>
      <c r="L2252" s="973" t="s">
        <v>996</v>
      </c>
      <c r="M2252" s="973" t="s">
        <v>2000</v>
      </c>
      <c r="N2252" s="973" t="s">
        <v>2001</v>
      </c>
      <c r="O2252" s="973" t="s">
        <v>1971</v>
      </c>
      <c r="P2252" s="973" t="s">
        <v>999</v>
      </c>
      <c r="Q2252" s="973" t="s">
        <v>1000</v>
      </c>
      <c r="R2252" s="973" t="s">
        <v>1001</v>
      </c>
      <c r="S2252" s="973" t="s">
        <v>1002</v>
      </c>
      <c r="AE2252" s="423" t="str">
        <f t="shared" si="35"/>
        <v/>
      </c>
    </row>
    <row r="2253" spans="4:31" x14ac:dyDescent="0.25">
      <c r="D2253" s="973" t="s">
        <v>990</v>
      </c>
      <c r="E2253" s="973" t="s">
        <v>991</v>
      </c>
      <c r="F2253" s="973" t="s">
        <v>992</v>
      </c>
      <c r="G2253" s="973" t="s">
        <v>1997</v>
      </c>
      <c r="H2253" s="973" t="s">
        <v>1998</v>
      </c>
      <c r="I2253" s="973" t="s">
        <v>1999</v>
      </c>
      <c r="J2253" s="973" t="s">
        <v>697</v>
      </c>
      <c r="K2253" s="973" t="s">
        <v>995</v>
      </c>
      <c r="L2253" s="973" t="s">
        <v>996</v>
      </c>
      <c r="M2253" s="973" t="s">
        <v>2000</v>
      </c>
      <c r="N2253" s="973" t="s">
        <v>2001</v>
      </c>
      <c r="O2253" s="973" t="s">
        <v>1971</v>
      </c>
      <c r="P2253" s="973" t="s">
        <v>999</v>
      </c>
      <c r="Q2253" s="973" t="s">
        <v>1000</v>
      </c>
      <c r="R2253" s="973" t="s">
        <v>1001</v>
      </c>
      <c r="S2253" s="973" t="s">
        <v>1002</v>
      </c>
      <c r="AE2253" s="423" t="str">
        <f t="shared" si="35"/>
        <v/>
      </c>
    </row>
    <row r="2254" spans="4:31" x14ac:dyDescent="0.25">
      <c r="D2254" s="973" t="s">
        <v>990</v>
      </c>
      <c r="E2254" s="973" t="s">
        <v>991</v>
      </c>
      <c r="F2254" s="973" t="s">
        <v>992</v>
      </c>
      <c r="G2254" s="973" t="s">
        <v>1997</v>
      </c>
      <c r="H2254" s="973" t="s">
        <v>1998</v>
      </c>
      <c r="I2254" s="973" t="s">
        <v>1999</v>
      </c>
      <c r="J2254" s="973" t="s">
        <v>697</v>
      </c>
      <c r="K2254" s="973" t="s">
        <v>995</v>
      </c>
      <c r="L2254" s="973" t="s">
        <v>996</v>
      </c>
      <c r="M2254" s="973" t="s">
        <v>2000</v>
      </c>
      <c r="N2254" s="973" t="s">
        <v>2001</v>
      </c>
      <c r="O2254" s="973" t="s">
        <v>1971</v>
      </c>
      <c r="P2254" s="973" t="s">
        <v>999</v>
      </c>
      <c r="Q2254" s="973" t="s">
        <v>1000</v>
      </c>
      <c r="R2254" s="973" t="s">
        <v>1001</v>
      </c>
      <c r="S2254" s="973" t="s">
        <v>1002</v>
      </c>
      <c r="AE2254" s="423" t="str">
        <f t="shared" si="35"/>
        <v/>
      </c>
    </row>
    <row r="2255" spans="4:31" x14ac:dyDescent="0.25">
      <c r="D2255" s="973" t="s">
        <v>990</v>
      </c>
      <c r="E2255" s="973" t="s">
        <v>991</v>
      </c>
      <c r="F2255" s="973" t="s">
        <v>992</v>
      </c>
      <c r="G2255" s="973" t="s">
        <v>1997</v>
      </c>
      <c r="H2255" s="973" t="s">
        <v>1998</v>
      </c>
      <c r="I2255" s="973" t="s">
        <v>1999</v>
      </c>
      <c r="J2255" s="973" t="s">
        <v>697</v>
      </c>
      <c r="K2255" s="973" t="s">
        <v>995</v>
      </c>
      <c r="L2255" s="973" t="s">
        <v>996</v>
      </c>
      <c r="M2255" s="973" t="s">
        <v>2000</v>
      </c>
      <c r="N2255" s="973" t="s">
        <v>2001</v>
      </c>
      <c r="O2255" s="973" t="s">
        <v>1971</v>
      </c>
      <c r="P2255" s="973" t="s">
        <v>999</v>
      </c>
      <c r="Q2255" s="973" t="s">
        <v>1000</v>
      </c>
      <c r="R2255" s="973" t="s">
        <v>1001</v>
      </c>
      <c r="S2255" s="973" t="s">
        <v>1002</v>
      </c>
      <c r="AE2255" s="423" t="str">
        <f t="shared" si="35"/>
        <v/>
      </c>
    </row>
    <row r="2256" spans="4:31" x14ac:dyDescent="0.25">
      <c r="D2256" s="973" t="s">
        <v>990</v>
      </c>
      <c r="E2256" s="973" t="s">
        <v>991</v>
      </c>
      <c r="F2256" s="973" t="s">
        <v>992</v>
      </c>
      <c r="G2256" s="973" t="s">
        <v>1997</v>
      </c>
      <c r="H2256" s="973" t="s">
        <v>1998</v>
      </c>
      <c r="I2256" s="973" t="s">
        <v>1999</v>
      </c>
      <c r="J2256" s="973" t="s">
        <v>697</v>
      </c>
      <c r="K2256" s="973" t="s">
        <v>995</v>
      </c>
      <c r="L2256" s="973" t="s">
        <v>996</v>
      </c>
      <c r="M2256" s="973" t="s">
        <v>2000</v>
      </c>
      <c r="N2256" s="973" t="s">
        <v>2001</v>
      </c>
      <c r="O2256" s="973" t="s">
        <v>1971</v>
      </c>
      <c r="P2256" s="973" t="s">
        <v>999</v>
      </c>
      <c r="Q2256" s="973" t="s">
        <v>1000</v>
      </c>
      <c r="R2256" s="973" t="s">
        <v>1001</v>
      </c>
      <c r="S2256" s="973" t="s">
        <v>1002</v>
      </c>
      <c r="AE2256" s="423" t="str">
        <f t="shared" si="35"/>
        <v/>
      </c>
    </row>
    <row r="2257" spans="4:31" x14ac:dyDescent="0.25">
      <c r="D2257" s="973" t="s">
        <v>990</v>
      </c>
      <c r="E2257" s="973" t="s">
        <v>991</v>
      </c>
      <c r="F2257" s="973" t="s">
        <v>992</v>
      </c>
      <c r="G2257" s="973" t="s">
        <v>1997</v>
      </c>
      <c r="H2257" s="973" t="s">
        <v>1998</v>
      </c>
      <c r="I2257" s="973" t="s">
        <v>1999</v>
      </c>
      <c r="J2257" s="973" t="s">
        <v>697</v>
      </c>
      <c r="K2257" s="973" t="s">
        <v>995</v>
      </c>
      <c r="L2257" s="973" t="s">
        <v>996</v>
      </c>
      <c r="M2257" s="973" t="s">
        <v>2000</v>
      </c>
      <c r="N2257" s="973" t="s">
        <v>2001</v>
      </c>
      <c r="O2257" s="973" t="s">
        <v>1971</v>
      </c>
      <c r="P2257" s="973" t="s">
        <v>999</v>
      </c>
      <c r="Q2257" s="973" t="s">
        <v>1000</v>
      </c>
      <c r="R2257" s="973" t="s">
        <v>1001</v>
      </c>
      <c r="S2257" s="973" t="s">
        <v>1002</v>
      </c>
      <c r="AE2257" s="423" t="str">
        <f t="shared" si="35"/>
        <v/>
      </c>
    </row>
    <row r="2258" spans="4:31" x14ac:dyDescent="0.25">
      <c r="D2258" s="973" t="s">
        <v>990</v>
      </c>
      <c r="E2258" s="973" t="s">
        <v>991</v>
      </c>
      <c r="F2258" s="973" t="s">
        <v>992</v>
      </c>
      <c r="G2258" s="973" t="s">
        <v>1997</v>
      </c>
      <c r="H2258" s="973" t="s">
        <v>1998</v>
      </c>
      <c r="I2258" s="973" t="s">
        <v>1999</v>
      </c>
      <c r="J2258" s="973" t="s">
        <v>697</v>
      </c>
      <c r="K2258" s="973" t="s">
        <v>995</v>
      </c>
      <c r="L2258" s="973" t="s">
        <v>996</v>
      </c>
      <c r="M2258" s="973" t="s">
        <v>2000</v>
      </c>
      <c r="N2258" s="973" t="s">
        <v>2001</v>
      </c>
      <c r="O2258" s="973" t="s">
        <v>1971</v>
      </c>
      <c r="P2258" s="973" t="s">
        <v>999</v>
      </c>
      <c r="Q2258" s="973" t="s">
        <v>1000</v>
      </c>
      <c r="R2258" s="973" t="s">
        <v>1001</v>
      </c>
      <c r="S2258" s="973" t="s">
        <v>1002</v>
      </c>
      <c r="AE2258" s="423" t="str">
        <f t="shared" si="35"/>
        <v/>
      </c>
    </row>
    <row r="2259" spans="4:31" x14ac:dyDescent="0.25">
      <c r="D2259" s="973" t="s">
        <v>990</v>
      </c>
      <c r="E2259" s="973" t="s">
        <v>991</v>
      </c>
      <c r="F2259" s="973" t="s">
        <v>992</v>
      </c>
      <c r="G2259" s="973" t="s">
        <v>1997</v>
      </c>
      <c r="H2259" s="973" t="s">
        <v>1998</v>
      </c>
      <c r="I2259" s="973" t="s">
        <v>1999</v>
      </c>
      <c r="J2259" s="973" t="s">
        <v>697</v>
      </c>
      <c r="K2259" s="973" t="s">
        <v>995</v>
      </c>
      <c r="L2259" s="973" t="s">
        <v>996</v>
      </c>
      <c r="M2259" s="973" t="s">
        <v>2000</v>
      </c>
      <c r="N2259" s="973" t="s">
        <v>2001</v>
      </c>
      <c r="O2259" s="973" t="s">
        <v>1971</v>
      </c>
      <c r="P2259" s="973" t="s">
        <v>999</v>
      </c>
      <c r="Q2259" s="973" t="s">
        <v>1000</v>
      </c>
      <c r="R2259" s="973" t="s">
        <v>1001</v>
      </c>
      <c r="S2259" s="973" t="s">
        <v>1002</v>
      </c>
      <c r="AE2259" s="423" t="str">
        <f t="shared" si="35"/>
        <v/>
      </c>
    </row>
    <row r="2260" spans="4:31" x14ac:dyDescent="0.25">
      <c r="D2260" s="973" t="s">
        <v>990</v>
      </c>
      <c r="E2260" s="973" t="s">
        <v>991</v>
      </c>
      <c r="F2260" s="973" t="s">
        <v>992</v>
      </c>
      <c r="G2260" s="973" t="s">
        <v>1997</v>
      </c>
      <c r="H2260" s="973" t="s">
        <v>1998</v>
      </c>
      <c r="I2260" s="973" t="s">
        <v>1999</v>
      </c>
      <c r="J2260" s="973" t="s">
        <v>697</v>
      </c>
      <c r="K2260" s="973" t="s">
        <v>995</v>
      </c>
      <c r="L2260" s="973" t="s">
        <v>996</v>
      </c>
      <c r="M2260" s="973" t="s">
        <v>2000</v>
      </c>
      <c r="N2260" s="973" t="s">
        <v>2001</v>
      </c>
      <c r="O2260" s="973" t="s">
        <v>1971</v>
      </c>
      <c r="P2260" s="973" t="s">
        <v>999</v>
      </c>
      <c r="Q2260" s="973" t="s">
        <v>1000</v>
      </c>
      <c r="R2260" s="973" t="s">
        <v>1001</v>
      </c>
      <c r="S2260" s="973" t="s">
        <v>1002</v>
      </c>
      <c r="AE2260" s="423" t="str">
        <f t="shared" si="35"/>
        <v/>
      </c>
    </row>
    <row r="2261" spans="4:31" x14ac:dyDescent="0.25">
      <c r="D2261" s="973" t="s">
        <v>990</v>
      </c>
      <c r="E2261" s="973" t="s">
        <v>991</v>
      </c>
      <c r="F2261" s="973" t="s">
        <v>992</v>
      </c>
      <c r="G2261" s="973" t="s">
        <v>1997</v>
      </c>
      <c r="H2261" s="973" t="s">
        <v>1998</v>
      </c>
      <c r="I2261" s="973" t="s">
        <v>1999</v>
      </c>
      <c r="J2261" s="973" t="s">
        <v>697</v>
      </c>
      <c r="K2261" s="973" t="s">
        <v>995</v>
      </c>
      <c r="L2261" s="973" t="s">
        <v>996</v>
      </c>
      <c r="M2261" s="973" t="s">
        <v>2000</v>
      </c>
      <c r="N2261" s="973" t="s">
        <v>2001</v>
      </c>
      <c r="O2261" s="973" t="s">
        <v>1971</v>
      </c>
      <c r="P2261" s="973" t="s">
        <v>999</v>
      </c>
      <c r="Q2261" s="973" t="s">
        <v>1000</v>
      </c>
      <c r="R2261" s="973" t="s">
        <v>1001</v>
      </c>
      <c r="S2261" s="973" t="s">
        <v>1002</v>
      </c>
      <c r="AE2261" s="423" t="str">
        <f t="shared" si="35"/>
        <v/>
      </c>
    </row>
    <row r="2262" spans="4:31" x14ac:dyDescent="0.25">
      <c r="D2262" s="973" t="s">
        <v>990</v>
      </c>
      <c r="E2262" s="973" t="s">
        <v>991</v>
      </c>
      <c r="F2262" s="973" t="s">
        <v>992</v>
      </c>
      <c r="G2262" s="973" t="s">
        <v>1997</v>
      </c>
      <c r="H2262" s="973" t="s">
        <v>1998</v>
      </c>
      <c r="I2262" s="973" t="s">
        <v>1999</v>
      </c>
      <c r="J2262" s="973" t="s">
        <v>697</v>
      </c>
      <c r="K2262" s="973" t="s">
        <v>995</v>
      </c>
      <c r="L2262" s="973" t="s">
        <v>996</v>
      </c>
      <c r="M2262" s="973" t="s">
        <v>2000</v>
      </c>
      <c r="N2262" s="973" t="s">
        <v>2001</v>
      </c>
      <c r="O2262" s="973" t="s">
        <v>1971</v>
      </c>
      <c r="P2262" s="973" t="s">
        <v>999</v>
      </c>
      <c r="Q2262" s="973" t="s">
        <v>1000</v>
      </c>
      <c r="R2262" s="973" t="s">
        <v>1001</v>
      </c>
      <c r="S2262" s="973" t="s">
        <v>1002</v>
      </c>
      <c r="AE2262" s="423" t="str">
        <f t="shared" si="35"/>
        <v/>
      </c>
    </row>
    <row r="2263" spans="4:31" x14ac:dyDescent="0.25">
      <c r="D2263" s="973" t="s">
        <v>990</v>
      </c>
      <c r="E2263" s="973" t="s">
        <v>991</v>
      </c>
      <c r="F2263" s="973" t="s">
        <v>992</v>
      </c>
      <c r="G2263" s="973" t="s">
        <v>1997</v>
      </c>
      <c r="H2263" s="973" t="s">
        <v>1998</v>
      </c>
      <c r="I2263" s="973" t="s">
        <v>1999</v>
      </c>
      <c r="J2263" s="973" t="s">
        <v>697</v>
      </c>
      <c r="K2263" s="973" t="s">
        <v>995</v>
      </c>
      <c r="L2263" s="973" t="s">
        <v>996</v>
      </c>
      <c r="M2263" s="973" t="s">
        <v>2000</v>
      </c>
      <c r="N2263" s="973" t="s">
        <v>2001</v>
      </c>
      <c r="O2263" s="973" t="s">
        <v>1971</v>
      </c>
      <c r="P2263" s="973" t="s">
        <v>999</v>
      </c>
      <c r="Q2263" s="973" t="s">
        <v>1000</v>
      </c>
      <c r="R2263" s="973" t="s">
        <v>1001</v>
      </c>
      <c r="S2263" s="973" t="s">
        <v>1002</v>
      </c>
      <c r="AE2263" s="423" t="str">
        <f t="shared" si="35"/>
        <v/>
      </c>
    </row>
    <row r="2264" spans="4:31" x14ac:dyDescent="0.25">
      <c r="D2264" s="973" t="s">
        <v>990</v>
      </c>
      <c r="E2264" s="973" t="s">
        <v>991</v>
      </c>
      <c r="F2264" s="973" t="s">
        <v>992</v>
      </c>
      <c r="G2264" s="973" t="s">
        <v>1997</v>
      </c>
      <c r="H2264" s="973" t="s">
        <v>1998</v>
      </c>
      <c r="I2264" s="973" t="s">
        <v>1999</v>
      </c>
      <c r="J2264" s="973" t="s">
        <v>697</v>
      </c>
      <c r="K2264" s="973" t="s">
        <v>995</v>
      </c>
      <c r="L2264" s="973" t="s">
        <v>996</v>
      </c>
      <c r="M2264" s="973" t="s">
        <v>2000</v>
      </c>
      <c r="N2264" s="973" t="s">
        <v>2001</v>
      </c>
      <c r="O2264" s="973" t="s">
        <v>1971</v>
      </c>
      <c r="P2264" s="973" t="s">
        <v>999</v>
      </c>
      <c r="Q2264" s="973" t="s">
        <v>1000</v>
      </c>
      <c r="R2264" s="973" t="s">
        <v>1001</v>
      </c>
      <c r="S2264" s="973" t="s">
        <v>1002</v>
      </c>
      <c r="AE2264" s="423" t="str">
        <f t="shared" si="35"/>
        <v/>
      </c>
    </row>
    <row r="2265" spans="4:31" x14ac:dyDescent="0.25">
      <c r="D2265" s="973" t="s">
        <v>990</v>
      </c>
      <c r="E2265" s="973" t="s">
        <v>991</v>
      </c>
      <c r="F2265" s="973" t="s">
        <v>992</v>
      </c>
      <c r="G2265" s="973" t="s">
        <v>1997</v>
      </c>
      <c r="H2265" s="973" t="s">
        <v>1998</v>
      </c>
      <c r="I2265" s="973" t="s">
        <v>1999</v>
      </c>
      <c r="J2265" s="973" t="s">
        <v>697</v>
      </c>
      <c r="K2265" s="973" t="s">
        <v>995</v>
      </c>
      <c r="L2265" s="973" t="s">
        <v>996</v>
      </c>
      <c r="M2265" s="973" t="s">
        <v>2000</v>
      </c>
      <c r="N2265" s="973" t="s">
        <v>2001</v>
      </c>
      <c r="O2265" s="973" t="s">
        <v>1971</v>
      </c>
      <c r="P2265" s="973" t="s">
        <v>999</v>
      </c>
      <c r="Q2265" s="973" t="s">
        <v>1000</v>
      </c>
      <c r="R2265" s="973" t="s">
        <v>1001</v>
      </c>
      <c r="S2265" s="973" t="s">
        <v>1002</v>
      </c>
      <c r="AE2265" s="423" t="str">
        <f t="shared" si="35"/>
        <v/>
      </c>
    </row>
    <row r="2266" spans="4:31" x14ac:dyDescent="0.25">
      <c r="D2266" s="973" t="s">
        <v>990</v>
      </c>
      <c r="E2266" s="973" t="s">
        <v>991</v>
      </c>
      <c r="F2266" s="973" t="s">
        <v>992</v>
      </c>
      <c r="G2266" s="973" t="s">
        <v>1997</v>
      </c>
      <c r="H2266" s="973" t="s">
        <v>1998</v>
      </c>
      <c r="I2266" s="973" t="s">
        <v>1999</v>
      </c>
      <c r="J2266" s="973" t="s">
        <v>697</v>
      </c>
      <c r="K2266" s="973" t="s">
        <v>995</v>
      </c>
      <c r="L2266" s="973" t="s">
        <v>996</v>
      </c>
      <c r="M2266" s="973" t="s">
        <v>2000</v>
      </c>
      <c r="N2266" s="973" t="s">
        <v>2001</v>
      </c>
      <c r="O2266" s="973" t="s">
        <v>1971</v>
      </c>
      <c r="P2266" s="973" t="s">
        <v>999</v>
      </c>
      <c r="Q2266" s="973" t="s">
        <v>1000</v>
      </c>
      <c r="R2266" s="973" t="s">
        <v>1001</v>
      </c>
      <c r="S2266" s="973" t="s">
        <v>1002</v>
      </c>
      <c r="AE2266" s="423" t="str">
        <f t="shared" si="35"/>
        <v/>
      </c>
    </row>
    <row r="2267" spans="4:31" x14ac:dyDescent="0.25">
      <c r="D2267" s="973" t="s">
        <v>990</v>
      </c>
      <c r="E2267" s="973" t="s">
        <v>991</v>
      </c>
      <c r="F2267" s="973" t="s">
        <v>992</v>
      </c>
      <c r="G2267" s="973" t="s">
        <v>1997</v>
      </c>
      <c r="H2267" s="973" t="s">
        <v>1998</v>
      </c>
      <c r="I2267" s="973" t="s">
        <v>1999</v>
      </c>
      <c r="J2267" s="973" t="s">
        <v>697</v>
      </c>
      <c r="K2267" s="973" t="s">
        <v>995</v>
      </c>
      <c r="L2267" s="973" t="s">
        <v>996</v>
      </c>
      <c r="M2267" s="973" t="s">
        <v>2000</v>
      </c>
      <c r="N2267" s="973" t="s">
        <v>2001</v>
      </c>
      <c r="O2267" s="973" t="s">
        <v>1971</v>
      </c>
      <c r="P2267" s="973" t="s">
        <v>999</v>
      </c>
      <c r="Q2267" s="973" t="s">
        <v>1000</v>
      </c>
      <c r="R2267" s="973" t="s">
        <v>1001</v>
      </c>
      <c r="S2267" s="973" t="s">
        <v>1002</v>
      </c>
      <c r="AE2267" s="423" t="str">
        <f t="shared" si="35"/>
        <v/>
      </c>
    </row>
    <row r="2268" spans="4:31" x14ac:dyDescent="0.25">
      <c r="D2268" s="973" t="s">
        <v>990</v>
      </c>
      <c r="E2268" s="973" t="s">
        <v>991</v>
      </c>
      <c r="F2268" s="973" t="s">
        <v>992</v>
      </c>
      <c r="G2268" s="973" t="s">
        <v>1997</v>
      </c>
      <c r="H2268" s="973" t="s">
        <v>1998</v>
      </c>
      <c r="I2268" s="973" t="s">
        <v>1999</v>
      </c>
      <c r="J2268" s="973" t="s">
        <v>697</v>
      </c>
      <c r="K2268" s="973" t="s">
        <v>995</v>
      </c>
      <c r="L2268" s="973" t="s">
        <v>996</v>
      </c>
      <c r="M2268" s="973" t="s">
        <v>2000</v>
      </c>
      <c r="N2268" s="973" t="s">
        <v>2001</v>
      </c>
      <c r="O2268" s="973" t="s">
        <v>1971</v>
      </c>
      <c r="P2268" s="973" t="s">
        <v>999</v>
      </c>
      <c r="Q2268" s="973" t="s">
        <v>1000</v>
      </c>
      <c r="R2268" s="973" t="s">
        <v>1001</v>
      </c>
      <c r="S2268" s="973" t="s">
        <v>1002</v>
      </c>
      <c r="AE2268" s="423" t="str">
        <f t="shared" si="35"/>
        <v/>
      </c>
    </row>
    <row r="2269" spans="4:31" x14ac:dyDescent="0.25">
      <c r="D2269" s="973" t="s">
        <v>990</v>
      </c>
      <c r="E2269" s="973" t="s">
        <v>991</v>
      </c>
      <c r="F2269" s="973" t="s">
        <v>992</v>
      </c>
      <c r="G2269" s="973" t="s">
        <v>1997</v>
      </c>
      <c r="H2269" s="973" t="s">
        <v>1998</v>
      </c>
      <c r="I2269" s="973" t="s">
        <v>1999</v>
      </c>
      <c r="J2269" s="973" t="s">
        <v>697</v>
      </c>
      <c r="K2269" s="973" t="s">
        <v>995</v>
      </c>
      <c r="L2269" s="973" t="s">
        <v>996</v>
      </c>
      <c r="M2269" s="973" t="s">
        <v>2000</v>
      </c>
      <c r="N2269" s="973" t="s">
        <v>2001</v>
      </c>
      <c r="O2269" s="973" t="s">
        <v>1971</v>
      </c>
      <c r="P2269" s="973" t="s">
        <v>999</v>
      </c>
      <c r="Q2269" s="973" t="s">
        <v>1000</v>
      </c>
      <c r="R2269" s="973" t="s">
        <v>1001</v>
      </c>
      <c r="S2269" s="973" t="s">
        <v>1002</v>
      </c>
      <c r="AE2269" s="423" t="str">
        <f t="shared" si="35"/>
        <v/>
      </c>
    </row>
    <row r="2270" spans="4:31" x14ac:dyDescent="0.25">
      <c r="D2270" s="973" t="s">
        <v>990</v>
      </c>
      <c r="E2270" s="973" t="s">
        <v>991</v>
      </c>
      <c r="F2270" s="973" t="s">
        <v>992</v>
      </c>
      <c r="G2270" s="973" t="s">
        <v>1997</v>
      </c>
      <c r="H2270" s="973" t="s">
        <v>1998</v>
      </c>
      <c r="I2270" s="973" t="s">
        <v>1999</v>
      </c>
      <c r="J2270" s="973" t="s">
        <v>697</v>
      </c>
      <c r="K2270" s="973" t="s">
        <v>995</v>
      </c>
      <c r="L2270" s="973" t="s">
        <v>996</v>
      </c>
      <c r="M2270" s="973" t="s">
        <v>2000</v>
      </c>
      <c r="N2270" s="973" t="s">
        <v>2001</v>
      </c>
      <c r="O2270" s="973" t="s">
        <v>1971</v>
      </c>
      <c r="P2270" s="973" t="s">
        <v>999</v>
      </c>
      <c r="Q2270" s="973" t="s">
        <v>1000</v>
      </c>
      <c r="R2270" s="973" t="s">
        <v>1001</v>
      </c>
      <c r="S2270" s="973" t="s">
        <v>1002</v>
      </c>
      <c r="AE2270" s="423" t="str">
        <f t="shared" si="35"/>
        <v/>
      </c>
    </row>
    <row r="2271" spans="4:31" x14ac:dyDescent="0.25">
      <c r="D2271" s="973" t="s">
        <v>990</v>
      </c>
      <c r="E2271" s="973" t="s">
        <v>991</v>
      </c>
      <c r="F2271" s="973" t="s">
        <v>992</v>
      </c>
      <c r="G2271" s="973" t="s">
        <v>1997</v>
      </c>
      <c r="H2271" s="973" t="s">
        <v>1998</v>
      </c>
      <c r="I2271" s="973" t="s">
        <v>1999</v>
      </c>
      <c r="J2271" s="973" t="s">
        <v>697</v>
      </c>
      <c r="K2271" s="973" t="s">
        <v>995</v>
      </c>
      <c r="L2271" s="973" t="s">
        <v>996</v>
      </c>
      <c r="M2271" s="973" t="s">
        <v>2000</v>
      </c>
      <c r="N2271" s="973" t="s">
        <v>2001</v>
      </c>
      <c r="O2271" s="973" t="s">
        <v>1971</v>
      </c>
      <c r="P2271" s="973" t="s">
        <v>999</v>
      </c>
      <c r="Q2271" s="973" t="s">
        <v>1000</v>
      </c>
      <c r="R2271" s="973" t="s">
        <v>1001</v>
      </c>
      <c r="S2271" s="973" t="s">
        <v>1002</v>
      </c>
      <c r="AE2271" s="423" t="str">
        <f t="shared" si="35"/>
        <v/>
      </c>
    </row>
    <row r="2272" spans="4:31" x14ac:dyDescent="0.25">
      <c r="D2272" s="973" t="s">
        <v>990</v>
      </c>
      <c r="E2272" s="973" t="s">
        <v>991</v>
      </c>
      <c r="F2272" s="973" t="s">
        <v>992</v>
      </c>
      <c r="G2272" s="973" t="s">
        <v>1997</v>
      </c>
      <c r="H2272" s="973" t="s">
        <v>1998</v>
      </c>
      <c r="I2272" s="973" t="s">
        <v>1999</v>
      </c>
      <c r="J2272" s="973" t="s">
        <v>697</v>
      </c>
      <c r="K2272" s="973" t="s">
        <v>995</v>
      </c>
      <c r="L2272" s="973" t="s">
        <v>996</v>
      </c>
      <c r="M2272" s="973" t="s">
        <v>2000</v>
      </c>
      <c r="N2272" s="973" t="s">
        <v>2001</v>
      </c>
      <c r="O2272" s="973" t="s">
        <v>1971</v>
      </c>
      <c r="P2272" s="973" t="s">
        <v>999</v>
      </c>
      <c r="Q2272" s="973" t="s">
        <v>1000</v>
      </c>
      <c r="R2272" s="973" t="s">
        <v>1001</v>
      </c>
      <c r="S2272" s="973" t="s">
        <v>1002</v>
      </c>
      <c r="AE2272" s="423" t="str">
        <f t="shared" si="35"/>
        <v/>
      </c>
    </row>
    <row r="2273" spans="4:31" x14ac:dyDescent="0.25">
      <c r="D2273" s="973" t="s">
        <v>990</v>
      </c>
      <c r="E2273" s="973" t="s">
        <v>991</v>
      </c>
      <c r="F2273" s="973" t="s">
        <v>992</v>
      </c>
      <c r="G2273" s="973" t="s">
        <v>1997</v>
      </c>
      <c r="H2273" s="973" t="s">
        <v>1998</v>
      </c>
      <c r="I2273" s="973" t="s">
        <v>1999</v>
      </c>
      <c r="J2273" s="973" t="s">
        <v>697</v>
      </c>
      <c r="K2273" s="973" t="s">
        <v>995</v>
      </c>
      <c r="L2273" s="973" t="s">
        <v>996</v>
      </c>
      <c r="M2273" s="973" t="s">
        <v>2000</v>
      </c>
      <c r="N2273" s="973" t="s">
        <v>2001</v>
      </c>
      <c r="O2273" s="973" t="s">
        <v>1971</v>
      </c>
      <c r="P2273" s="973" t="s">
        <v>999</v>
      </c>
      <c r="Q2273" s="973" t="s">
        <v>1000</v>
      </c>
      <c r="R2273" s="973" t="s">
        <v>1001</v>
      </c>
      <c r="S2273" s="973" t="s">
        <v>1002</v>
      </c>
      <c r="AE2273" s="423" t="str">
        <f t="shared" si="35"/>
        <v/>
      </c>
    </row>
    <row r="2274" spans="4:31" x14ac:dyDescent="0.25">
      <c r="D2274" s="973" t="s">
        <v>990</v>
      </c>
      <c r="E2274" s="973" t="s">
        <v>991</v>
      </c>
      <c r="F2274" s="973" t="s">
        <v>992</v>
      </c>
      <c r="G2274" s="973" t="s">
        <v>1997</v>
      </c>
      <c r="H2274" s="973" t="s">
        <v>1998</v>
      </c>
      <c r="I2274" s="973" t="s">
        <v>1999</v>
      </c>
      <c r="J2274" s="973" t="s">
        <v>697</v>
      </c>
      <c r="K2274" s="973" t="s">
        <v>995</v>
      </c>
      <c r="L2274" s="973" t="s">
        <v>996</v>
      </c>
      <c r="M2274" s="973" t="s">
        <v>2000</v>
      </c>
      <c r="N2274" s="973" t="s">
        <v>2001</v>
      </c>
      <c r="O2274" s="973" t="s">
        <v>1971</v>
      </c>
      <c r="P2274" s="973" t="s">
        <v>999</v>
      </c>
      <c r="Q2274" s="973" t="s">
        <v>1000</v>
      </c>
      <c r="R2274" s="973" t="s">
        <v>1001</v>
      </c>
      <c r="S2274" s="973" t="s">
        <v>1002</v>
      </c>
      <c r="AE2274" s="423" t="str">
        <f t="shared" si="35"/>
        <v/>
      </c>
    </row>
    <row r="2275" spans="4:31" x14ac:dyDescent="0.25">
      <c r="D2275" s="973" t="s">
        <v>990</v>
      </c>
      <c r="E2275" s="973" t="s">
        <v>991</v>
      </c>
      <c r="F2275" s="973" t="s">
        <v>992</v>
      </c>
      <c r="G2275" s="973" t="s">
        <v>1997</v>
      </c>
      <c r="H2275" s="973" t="s">
        <v>1998</v>
      </c>
      <c r="I2275" s="973" t="s">
        <v>1999</v>
      </c>
      <c r="J2275" s="973" t="s">
        <v>697</v>
      </c>
      <c r="K2275" s="973" t="s">
        <v>995</v>
      </c>
      <c r="L2275" s="973" t="s">
        <v>996</v>
      </c>
      <c r="M2275" s="973" t="s">
        <v>2000</v>
      </c>
      <c r="N2275" s="973" t="s">
        <v>2001</v>
      </c>
      <c r="O2275" s="973" t="s">
        <v>1971</v>
      </c>
      <c r="P2275" s="973" t="s">
        <v>999</v>
      </c>
      <c r="Q2275" s="973" t="s">
        <v>1000</v>
      </c>
      <c r="R2275" s="973" t="s">
        <v>1001</v>
      </c>
      <c r="S2275" s="973" t="s">
        <v>1002</v>
      </c>
      <c r="AE2275" s="423" t="str">
        <f t="shared" si="35"/>
        <v/>
      </c>
    </row>
    <row r="2276" spans="4:31" x14ac:dyDescent="0.25">
      <c r="D2276" s="973" t="s">
        <v>990</v>
      </c>
      <c r="E2276" s="973" t="s">
        <v>991</v>
      </c>
      <c r="F2276" s="973" t="s">
        <v>992</v>
      </c>
      <c r="G2276" s="973" t="s">
        <v>1997</v>
      </c>
      <c r="H2276" s="973" t="s">
        <v>1998</v>
      </c>
      <c r="I2276" s="973" t="s">
        <v>1999</v>
      </c>
      <c r="J2276" s="973" t="s">
        <v>697</v>
      </c>
      <c r="K2276" s="973" t="s">
        <v>995</v>
      </c>
      <c r="L2276" s="973" t="s">
        <v>996</v>
      </c>
      <c r="M2276" s="973" t="s">
        <v>2000</v>
      </c>
      <c r="N2276" s="973" t="s">
        <v>2001</v>
      </c>
      <c r="O2276" s="973" t="s">
        <v>1971</v>
      </c>
      <c r="P2276" s="973" t="s">
        <v>999</v>
      </c>
      <c r="Q2276" s="973" t="s">
        <v>1000</v>
      </c>
      <c r="R2276" s="973" t="s">
        <v>1001</v>
      </c>
      <c r="S2276" s="973" t="s">
        <v>1002</v>
      </c>
      <c r="AE2276" s="423" t="str">
        <f t="shared" si="35"/>
        <v/>
      </c>
    </row>
    <row r="2277" spans="4:31" x14ac:dyDescent="0.25">
      <c r="D2277" s="973" t="s">
        <v>990</v>
      </c>
      <c r="E2277" s="973" t="s">
        <v>991</v>
      </c>
      <c r="F2277" s="973" t="s">
        <v>992</v>
      </c>
      <c r="G2277" s="973" t="s">
        <v>1997</v>
      </c>
      <c r="H2277" s="973" t="s">
        <v>1998</v>
      </c>
      <c r="I2277" s="973" t="s">
        <v>1999</v>
      </c>
      <c r="J2277" s="973" t="s">
        <v>697</v>
      </c>
      <c r="K2277" s="973" t="s">
        <v>995</v>
      </c>
      <c r="L2277" s="973" t="s">
        <v>996</v>
      </c>
      <c r="M2277" s="973" t="s">
        <v>2000</v>
      </c>
      <c r="N2277" s="973" t="s">
        <v>2001</v>
      </c>
      <c r="O2277" s="973" t="s">
        <v>1971</v>
      </c>
      <c r="P2277" s="973" t="s">
        <v>999</v>
      </c>
      <c r="Q2277" s="973" t="s">
        <v>1000</v>
      </c>
      <c r="R2277" s="973" t="s">
        <v>1001</v>
      </c>
      <c r="S2277" s="973" t="s">
        <v>1002</v>
      </c>
      <c r="AE2277" s="423" t="str">
        <f t="shared" si="35"/>
        <v/>
      </c>
    </row>
    <row r="2278" spans="4:31" x14ac:dyDescent="0.25">
      <c r="D2278" s="973" t="s">
        <v>990</v>
      </c>
      <c r="E2278" s="973" t="s">
        <v>991</v>
      </c>
      <c r="F2278" s="973" t="s">
        <v>992</v>
      </c>
      <c r="G2278" s="973" t="s">
        <v>1997</v>
      </c>
      <c r="H2278" s="973" t="s">
        <v>1998</v>
      </c>
      <c r="I2278" s="973" t="s">
        <v>1999</v>
      </c>
      <c r="J2278" s="973" t="s">
        <v>697</v>
      </c>
      <c r="K2278" s="973" t="s">
        <v>995</v>
      </c>
      <c r="L2278" s="973" t="s">
        <v>996</v>
      </c>
      <c r="M2278" s="973" t="s">
        <v>2000</v>
      </c>
      <c r="N2278" s="973" t="s">
        <v>2001</v>
      </c>
      <c r="O2278" s="973" t="s">
        <v>1971</v>
      </c>
      <c r="P2278" s="973" t="s">
        <v>999</v>
      </c>
      <c r="Q2278" s="973" t="s">
        <v>1000</v>
      </c>
      <c r="R2278" s="973" t="s">
        <v>1001</v>
      </c>
      <c r="S2278" s="973" t="s">
        <v>1002</v>
      </c>
      <c r="AE2278" s="423" t="str">
        <f t="shared" si="35"/>
        <v/>
      </c>
    </row>
    <row r="2279" spans="4:31" x14ac:dyDescent="0.25">
      <c r="D2279" s="973" t="s">
        <v>990</v>
      </c>
      <c r="E2279" s="973" t="s">
        <v>991</v>
      </c>
      <c r="F2279" s="973" t="s">
        <v>992</v>
      </c>
      <c r="G2279" s="973" t="s">
        <v>1997</v>
      </c>
      <c r="H2279" s="973" t="s">
        <v>1998</v>
      </c>
      <c r="I2279" s="973" t="s">
        <v>1999</v>
      </c>
      <c r="J2279" s="973" t="s">
        <v>697</v>
      </c>
      <c r="K2279" s="973" t="s">
        <v>995</v>
      </c>
      <c r="L2279" s="973" t="s">
        <v>996</v>
      </c>
      <c r="M2279" s="973" t="s">
        <v>2000</v>
      </c>
      <c r="N2279" s="973" t="s">
        <v>2001</v>
      </c>
      <c r="O2279" s="973" t="s">
        <v>1971</v>
      </c>
      <c r="P2279" s="973" t="s">
        <v>999</v>
      </c>
      <c r="Q2279" s="973" t="s">
        <v>1000</v>
      </c>
      <c r="R2279" s="973" t="s">
        <v>1001</v>
      </c>
      <c r="S2279" s="973" t="s">
        <v>1002</v>
      </c>
      <c r="AE2279" s="423" t="str">
        <f t="shared" si="35"/>
        <v/>
      </c>
    </row>
    <row r="2280" spans="4:31" x14ac:dyDescent="0.25">
      <c r="D2280" s="973" t="s">
        <v>990</v>
      </c>
      <c r="E2280" s="973" t="s">
        <v>991</v>
      </c>
      <c r="F2280" s="973" t="s">
        <v>992</v>
      </c>
      <c r="G2280" s="973" t="s">
        <v>1997</v>
      </c>
      <c r="H2280" s="973" t="s">
        <v>1998</v>
      </c>
      <c r="I2280" s="973" t="s">
        <v>1999</v>
      </c>
      <c r="J2280" s="973" t="s">
        <v>697</v>
      </c>
      <c r="K2280" s="973" t="s">
        <v>995</v>
      </c>
      <c r="L2280" s="973" t="s">
        <v>996</v>
      </c>
      <c r="M2280" s="973" t="s">
        <v>2000</v>
      </c>
      <c r="N2280" s="973" t="s">
        <v>2001</v>
      </c>
      <c r="O2280" s="973" t="s">
        <v>1971</v>
      </c>
      <c r="P2280" s="973" t="s">
        <v>999</v>
      </c>
      <c r="Q2280" s="973" t="s">
        <v>1000</v>
      </c>
      <c r="R2280" s="973" t="s">
        <v>1001</v>
      </c>
      <c r="S2280" s="973" t="s">
        <v>1002</v>
      </c>
      <c r="AE2280" s="423" t="str">
        <f t="shared" si="35"/>
        <v/>
      </c>
    </row>
    <row r="2281" spans="4:31" x14ac:dyDescent="0.25">
      <c r="D2281" s="973" t="s">
        <v>990</v>
      </c>
      <c r="E2281" s="973" t="s">
        <v>991</v>
      </c>
      <c r="F2281" s="973" t="s">
        <v>992</v>
      </c>
      <c r="G2281" s="973" t="s">
        <v>1997</v>
      </c>
      <c r="H2281" s="973" t="s">
        <v>1998</v>
      </c>
      <c r="I2281" s="973" t="s">
        <v>1999</v>
      </c>
      <c r="J2281" s="973" t="s">
        <v>697</v>
      </c>
      <c r="K2281" s="973" t="s">
        <v>995</v>
      </c>
      <c r="L2281" s="973" t="s">
        <v>996</v>
      </c>
      <c r="M2281" s="973" t="s">
        <v>2000</v>
      </c>
      <c r="N2281" s="973" t="s">
        <v>2001</v>
      </c>
      <c r="O2281" s="973" t="s">
        <v>1971</v>
      </c>
      <c r="P2281" s="973" t="s">
        <v>999</v>
      </c>
      <c r="Q2281" s="973" t="s">
        <v>1000</v>
      </c>
      <c r="R2281" s="973" t="s">
        <v>1001</v>
      </c>
      <c r="S2281" s="973" t="s">
        <v>1002</v>
      </c>
      <c r="AE2281" s="423" t="str">
        <f t="shared" si="35"/>
        <v/>
      </c>
    </row>
    <row r="2282" spans="4:31" x14ac:dyDescent="0.25">
      <c r="D2282" s="973" t="s">
        <v>990</v>
      </c>
      <c r="E2282" s="973" t="s">
        <v>991</v>
      </c>
      <c r="F2282" s="973" t="s">
        <v>992</v>
      </c>
      <c r="G2282" s="973" t="s">
        <v>1997</v>
      </c>
      <c r="H2282" s="973" t="s">
        <v>1998</v>
      </c>
      <c r="I2282" s="973" t="s">
        <v>1999</v>
      </c>
      <c r="J2282" s="973" t="s">
        <v>697</v>
      </c>
      <c r="K2282" s="973" t="s">
        <v>995</v>
      </c>
      <c r="L2282" s="973" t="s">
        <v>996</v>
      </c>
      <c r="M2282" s="973" t="s">
        <v>2000</v>
      </c>
      <c r="N2282" s="973" t="s">
        <v>2001</v>
      </c>
      <c r="O2282" s="973" t="s">
        <v>1971</v>
      </c>
      <c r="P2282" s="973" t="s">
        <v>999</v>
      </c>
      <c r="Q2282" s="973" t="s">
        <v>1000</v>
      </c>
      <c r="R2282" s="973" t="s">
        <v>1001</v>
      </c>
      <c r="S2282" s="973" t="s">
        <v>1002</v>
      </c>
      <c r="AE2282" s="423" t="str">
        <f t="shared" si="35"/>
        <v/>
      </c>
    </row>
    <row r="2283" spans="4:31" x14ac:dyDescent="0.25">
      <c r="D2283" s="973" t="s">
        <v>990</v>
      </c>
      <c r="E2283" s="973" t="s">
        <v>991</v>
      </c>
      <c r="F2283" s="973" t="s">
        <v>992</v>
      </c>
      <c r="G2283" s="973" t="s">
        <v>1997</v>
      </c>
      <c r="H2283" s="973" t="s">
        <v>1998</v>
      </c>
      <c r="I2283" s="973" t="s">
        <v>1999</v>
      </c>
      <c r="J2283" s="973" t="s">
        <v>697</v>
      </c>
      <c r="K2283" s="973" t="s">
        <v>995</v>
      </c>
      <c r="L2283" s="973" t="s">
        <v>996</v>
      </c>
      <c r="M2283" s="973" t="s">
        <v>2000</v>
      </c>
      <c r="N2283" s="973" t="s">
        <v>2001</v>
      </c>
      <c r="O2283" s="973" t="s">
        <v>1971</v>
      </c>
      <c r="P2283" s="973" t="s">
        <v>999</v>
      </c>
      <c r="Q2283" s="973" t="s">
        <v>1000</v>
      </c>
      <c r="R2283" s="973" t="s">
        <v>1001</v>
      </c>
      <c r="S2283" s="973" t="s">
        <v>1002</v>
      </c>
      <c r="AE2283" s="423" t="str">
        <f t="shared" si="35"/>
        <v/>
      </c>
    </row>
    <row r="2284" spans="4:31" x14ac:dyDescent="0.25">
      <c r="D2284" s="973" t="s">
        <v>990</v>
      </c>
      <c r="E2284" s="973" t="s">
        <v>991</v>
      </c>
      <c r="F2284" s="973" t="s">
        <v>992</v>
      </c>
      <c r="G2284" s="973" t="s">
        <v>1997</v>
      </c>
      <c r="H2284" s="973" t="s">
        <v>1998</v>
      </c>
      <c r="I2284" s="973" t="s">
        <v>1999</v>
      </c>
      <c r="J2284" s="973" t="s">
        <v>697</v>
      </c>
      <c r="K2284" s="973" t="s">
        <v>995</v>
      </c>
      <c r="L2284" s="973" t="s">
        <v>996</v>
      </c>
      <c r="M2284" s="973" t="s">
        <v>2000</v>
      </c>
      <c r="N2284" s="973" t="s">
        <v>2001</v>
      </c>
      <c r="O2284" s="973" t="s">
        <v>1971</v>
      </c>
      <c r="P2284" s="973" t="s">
        <v>999</v>
      </c>
      <c r="Q2284" s="973" t="s">
        <v>1000</v>
      </c>
      <c r="R2284" s="973" t="s">
        <v>1001</v>
      </c>
      <c r="S2284" s="973" t="s">
        <v>1002</v>
      </c>
      <c r="AE2284" s="423" t="str">
        <f t="shared" si="35"/>
        <v/>
      </c>
    </row>
    <row r="2285" spans="4:31" x14ac:dyDescent="0.25">
      <c r="D2285" s="973" t="s">
        <v>990</v>
      </c>
      <c r="E2285" s="973" t="s">
        <v>991</v>
      </c>
      <c r="F2285" s="973" t="s">
        <v>992</v>
      </c>
      <c r="G2285" s="973" t="s">
        <v>1997</v>
      </c>
      <c r="H2285" s="973" t="s">
        <v>1998</v>
      </c>
      <c r="I2285" s="973" t="s">
        <v>1999</v>
      </c>
      <c r="J2285" s="973" t="s">
        <v>697</v>
      </c>
      <c r="K2285" s="973" t="s">
        <v>995</v>
      </c>
      <c r="L2285" s="973" t="s">
        <v>996</v>
      </c>
      <c r="M2285" s="973" t="s">
        <v>2000</v>
      </c>
      <c r="N2285" s="973" t="s">
        <v>2001</v>
      </c>
      <c r="O2285" s="973" t="s">
        <v>1971</v>
      </c>
      <c r="P2285" s="973" t="s">
        <v>999</v>
      </c>
      <c r="Q2285" s="973" t="s">
        <v>1000</v>
      </c>
      <c r="R2285" s="973" t="s">
        <v>1001</v>
      </c>
      <c r="S2285" s="973" t="s">
        <v>1002</v>
      </c>
      <c r="AE2285" s="423" t="str">
        <f t="shared" si="35"/>
        <v/>
      </c>
    </row>
    <row r="2286" spans="4:31" x14ac:dyDescent="0.25">
      <c r="D2286" s="973" t="s">
        <v>990</v>
      </c>
      <c r="E2286" s="973" t="s">
        <v>991</v>
      </c>
      <c r="F2286" s="973" t="s">
        <v>992</v>
      </c>
      <c r="G2286" s="973" t="s">
        <v>1997</v>
      </c>
      <c r="H2286" s="973" t="s">
        <v>1998</v>
      </c>
      <c r="I2286" s="973" t="s">
        <v>1999</v>
      </c>
      <c r="J2286" s="973" t="s">
        <v>697</v>
      </c>
      <c r="K2286" s="973" t="s">
        <v>995</v>
      </c>
      <c r="L2286" s="973" t="s">
        <v>996</v>
      </c>
      <c r="M2286" s="973" t="s">
        <v>2000</v>
      </c>
      <c r="N2286" s="973" t="s">
        <v>2001</v>
      </c>
      <c r="O2286" s="973" t="s">
        <v>1971</v>
      </c>
      <c r="P2286" s="973" t="s">
        <v>999</v>
      </c>
      <c r="Q2286" s="973" t="s">
        <v>1000</v>
      </c>
      <c r="R2286" s="973" t="s">
        <v>1001</v>
      </c>
      <c r="S2286" s="973" t="s">
        <v>1002</v>
      </c>
      <c r="AE2286" s="423" t="str">
        <f t="shared" si="35"/>
        <v/>
      </c>
    </row>
    <row r="2287" spans="4:31" x14ac:dyDescent="0.25">
      <c r="D2287" s="973" t="s">
        <v>990</v>
      </c>
      <c r="E2287" s="973" t="s">
        <v>991</v>
      </c>
      <c r="F2287" s="973" t="s">
        <v>992</v>
      </c>
      <c r="G2287" s="973" t="s">
        <v>1997</v>
      </c>
      <c r="H2287" s="973" t="s">
        <v>1998</v>
      </c>
      <c r="I2287" s="973" t="s">
        <v>1999</v>
      </c>
      <c r="J2287" s="973" t="s">
        <v>697</v>
      </c>
      <c r="K2287" s="973" t="s">
        <v>995</v>
      </c>
      <c r="L2287" s="973" t="s">
        <v>996</v>
      </c>
      <c r="M2287" s="973" t="s">
        <v>2000</v>
      </c>
      <c r="N2287" s="973" t="s">
        <v>2001</v>
      </c>
      <c r="O2287" s="973" t="s">
        <v>1971</v>
      </c>
      <c r="P2287" s="973" t="s">
        <v>999</v>
      </c>
      <c r="Q2287" s="973" t="s">
        <v>1000</v>
      </c>
      <c r="R2287" s="973" t="s">
        <v>1001</v>
      </c>
      <c r="S2287" s="973" t="s">
        <v>1002</v>
      </c>
      <c r="AE2287" s="423" t="str">
        <f t="shared" si="35"/>
        <v/>
      </c>
    </row>
    <row r="2288" spans="4:31" x14ac:dyDescent="0.25">
      <c r="D2288" s="973" t="s">
        <v>990</v>
      </c>
      <c r="E2288" s="973" t="s">
        <v>991</v>
      </c>
      <c r="F2288" s="973" t="s">
        <v>992</v>
      </c>
      <c r="G2288" s="973" t="s">
        <v>1997</v>
      </c>
      <c r="H2288" s="973" t="s">
        <v>1998</v>
      </c>
      <c r="I2288" s="973" t="s">
        <v>1999</v>
      </c>
      <c r="J2288" s="973" t="s">
        <v>697</v>
      </c>
      <c r="K2288" s="973" t="s">
        <v>995</v>
      </c>
      <c r="L2288" s="973" t="s">
        <v>996</v>
      </c>
      <c r="M2288" s="973" t="s">
        <v>2000</v>
      </c>
      <c r="N2288" s="973" t="s">
        <v>2001</v>
      </c>
      <c r="O2288" s="973" t="s">
        <v>1971</v>
      </c>
      <c r="P2288" s="973" t="s">
        <v>999</v>
      </c>
      <c r="Q2288" s="973" t="s">
        <v>1000</v>
      </c>
      <c r="R2288" s="973" t="s">
        <v>1001</v>
      </c>
      <c r="S2288" s="973" t="s">
        <v>1002</v>
      </c>
      <c r="AE2288" s="423" t="str">
        <f t="shared" si="35"/>
        <v/>
      </c>
    </row>
    <row r="2289" spans="4:31" x14ac:dyDescent="0.25">
      <c r="D2289" s="973" t="s">
        <v>990</v>
      </c>
      <c r="E2289" s="973" t="s">
        <v>991</v>
      </c>
      <c r="F2289" s="973" t="s">
        <v>992</v>
      </c>
      <c r="G2289" s="973" t="s">
        <v>1997</v>
      </c>
      <c r="H2289" s="973" t="s">
        <v>1998</v>
      </c>
      <c r="I2289" s="973" t="s">
        <v>1999</v>
      </c>
      <c r="J2289" s="973" t="s">
        <v>697</v>
      </c>
      <c r="K2289" s="973" t="s">
        <v>995</v>
      </c>
      <c r="L2289" s="973" t="s">
        <v>996</v>
      </c>
      <c r="M2289" s="973" t="s">
        <v>2000</v>
      </c>
      <c r="N2289" s="973" t="s">
        <v>2001</v>
      </c>
      <c r="O2289" s="973" t="s">
        <v>1971</v>
      </c>
      <c r="P2289" s="973" t="s">
        <v>999</v>
      </c>
      <c r="Q2289" s="973" t="s">
        <v>1000</v>
      </c>
      <c r="R2289" s="973" t="s">
        <v>1001</v>
      </c>
      <c r="S2289" s="973" t="s">
        <v>1002</v>
      </c>
      <c r="AE2289" s="423" t="str">
        <f t="shared" si="35"/>
        <v/>
      </c>
    </row>
    <row r="2290" spans="4:31" x14ac:dyDescent="0.25">
      <c r="D2290" s="973" t="s">
        <v>990</v>
      </c>
      <c r="E2290" s="973" t="s">
        <v>991</v>
      </c>
      <c r="F2290" s="973" t="s">
        <v>992</v>
      </c>
      <c r="G2290" s="973" t="s">
        <v>1997</v>
      </c>
      <c r="H2290" s="973" t="s">
        <v>1998</v>
      </c>
      <c r="I2290" s="973" t="s">
        <v>1999</v>
      </c>
      <c r="J2290" s="973" t="s">
        <v>697</v>
      </c>
      <c r="K2290" s="973" t="s">
        <v>995</v>
      </c>
      <c r="L2290" s="973" t="s">
        <v>996</v>
      </c>
      <c r="M2290" s="973" t="s">
        <v>2000</v>
      </c>
      <c r="N2290" s="973" t="s">
        <v>2001</v>
      </c>
      <c r="O2290" s="973" t="s">
        <v>1971</v>
      </c>
      <c r="P2290" s="973" t="s">
        <v>999</v>
      </c>
      <c r="Q2290" s="973" t="s">
        <v>1000</v>
      </c>
      <c r="R2290" s="973" t="s">
        <v>1001</v>
      </c>
      <c r="S2290" s="973" t="s">
        <v>1002</v>
      </c>
      <c r="AE2290" s="423" t="str">
        <f t="shared" si="35"/>
        <v/>
      </c>
    </row>
    <row r="2291" spans="4:31" x14ac:dyDescent="0.25">
      <c r="D2291" s="973" t="s">
        <v>990</v>
      </c>
      <c r="E2291" s="973" t="s">
        <v>991</v>
      </c>
      <c r="F2291" s="973" t="s">
        <v>992</v>
      </c>
      <c r="G2291" s="973" t="s">
        <v>1997</v>
      </c>
      <c r="H2291" s="973" t="s">
        <v>1998</v>
      </c>
      <c r="I2291" s="973" t="s">
        <v>1999</v>
      </c>
      <c r="J2291" s="973" t="s">
        <v>697</v>
      </c>
      <c r="K2291" s="973" t="s">
        <v>995</v>
      </c>
      <c r="L2291" s="973" t="s">
        <v>996</v>
      </c>
      <c r="M2291" s="973" t="s">
        <v>2000</v>
      </c>
      <c r="N2291" s="973" t="s">
        <v>2001</v>
      </c>
      <c r="O2291" s="973" t="s">
        <v>1971</v>
      </c>
      <c r="P2291" s="973" t="s">
        <v>999</v>
      </c>
      <c r="Q2291" s="973" t="s">
        <v>1000</v>
      </c>
      <c r="R2291" s="973" t="s">
        <v>1001</v>
      </c>
      <c r="S2291" s="973" t="s">
        <v>1002</v>
      </c>
      <c r="AE2291" s="423" t="str">
        <f t="shared" si="35"/>
        <v/>
      </c>
    </row>
    <row r="2292" spans="4:31" x14ac:dyDescent="0.25">
      <c r="D2292" s="973" t="s">
        <v>990</v>
      </c>
      <c r="E2292" s="973" t="s">
        <v>991</v>
      </c>
      <c r="F2292" s="973" t="s">
        <v>992</v>
      </c>
      <c r="G2292" s="973" t="s">
        <v>1997</v>
      </c>
      <c r="H2292" s="973" t="s">
        <v>1998</v>
      </c>
      <c r="I2292" s="973" t="s">
        <v>1999</v>
      </c>
      <c r="J2292" s="973" t="s">
        <v>697</v>
      </c>
      <c r="K2292" s="973" t="s">
        <v>995</v>
      </c>
      <c r="L2292" s="973" t="s">
        <v>996</v>
      </c>
      <c r="M2292" s="973" t="s">
        <v>2000</v>
      </c>
      <c r="N2292" s="973" t="s">
        <v>2001</v>
      </c>
      <c r="O2292" s="973" t="s">
        <v>1971</v>
      </c>
      <c r="P2292" s="973" t="s">
        <v>999</v>
      </c>
      <c r="Q2292" s="973" t="s">
        <v>1000</v>
      </c>
      <c r="R2292" s="973" t="s">
        <v>1001</v>
      </c>
      <c r="S2292" s="973" t="s">
        <v>1002</v>
      </c>
      <c r="AE2292" s="423" t="str">
        <f t="shared" si="35"/>
        <v/>
      </c>
    </row>
    <row r="2293" spans="4:31" x14ac:dyDescent="0.25">
      <c r="D2293" s="973" t="s">
        <v>990</v>
      </c>
      <c r="E2293" s="973" t="s">
        <v>991</v>
      </c>
      <c r="F2293" s="973" t="s">
        <v>992</v>
      </c>
      <c r="G2293" s="973" t="s">
        <v>1997</v>
      </c>
      <c r="H2293" s="973" t="s">
        <v>1998</v>
      </c>
      <c r="I2293" s="973" t="s">
        <v>1999</v>
      </c>
      <c r="J2293" s="973" t="s">
        <v>697</v>
      </c>
      <c r="K2293" s="973" t="s">
        <v>995</v>
      </c>
      <c r="L2293" s="973" t="s">
        <v>996</v>
      </c>
      <c r="M2293" s="973" t="s">
        <v>2000</v>
      </c>
      <c r="N2293" s="973" t="s">
        <v>2001</v>
      </c>
      <c r="O2293" s="973" t="s">
        <v>1971</v>
      </c>
      <c r="P2293" s="973" t="s">
        <v>999</v>
      </c>
      <c r="Q2293" s="973" t="s">
        <v>1000</v>
      </c>
      <c r="R2293" s="973" t="s">
        <v>1001</v>
      </c>
      <c r="S2293" s="973" t="s">
        <v>1002</v>
      </c>
      <c r="AE2293" s="423" t="str">
        <f t="shared" si="35"/>
        <v/>
      </c>
    </row>
    <row r="2294" spans="4:31" x14ac:dyDescent="0.25">
      <c r="D2294" s="973" t="s">
        <v>990</v>
      </c>
      <c r="E2294" s="973" t="s">
        <v>991</v>
      </c>
      <c r="F2294" s="973" t="s">
        <v>992</v>
      </c>
      <c r="G2294" s="973" t="s">
        <v>1997</v>
      </c>
      <c r="H2294" s="973" t="s">
        <v>1998</v>
      </c>
      <c r="I2294" s="973" t="s">
        <v>1999</v>
      </c>
      <c r="J2294" s="973" t="s">
        <v>697</v>
      </c>
      <c r="K2294" s="973" t="s">
        <v>995</v>
      </c>
      <c r="L2294" s="973" t="s">
        <v>996</v>
      </c>
      <c r="M2294" s="973" t="s">
        <v>2000</v>
      </c>
      <c r="N2294" s="973" t="s">
        <v>2001</v>
      </c>
      <c r="O2294" s="973" t="s">
        <v>1971</v>
      </c>
      <c r="P2294" s="973" t="s">
        <v>999</v>
      </c>
      <c r="Q2294" s="973" t="s">
        <v>1000</v>
      </c>
      <c r="R2294" s="973" t="s">
        <v>1001</v>
      </c>
      <c r="S2294" s="973" t="s">
        <v>1002</v>
      </c>
      <c r="AE2294" s="423" t="str">
        <f t="shared" si="35"/>
        <v/>
      </c>
    </row>
    <row r="2295" spans="4:31" x14ac:dyDescent="0.25">
      <c r="D2295" s="973" t="s">
        <v>990</v>
      </c>
      <c r="E2295" s="973" t="s">
        <v>991</v>
      </c>
      <c r="F2295" s="973" t="s">
        <v>992</v>
      </c>
      <c r="G2295" s="973" t="s">
        <v>1997</v>
      </c>
      <c r="H2295" s="973" t="s">
        <v>1998</v>
      </c>
      <c r="I2295" s="973" t="s">
        <v>1999</v>
      </c>
      <c r="J2295" s="973" t="s">
        <v>697</v>
      </c>
      <c r="K2295" s="973" t="s">
        <v>995</v>
      </c>
      <c r="L2295" s="973" t="s">
        <v>996</v>
      </c>
      <c r="M2295" s="973" t="s">
        <v>2000</v>
      </c>
      <c r="N2295" s="973" t="s">
        <v>2001</v>
      </c>
      <c r="O2295" s="973" t="s">
        <v>1971</v>
      </c>
      <c r="P2295" s="973" t="s">
        <v>999</v>
      </c>
      <c r="Q2295" s="973" t="s">
        <v>1000</v>
      </c>
      <c r="R2295" s="973" t="s">
        <v>1001</v>
      </c>
      <c r="S2295" s="973" t="s">
        <v>1002</v>
      </c>
      <c r="AE2295" s="423" t="str">
        <f t="shared" si="35"/>
        <v/>
      </c>
    </row>
    <row r="2296" spans="4:31" x14ac:dyDescent="0.25">
      <c r="D2296" s="973" t="s">
        <v>990</v>
      </c>
      <c r="E2296" s="973" t="s">
        <v>991</v>
      </c>
      <c r="F2296" s="973" t="s">
        <v>992</v>
      </c>
      <c r="G2296" s="973" t="s">
        <v>1997</v>
      </c>
      <c r="H2296" s="973" t="s">
        <v>1998</v>
      </c>
      <c r="I2296" s="973" t="s">
        <v>1999</v>
      </c>
      <c r="J2296" s="973" t="s">
        <v>697</v>
      </c>
      <c r="K2296" s="973" t="s">
        <v>995</v>
      </c>
      <c r="L2296" s="973" t="s">
        <v>996</v>
      </c>
      <c r="M2296" s="973" t="s">
        <v>2000</v>
      </c>
      <c r="N2296" s="973" t="s">
        <v>2001</v>
      </c>
      <c r="O2296" s="973" t="s">
        <v>1971</v>
      </c>
      <c r="P2296" s="973" t="s">
        <v>999</v>
      </c>
      <c r="Q2296" s="973" t="s">
        <v>1000</v>
      </c>
      <c r="R2296" s="973" t="s">
        <v>1001</v>
      </c>
      <c r="S2296" s="973" t="s">
        <v>1002</v>
      </c>
      <c r="AE2296" s="423" t="str">
        <f t="shared" si="35"/>
        <v/>
      </c>
    </row>
    <row r="2297" spans="4:31" x14ac:dyDescent="0.25">
      <c r="D2297" s="973" t="s">
        <v>990</v>
      </c>
      <c r="E2297" s="973" t="s">
        <v>991</v>
      </c>
      <c r="F2297" s="973" t="s">
        <v>992</v>
      </c>
      <c r="G2297" s="973" t="s">
        <v>1997</v>
      </c>
      <c r="H2297" s="973" t="s">
        <v>1998</v>
      </c>
      <c r="I2297" s="973" t="s">
        <v>1999</v>
      </c>
      <c r="J2297" s="973" t="s">
        <v>697</v>
      </c>
      <c r="K2297" s="973" t="s">
        <v>995</v>
      </c>
      <c r="L2297" s="973" t="s">
        <v>996</v>
      </c>
      <c r="M2297" s="973" t="s">
        <v>2000</v>
      </c>
      <c r="N2297" s="973" t="s">
        <v>2001</v>
      </c>
      <c r="O2297" s="973" t="s">
        <v>1971</v>
      </c>
      <c r="P2297" s="973" t="s">
        <v>999</v>
      </c>
      <c r="Q2297" s="973" t="s">
        <v>1000</v>
      </c>
      <c r="R2297" s="973" t="s">
        <v>1001</v>
      </c>
      <c r="S2297" s="973" t="s">
        <v>1002</v>
      </c>
      <c r="AE2297" s="423" t="str">
        <f t="shared" si="35"/>
        <v/>
      </c>
    </row>
    <row r="2298" spans="4:31" x14ac:dyDescent="0.25">
      <c r="D2298" s="973" t="s">
        <v>990</v>
      </c>
      <c r="E2298" s="973" t="s">
        <v>991</v>
      </c>
      <c r="F2298" s="973" t="s">
        <v>992</v>
      </c>
      <c r="G2298" s="973" t="s">
        <v>1997</v>
      </c>
      <c r="H2298" s="973" t="s">
        <v>1998</v>
      </c>
      <c r="I2298" s="973" t="s">
        <v>1999</v>
      </c>
      <c r="J2298" s="973" t="s">
        <v>697</v>
      </c>
      <c r="K2298" s="973" t="s">
        <v>995</v>
      </c>
      <c r="L2298" s="973" t="s">
        <v>996</v>
      </c>
      <c r="M2298" s="973" t="s">
        <v>2000</v>
      </c>
      <c r="N2298" s="973" t="s">
        <v>2001</v>
      </c>
      <c r="O2298" s="973" t="s">
        <v>1971</v>
      </c>
      <c r="P2298" s="973" t="s">
        <v>999</v>
      </c>
      <c r="Q2298" s="973" t="s">
        <v>1000</v>
      </c>
      <c r="R2298" s="973" t="s">
        <v>1001</v>
      </c>
      <c r="S2298" s="973" t="s">
        <v>1002</v>
      </c>
      <c r="AE2298" s="423" t="str">
        <f t="shared" si="35"/>
        <v/>
      </c>
    </row>
    <row r="2299" spans="4:31" x14ac:dyDescent="0.25">
      <c r="D2299" s="973" t="s">
        <v>990</v>
      </c>
      <c r="E2299" s="973" t="s">
        <v>991</v>
      </c>
      <c r="F2299" s="973" t="s">
        <v>992</v>
      </c>
      <c r="G2299" s="973" t="s">
        <v>1997</v>
      </c>
      <c r="H2299" s="973" t="s">
        <v>1998</v>
      </c>
      <c r="I2299" s="973" t="s">
        <v>1999</v>
      </c>
      <c r="J2299" s="973" t="s">
        <v>697</v>
      </c>
      <c r="K2299" s="973" t="s">
        <v>995</v>
      </c>
      <c r="L2299" s="973" t="s">
        <v>996</v>
      </c>
      <c r="M2299" s="973" t="s">
        <v>2000</v>
      </c>
      <c r="N2299" s="973" t="s">
        <v>2001</v>
      </c>
      <c r="O2299" s="973" t="s">
        <v>1971</v>
      </c>
      <c r="P2299" s="973" t="s">
        <v>999</v>
      </c>
      <c r="Q2299" s="973" t="s">
        <v>1000</v>
      </c>
      <c r="R2299" s="973" t="s">
        <v>1001</v>
      </c>
      <c r="S2299" s="973" t="s">
        <v>1002</v>
      </c>
      <c r="AE2299" s="423" t="str">
        <f t="shared" si="35"/>
        <v/>
      </c>
    </row>
    <row r="2300" spans="4:31" x14ac:dyDescent="0.25">
      <c r="D2300" s="973" t="s">
        <v>990</v>
      </c>
      <c r="E2300" s="973" t="s">
        <v>991</v>
      </c>
      <c r="F2300" s="973" t="s">
        <v>992</v>
      </c>
      <c r="G2300" s="973" t="s">
        <v>1997</v>
      </c>
      <c r="H2300" s="973" t="s">
        <v>1998</v>
      </c>
      <c r="I2300" s="973" t="s">
        <v>1999</v>
      </c>
      <c r="J2300" s="973" t="s">
        <v>697</v>
      </c>
      <c r="K2300" s="973" t="s">
        <v>995</v>
      </c>
      <c r="L2300" s="973" t="s">
        <v>996</v>
      </c>
      <c r="M2300" s="973" t="s">
        <v>2000</v>
      </c>
      <c r="N2300" s="973" t="s">
        <v>2001</v>
      </c>
      <c r="O2300" s="973" t="s">
        <v>1971</v>
      </c>
      <c r="P2300" s="973" t="s">
        <v>999</v>
      </c>
      <c r="Q2300" s="973" t="s">
        <v>1000</v>
      </c>
      <c r="R2300" s="973" t="s">
        <v>1001</v>
      </c>
      <c r="S2300" s="973" t="s">
        <v>1002</v>
      </c>
      <c r="AE2300" s="423" t="str">
        <f t="shared" si="35"/>
        <v/>
      </c>
    </row>
    <row r="2301" spans="4:31" x14ac:dyDescent="0.25">
      <c r="D2301" s="973" t="s">
        <v>990</v>
      </c>
      <c r="E2301" s="973" t="s">
        <v>991</v>
      </c>
      <c r="F2301" s="973" t="s">
        <v>992</v>
      </c>
      <c r="G2301" s="973" t="s">
        <v>1997</v>
      </c>
      <c r="H2301" s="973" t="s">
        <v>1998</v>
      </c>
      <c r="I2301" s="973" t="s">
        <v>1999</v>
      </c>
      <c r="J2301" s="973" t="s">
        <v>697</v>
      </c>
      <c r="K2301" s="973" t="s">
        <v>995</v>
      </c>
      <c r="L2301" s="973" t="s">
        <v>996</v>
      </c>
      <c r="M2301" s="973" t="s">
        <v>2000</v>
      </c>
      <c r="N2301" s="973" t="s">
        <v>2001</v>
      </c>
      <c r="O2301" s="973" t="s">
        <v>1971</v>
      </c>
      <c r="P2301" s="973" t="s">
        <v>999</v>
      </c>
      <c r="Q2301" s="973" t="s">
        <v>1000</v>
      </c>
      <c r="R2301" s="973" t="s">
        <v>1001</v>
      </c>
      <c r="S2301" s="973" t="s">
        <v>1002</v>
      </c>
      <c r="AE2301" s="423" t="str">
        <f t="shared" si="35"/>
        <v/>
      </c>
    </row>
    <row r="2302" spans="4:31" x14ac:dyDescent="0.25">
      <c r="D2302" s="973" t="s">
        <v>990</v>
      </c>
      <c r="E2302" s="973" t="s">
        <v>991</v>
      </c>
      <c r="F2302" s="973" t="s">
        <v>992</v>
      </c>
      <c r="G2302" s="973" t="s">
        <v>1997</v>
      </c>
      <c r="H2302" s="973" t="s">
        <v>1998</v>
      </c>
      <c r="I2302" s="973" t="s">
        <v>1999</v>
      </c>
      <c r="J2302" s="973" t="s">
        <v>697</v>
      </c>
      <c r="K2302" s="973" t="s">
        <v>995</v>
      </c>
      <c r="L2302" s="973" t="s">
        <v>996</v>
      </c>
      <c r="M2302" s="973" t="s">
        <v>2000</v>
      </c>
      <c r="N2302" s="973" t="s">
        <v>2001</v>
      </c>
      <c r="O2302" s="973" t="s">
        <v>1971</v>
      </c>
      <c r="P2302" s="973" t="s">
        <v>999</v>
      </c>
      <c r="Q2302" s="973" t="s">
        <v>1000</v>
      </c>
      <c r="R2302" s="973" t="s">
        <v>1001</v>
      </c>
      <c r="S2302" s="973" t="s">
        <v>1002</v>
      </c>
      <c r="AE2302" s="423" t="str">
        <f t="shared" si="35"/>
        <v/>
      </c>
    </row>
    <row r="2303" spans="4:31" x14ac:dyDescent="0.25">
      <c r="D2303" s="973" t="s">
        <v>990</v>
      </c>
      <c r="E2303" s="973" t="s">
        <v>991</v>
      </c>
      <c r="F2303" s="973" t="s">
        <v>992</v>
      </c>
      <c r="G2303" s="973" t="s">
        <v>1997</v>
      </c>
      <c r="H2303" s="973" t="s">
        <v>1998</v>
      </c>
      <c r="I2303" s="973" t="s">
        <v>1999</v>
      </c>
      <c r="J2303" s="973" t="s">
        <v>697</v>
      </c>
      <c r="K2303" s="973" t="s">
        <v>995</v>
      </c>
      <c r="L2303" s="973" t="s">
        <v>996</v>
      </c>
      <c r="M2303" s="973" t="s">
        <v>2000</v>
      </c>
      <c r="N2303" s="973" t="s">
        <v>2001</v>
      </c>
      <c r="O2303" s="973" t="s">
        <v>1971</v>
      </c>
      <c r="P2303" s="973" t="s">
        <v>999</v>
      </c>
      <c r="Q2303" s="973" t="s">
        <v>1000</v>
      </c>
      <c r="R2303" s="973" t="s">
        <v>1001</v>
      </c>
      <c r="S2303" s="973" t="s">
        <v>1002</v>
      </c>
      <c r="AE2303" s="423" t="str">
        <f t="shared" si="35"/>
        <v/>
      </c>
    </row>
    <row r="2304" spans="4:31" x14ac:dyDescent="0.25">
      <c r="D2304" s="973" t="s">
        <v>990</v>
      </c>
      <c r="E2304" s="973" t="s">
        <v>991</v>
      </c>
      <c r="F2304" s="973" t="s">
        <v>992</v>
      </c>
      <c r="G2304" s="973" t="s">
        <v>1997</v>
      </c>
      <c r="H2304" s="973" t="s">
        <v>1998</v>
      </c>
      <c r="I2304" s="973" t="s">
        <v>1999</v>
      </c>
      <c r="J2304" s="973" t="s">
        <v>697</v>
      </c>
      <c r="K2304" s="973" t="s">
        <v>995</v>
      </c>
      <c r="L2304" s="973" t="s">
        <v>996</v>
      </c>
      <c r="M2304" s="973" t="s">
        <v>2000</v>
      </c>
      <c r="N2304" s="973" t="s">
        <v>2001</v>
      </c>
      <c r="O2304" s="973" t="s">
        <v>1971</v>
      </c>
      <c r="P2304" s="973" t="s">
        <v>999</v>
      </c>
      <c r="Q2304" s="973" t="s">
        <v>1000</v>
      </c>
      <c r="R2304" s="973" t="s">
        <v>1001</v>
      </c>
      <c r="S2304" s="973" t="s">
        <v>1002</v>
      </c>
      <c r="AE2304" s="423" t="str">
        <f t="shared" si="35"/>
        <v/>
      </c>
    </row>
    <row r="2305" spans="4:31" x14ac:dyDescent="0.25">
      <c r="D2305" s="973" t="s">
        <v>990</v>
      </c>
      <c r="E2305" s="973" t="s">
        <v>991</v>
      </c>
      <c r="F2305" s="973" t="s">
        <v>992</v>
      </c>
      <c r="G2305" s="973" t="s">
        <v>1997</v>
      </c>
      <c r="H2305" s="973" t="s">
        <v>1998</v>
      </c>
      <c r="I2305" s="973" t="s">
        <v>1999</v>
      </c>
      <c r="J2305" s="973" t="s">
        <v>697</v>
      </c>
      <c r="K2305" s="973" t="s">
        <v>995</v>
      </c>
      <c r="L2305" s="973" t="s">
        <v>996</v>
      </c>
      <c r="M2305" s="973" t="s">
        <v>2000</v>
      </c>
      <c r="N2305" s="973" t="s">
        <v>2001</v>
      </c>
      <c r="O2305" s="973" t="s">
        <v>1971</v>
      </c>
      <c r="P2305" s="973" t="s">
        <v>999</v>
      </c>
      <c r="Q2305" s="973" t="s">
        <v>1000</v>
      </c>
      <c r="R2305" s="973" t="s">
        <v>1001</v>
      </c>
      <c r="S2305" s="973" t="s">
        <v>1002</v>
      </c>
      <c r="AE2305" s="423" t="str">
        <f t="shared" si="35"/>
        <v/>
      </c>
    </row>
    <row r="2306" spans="4:31" x14ac:dyDescent="0.25">
      <c r="D2306" s="973" t="s">
        <v>990</v>
      </c>
      <c r="E2306" s="973" t="s">
        <v>991</v>
      </c>
      <c r="F2306" s="973" t="s">
        <v>992</v>
      </c>
      <c r="G2306" s="973" t="s">
        <v>1997</v>
      </c>
      <c r="H2306" s="973" t="s">
        <v>1998</v>
      </c>
      <c r="I2306" s="973" t="s">
        <v>1999</v>
      </c>
      <c r="J2306" s="973" t="s">
        <v>697</v>
      </c>
      <c r="K2306" s="973" t="s">
        <v>995</v>
      </c>
      <c r="L2306" s="973" t="s">
        <v>996</v>
      </c>
      <c r="M2306" s="973" t="s">
        <v>2000</v>
      </c>
      <c r="N2306" s="973" t="s">
        <v>2001</v>
      </c>
      <c r="O2306" s="973" t="s">
        <v>1971</v>
      </c>
      <c r="P2306" s="973" t="s">
        <v>999</v>
      </c>
      <c r="Q2306" s="973" t="s">
        <v>1000</v>
      </c>
      <c r="R2306" s="973" t="s">
        <v>1001</v>
      </c>
      <c r="S2306" s="973" t="s">
        <v>1002</v>
      </c>
      <c r="AE2306" s="423" t="str">
        <f t="shared" si="35"/>
        <v/>
      </c>
    </row>
    <row r="2307" spans="4:31" x14ac:dyDescent="0.25">
      <c r="D2307" s="973" t="s">
        <v>990</v>
      </c>
      <c r="E2307" s="973" t="s">
        <v>991</v>
      </c>
      <c r="F2307" s="973" t="s">
        <v>992</v>
      </c>
      <c r="G2307" s="973" t="s">
        <v>1997</v>
      </c>
      <c r="H2307" s="973" t="s">
        <v>1998</v>
      </c>
      <c r="I2307" s="973" t="s">
        <v>1999</v>
      </c>
      <c r="J2307" s="973" t="s">
        <v>697</v>
      </c>
      <c r="K2307" s="973" t="s">
        <v>995</v>
      </c>
      <c r="L2307" s="973" t="s">
        <v>996</v>
      </c>
      <c r="M2307" s="973" t="s">
        <v>2000</v>
      </c>
      <c r="N2307" s="973" t="s">
        <v>2001</v>
      </c>
      <c r="O2307" s="973" t="s">
        <v>1971</v>
      </c>
      <c r="P2307" s="973" t="s">
        <v>999</v>
      </c>
      <c r="Q2307" s="973" t="s">
        <v>1000</v>
      </c>
      <c r="R2307" s="973" t="s">
        <v>1001</v>
      </c>
      <c r="S2307" s="973" t="s">
        <v>1002</v>
      </c>
      <c r="AE2307" s="423" t="str">
        <f t="shared" ref="AE2307:AE2370" si="36">B2307&amp;C2307</f>
        <v/>
      </c>
    </row>
    <row r="2308" spans="4:31" x14ac:dyDescent="0.25">
      <c r="D2308" s="973" t="s">
        <v>990</v>
      </c>
      <c r="E2308" s="973" t="s">
        <v>991</v>
      </c>
      <c r="F2308" s="973" t="s">
        <v>992</v>
      </c>
      <c r="G2308" s="973" t="s">
        <v>1997</v>
      </c>
      <c r="H2308" s="973" t="s">
        <v>1998</v>
      </c>
      <c r="I2308" s="973" t="s">
        <v>1999</v>
      </c>
      <c r="J2308" s="973" t="s">
        <v>697</v>
      </c>
      <c r="K2308" s="973" t="s">
        <v>995</v>
      </c>
      <c r="L2308" s="973" t="s">
        <v>996</v>
      </c>
      <c r="M2308" s="973" t="s">
        <v>2000</v>
      </c>
      <c r="N2308" s="973" t="s">
        <v>2001</v>
      </c>
      <c r="O2308" s="973" t="s">
        <v>1971</v>
      </c>
      <c r="P2308" s="973" t="s">
        <v>999</v>
      </c>
      <c r="Q2308" s="973" t="s">
        <v>1000</v>
      </c>
      <c r="R2308" s="973" t="s">
        <v>1001</v>
      </c>
      <c r="S2308" s="973" t="s">
        <v>1002</v>
      </c>
      <c r="AE2308" s="423" t="str">
        <f t="shared" si="36"/>
        <v/>
      </c>
    </row>
    <row r="2309" spans="4:31" x14ac:dyDescent="0.25">
      <c r="D2309" s="973" t="s">
        <v>990</v>
      </c>
      <c r="E2309" s="973" t="s">
        <v>991</v>
      </c>
      <c r="F2309" s="973" t="s">
        <v>992</v>
      </c>
      <c r="G2309" s="973" t="s">
        <v>1997</v>
      </c>
      <c r="H2309" s="973" t="s">
        <v>1998</v>
      </c>
      <c r="I2309" s="973" t="s">
        <v>1999</v>
      </c>
      <c r="J2309" s="973" t="s">
        <v>697</v>
      </c>
      <c r="K2309" s="973" t="s">
        <v>995</v>
      </c>
      <c r="L2309" s="973" t="s">
        <v>996</v>
      </c>
      <c r="M2309" s="973" t="s">
        <v>2000</v>
      </c>
      <c r="N2309" s="973" t="s">
        <v>2001</v>
      </c>
      <c r="O2309" s="973" t="s">
        <v>1971</v>
      </c>
      <c r="P2309" s="973" t="s">
        <v>999</v>
      </c>
      <c r="Q2309" s="973" t="s">
        <v>1000</v>
      </c>
      <c r="R2309" s="973" t="s">
        <v>1001</v>
      </c>
      <c r="S2309" s="973" t="s">
        <v>1002</v>
      </c>
      <c r="AE2309" s="423" t="str">
        <f t="shared" si="36"/>
        <v/>
      </c>
    </row>
    <row r="2310" spans="4:31" x14ac:dyDescent="0.25">
      <c r="D2310" s="973" t="s">
        <v>990</v>
      </c>
      <c r="E2310" s="973" t="s">
        <v>991</v>
      </c>
      <c r="F2310" s="973" t="s">
        <v>992</v>
      </c>
      <c r="G2310" s="973" t="s">
        <v>1997</v>
      </c>
      <c r="H2310" s="973" t="s">
        <v>1998</v>
      </c>
      <c r="I2310" s="973" t="s">
        <v>1999</v>
      </c>
      <c r="J2310" s="973" t="s">
        <v>697</v>
      </c>
      <c r="K2310" s="973" t="s">
        <v>995</v>
      </c>
      <c r="L2310" s="973" t="s">
        <v>996</v>
      </c>
      <c r="M2310" s="973" t="s">
        <v>2000</v>
      </c>
      <c r="N2310" s="973" t="s">
        <v>2001</v>
      </c>
      <c r="O2310" s="973" t="s">
        <v>1971</v>
      </c>
      <c r="P2310" s="973" t="s">
        <v>999</v>
      </c>
      <c r="Q2310" s="973" t="s">
        <v>1000</v>
      </c>
      <c r="R2310" s="973" t="s">
        <v>1001</v>
      </c>
      <c r="S2310" s="973" t="s">
        <v>1002</v>
      </c>
      <c r="AE2310" s="423" t="str">
        <f t="shared" si="36"/>
        <v/>
      </c>
    </row>
    <row r="2311" spans="4:31" x14ac:dyDescent="0.25">
      <c r="D2311" s="973" t="s">
        <v>990</v>
      </c>
      <c r="E2311" s="973" t="s">
        <v>991</v>
      </c>
      <c r="F2311" s="973" t="s">
        <v>992</v>
      </c>
      <c r="G2311" s="973" t="s">
        <v>1997</v>
      </c>
      <c r="H2311" s="973" t="s">
        <v>1998</v>
      </c>
      <c r="I2311" s="973" t="s">
        <v>1999</v>
      </c>
      <c r="J2311" s="973" t="s">
        <v>697</v>
      </c>
      <c r="K2311" s="973" t="s">
        <v>995</v>
      </c>
      <c r="L2311" s="973" t="s">
        <v>996</v>
      </c>
      <c r="M2311" s="973" t="s">
        <v>2000</v>
      </c>
      <c r="N2311" s="973" t="s">
        <v>2001</v>
      </c>
      <c r="O2311" s="973" t="s">
        <v>1971</v>
      </c>
      <c r="P2311" s="973" t="s">
        <v>999</v>
      </c>
      <c r="Q2311" s="973" t="s">
        <v>1000</v>
      </c>
      <c r="R2311" s="973" t="s">
        <v>1001</v>
      </c>
      <c r="S2311" s="973" t="s">
        <v>1002</v>
      </c>
      <c r="AE2311" s="423" t="str">
        <f t="shared" si="36"/>
        <v/>
      </c>
    </row>
    <row r="2312" spans="4:31" x14ac:dyDescent="0.25">
      <c r="D2312" s="973" t="s">
        <v>990</v>
      </c>
      <c r="E2312" s="973" t="s">
        <v>991</v>
      </c>
      <c r="F2312" s="973" t="s">
        <v>992</v>
      </c>
      <c r="G2312" s="973" t="s">
        <v>1997</v>
      </c>
      <c r="H2312" s="973" t="s">
        <v>1998</v>
      </c>
      <c r="I2312" s="973" t="s">
        <v>1999</v>
      </c>
      <c r="J2312" s="973" t="s">
        <v>697</v>
      </c>
      <c r="K2312" s="973" t="s">
        <v>995</v>
      </c>
      <c r="L2312" s="973" t="s">
        <v>996</v>
      </c>
      <c r="M2312" s="973" t="s">
        <v>2000</v>
      </c>
      <c r="N2312" s="973" t="s">
        <v>2001</v>
      </c>
      <c r="O2312" s="973" t="s">
        <v>1971</v>
      </c>
      <c r="P2312" s="973" t="s">
        <v>999</v>
      </c>
      <c r="Q2312" s="973" t="s">
        <v>1000</v>
      </c>
      <c r="R2312" s="973" t="s">
        <v>1001</v>
      </c>
      <c r="S2312" s="973" t="s">
        <v>1002</v>
      </c>
      <c r="AE2312" s="423" t="str">
        <f t="shared" si="36"/>
        <v/>
      </c>
    </row>
    <row r="2313" spans="4:31" x14ac:dyDescent="0.25">
      <c r="D2313" s="973" t="s">
        <v>990</v>
      </c>
      <c r="E2313" s="973" t="s">
        <v>991</v>
      </c>
      <c r="F2313" s="973" t="s">
        <v>992</v>
      </c>
      <c r="G2313" s="973" t="s">
        <v>1997</v>
      </c>
      <c r="H2313" s="973" t="s">
        <v>1998</v>
      </c>
      <c r="I2313" s="973" t="s">
        <v>1999</v>
      </c>
      <c r="J2313" s="973" t="s">
        <v>697</v>
      </c>
      <c r="K2313" s="973" t="s">
        <v>995</v>
      </c>
      <c r="L2313" s="973" t="s">
        <v>996</v>
      </c>
      <c r="M2313" s="973" t="s">
        <v>2000</v>
      </c>
      <c r="N2313" s="973" t="s">
        <v>2001</v>
      </c>
      <c r="O2313" s="973" t="s">
        <v>1971</v>
      </c>
      <c r="P2313" s="973" t="s">
        <v>999</v>
      </c>
      <c r="Q2313" s="973" t="s">
        <v>1000</v>
      </c>
      <c r="R2313" s="973" t="s">
        <v>1001</v>
      </c>
      <c r="S2313" s="973" t="s">
        <v>1002</v>
      </c>
      <c r="AE2313" s="423" t="str">
        <f t="shared" si="36"/>
        <v/>
      </c>
    </row>
    <row r="2314" spans="4:31" x14ac:dyDescent="0.25">
      <c r="D2314" s="973" t="s">
        <v>990</v>
      </c>
      <c r="E2314" s="973" t="s">
        <v>991</v>
      </c>
      <c r="F2314" s="973" t="s">
        <v>992</v>
      </c>
      <c r="G2314" s="973" t="s">
        <v>1997</v>
      </c>
      <c r="H2314" s="973" t="s">
        <v>1998</v>
      </c>
      <c r="I2314" s="973" t="s">
        <v>1999</v>
      </c>
      <c r="J2314" s="973" t="s">
        <v>697</v>
      </c>
      <c r="K2314" s="973" t="s">
        <v>995</v>
      </c>
      <c r="L2314" s="973" t="s">
        <v>996</v>
      </c>
      <c r="M2314" s="973" t="s">
        <v>2000</v>
      </c>
      <c r="N2314" s="973" t="s">
        <v>2001</v>
      </c>
      <c r="O2314" s="973" t="s">
        <v>1971</v>
      </c>
      <c r="P2314" s="973" t="s">
        <v>999</v>
      </c>
      <c r="Q2314" s="973" t="s">
        <v>1000</v>
      </c>
      <c r="R2314" s="973" t="s">
        <v>1001</v>
      </c>
      <c r="S2314" s="973" t="s">
        <v>1002</v>
      </c>
      <c r="AE2314" s="423" t="str">
        <f t="shared" si="36"/>
        <v/>
      </c>
    </row>
    <row r="2315" spans="4:31" x14ac:dyDescent="0.25">
      <c r="D2315" s="973" t="s">
        <v>990</v>
      </c>
      <c r="E2315" s="973" t="s">
        <v>991</v>
      </c>
      <c r="F2315" s="973" t="s">
        <v>992</v>
      </c>
      <c r="G2315" s="973" t="s">
        <v>1997</v>
      </c>
      <c r="H2315" s="973" t="s">
        <v>1998</v>
      </c>
      <c r="I2315" s="973" t="s">
        <v>1999</v>
      </c>
      <c r="J2315" s="973" t="s">
        <v>697</v>
      </c>
      <c r="K2315" s="973" t="s">
        <v>995</v>
      </c>
      <c r="L2315" s="973" t="s">
        <v>996</v>
      </c>
      <c r="M2315" s="973" t="s">
        <v>2000</v>
      </c>
      <c r="N2315" s="973" t="s">
        <v>2001</v>
      </c>
      <c r="O2315" s="973" t="s">
        <v>1971</v>
      </c>
      <c r="P2315" s="973" t="s">
        <v>999</v>
      </c>
      <c r="Q2315" s="973" t="s">
        <v>1000</v>
      </c>
      <c r="R2315" s="973" t="s">
        <v>1001</v>
      </c>
      <c r="S2315" s="973" t="s">
        <v>1002</v>
      </c>
      <c r="AE2315" s="423" t="str">
        <f t="shared" si="36"/>
        <v/>
      </c>
    </row>
    <row r="2316" spans="4:31" x14ac:dyDescent="0.25">
      <c r="D2316" s="973" t="s">
        <v>990</v>
      </c>
      <c r="E2316" s="973" t="s">
        <v>991</v>
      </c>
      <c r="F2316" s="973" t="s">
        <v>992</v>
      </c>
      <c r="G2316" s="973" t="s">
        <v>1997</v>
      </c>
      <c r="H2316" s="973" t="s">
        <v>1998</v>
      </c>
      <c r="I2316" s="973" t="s">
        <v>1999</v>
      </c>
      <c r="J2316" s="973" t="s">
        <v>697</v>
      </c>
      <c r="K2316" s="973" t="s">
        <v>995</v>
      </c>
      <c r="L2316" s="973" t="s">
        <v>996</v>
      </c>
      <c r="M2316" s="973" t="s">
        <v>2000</v>
      </c>
      <c r="N2316" s="973" t="s">
        <v>2001</v>
      </c>
      <c r="O2316" s="973" t="s">
        <v>1971</v>
      </c>
      <c r="P2316" s="973" t="s">
        <v>999</v>
      </c>
      <c r="Q2316" s="973" t="s">
        <v>1000</v>
      </c>
      <c r="R2316" s="973" t="s">
        <v>1001</v>
      </c>
      <c r="S2316" s="973" t="s">
        <v>1002</v>
      </c>
      <c r="AE2316" s="423" t="str">
        <f t="shared" si="36"/>
        <v/>
      </c>
    </row>
    <row r="2317" spans="4:31" x14ac:dyDescent="0.25">
      <c r="D2317" s="973" t="s">
        <v>990</v>
      </c>
      <c r="E2317" s="973" t="s">
        <v>991</v>
      </c>
      <c r="F2317" s="973" t="s">
        <v>992</v>
      </c>
      <c r="G2317" s="973" t="s">
        <v>1997</v>
      </c>
      <c r="H2317" s="973" t="s">
        <v>1998</v>
      </c>
      <c r="I2317" s="973" t="s">
        <v>1999</v>
      </c>
      <c r="J2317" s="973" t="s">
        <v>697</v>
      </c>
      <c r="K2317" s="973" t="s">
        <v>995</v>
      </c>
      <c r="L2317" s="973" t="s">
        <v>996</v>
      </c>
      <c r="M2317" s="973" t="s">
        <v>2000</v>
      </c>
      <c r="N2317" s="973" t="s">
        <v>2001</v>
      </c>
      <c r="O2317" s="973" t="s">
        <v>1971</v>
      </c>
      <c r="P2317" s="973" t="s">
        <v>999</v>
      </c>
      <c r="Q2317" s="973" t="s">
        <v>1000</v>
      </c>
      <c r="R2317" s="973" t="s">
        <v>1001</v>
      </c>
      <c r="S2317" s="973" t="s">
        <v>1002</v>
      </c>
      <c r="AE2317" s="423" t="str">
        <f t="shared" si="36"/>
        <v/>
      </c>
    </row>
    <row r="2318" spans="4:31" x14ac:dyDescent="0.25">
      <c r="D2318" s="973" t="s">
        <v>990</v>
      </c>
      <c r="E2318" s="973" t="s">
        <v>991</v>
      </c>
      <c r="F2318" s="973" t="s">
        <v>992</v>
      </c>
      <c r="G2318" s="973" t="s">
        <v>1997</v>
      </c>
      <c r="H2318" s="973" t="s">
        <v>1998</v>
      </c>
      <c r="I2318" s="973" t="s">
        <v>1999</v>
      </c>
      <c r="J2318" s="973" t="s">
        <v>697</v>
      </c>
      <c r="K2318" s="973" t="s">
        <v>995</v>
      </c>
      <c r="L2318" s="973" t="s">
        <v>996</v>
      </c>
      <c r="M2318" s="973" t="s">
        <v>2000</v>
      </c>
      <c r="N2318" s="973" t="s">
        <v>2001</v>
      </c>
      <c r="O2318" s="973" t="s">
        <v>1971</v>
      </c>
      <c r="P2318" s="973" t="s">
        <v>999</v>
      </c>
      <c r="Q2318" s="973" t="s">
        <v>1000</v>
      </c>
      <c r="R2318" s="973" t="s">
        <v>1001</v>
      </c>
      <c r="S2318" s="973" t="s">
        <v>1002</v>
      </c>
      <c r="AE2318" s="423" t="str">
        <f t="shared" si="36"/>
        <v/>
      </c>
    </row>
    <row r="2319" spans="4:31" x14ac:dyDescent="0.25">
      <c r="D2319" s="973" t="s">
        <v>990</v>
      </c>
      <c r="E2319" s="973" t="s">
        <v>991</v>
      </c>
      <c r="F2319" s="973" t="s">
        <v>992</v>
      </c>
      <c r="G2319" s="973" t="s">
        <v>1997</v>
      </c>
      <c r="H2319" s="973" t="s">
        <v>1998</v>
      </c>
      <c r="I2319" s="973" t="s">
        <v>1999</v>
      </c>
      <c r="J2319" s="973" t="s">
        <v>697</v>
      </c>
      <c r="K2319" s="973" t="s">
        <v>995</v>
      </c>
      <c r="L2319" s="973" t="s">
        <v>996</v>
      </c>
      <c r="M2319" s="973" t="s">
        <v>2000</v>
      </c>
      <c r="N2319" s="973" t="s">
        <v>2001</v>
      </c>
      <c r="O2319" s="973" t="s">
        <v>1971</v>
      </c>
      <c r="P2319" s="973" t="s">
        <v>999</v>
      </c>
      <c r="Q2319" s="973" t="s">
        <v>1000</v>
      </c>
      <c r="R2319" s="973" t="s">
        <v>1001</v>
      </c>
      <c r="S2319" s="973" t="s">
        <v>1002</v>
      </c>
      <c r="AE2319" s="423" t="str">
        <f t="shared" si="36"/>
        <v/>
      </c>
    </row>
    <row r="2320" spans="4:31" x14ac:dyDescent="0.25">
      <c r="D2320" s="973" t="s">
        <v>990</v>
      </c>
      <c r="E2320" s="973" t="s">
        <v>991</v>
      </c>
      <c r="F2320" s="973" t="s">
        <v>992</v>
      </c>
      <c r="G2320" s="973" t="s">
        <v>1997</v>
      </c>
      <c r="H2320" s="973" t="s">
        <v>1998</v>
      </c>
      <c r="I2320" s="973" t="s">
        <v>1999</v>
      </c>
      <c r="J2320" s="973" t="s">
        <v>697</v>
      </c>
      <c r="K2320" s="973" t="s">
        <v>995</v>
      </c>
      <c r="L2320" s="973" t="s">
        <v>996</v>
      </c>
      <c r="M2320" s="973" t="s">
        <v>2000</v>
      </c>
      <c r="N2320" s="973" t="s">
        <v>2001</v>
      </c>
      <c r="O2320" s="973" t="s">
        <v>1971</v>
      </c>
      <c r="P2320" s="973" t="s">
        <v>999</v>
      </c>
      <c r="Q2320" s="973" t="s">
        <v>1000</v>
      </c>
      <c r="R2320" s="973" t="s">
        <v>1001</v>
      </c>
      <c r="S2320" s="973" t="s">
        <v>1002</v>
      </c>
      <c r="AE2320" s="423" t="str">
        <f t="shared" si="36"/>
        <v/>
      </c>
    </row>
    <row r="2321" spans="4:31" x14ac:dyDescent="0.25">
      <c r="D2321" s="973" t="s">
        <v>990</v>
      </c>
      <c r="E2321" s="973" t="s">
        <v>991</v>
      </c>
      <c r="F2321" s="973" t="s">
        <v>992</v>
      </c>
      <c r="G2321" s="973" t="s">
        <v>1997</v>
      </c>
      <c r="H2321" s="973" t="s">
        <v>1998</v>
      </c>
      <c r="I2321" s="973" t="s">
        <v>1999</v>
      </c>
      <c r="J2321" s="973" t="s">
        <v>697</v>
      </c>
      <c r="K2321" s="973" t="s">
        <v>995</v>
      </c>
      <c r="L2321" s="973" t="s">
        <v>996</v>
      </c>
      <c r="M2321" s="973" t="s">
        <v>2000</v>
      </c>
      <c r="N2321" s="973" t="s">
        <v>2001</v>
      </c>
      <c r="O2321" s="973" t="s">
        <v>1971</v>
      </c>
      <c r="P2321" s="973" t="s">
        <v>999</v>
      </c>
      <c r="Q2321" s="973" t="s">
        <v>1000</v>
      </c>
      <c r="R2321" s="973" t="s">
        <v>1001</v>
      </c>
      <c r="S2321" s="973" t="s">
        <v>1002</v>
      </c>
      <c r="AE2321" s="423" t="str">
        <f t="shared" si="36"/>
        <v/>
      </c>
    </row>
    <row r="2322" spans="4:31" x14ac:dyDescent="0.25">
      <c r="D2322" s="973" t="s">
        <v>990</v>
      </c>
      <c r="E2322" s="973" t="s">
        <v>991</v>
      </c>
      <c r="F2322" s="973" t="s">
        <v>992</v>
      </c>
      <c r="G2322" s="973" t="s">
        <v>1997</v>
      </c>
      <c r="H2322" s="973" t="s">
        <v>1998</v>
      </c>
      <c r="I2322" s="973" t="s">
        <v>1999</v>
      </c>
      <c r="J2322" s="973" t="s">
        <v>697</v>
      </c>
      <c r="K2322" s="973" t="s">
        <v>995</v>
      </c>
      <c r="L2322" s="973" t="s">
        <v>996</v>
      </c>
      <c r="M2322" s="973" t="s">
        <v>2000</v>
      </c>
      <c r="N2322" s="973" t="s">
        <v>2001</v>
      </c>
      <c r="O2322" s="973" t="s">
        <v>1971</v>
      </c>
      <c r="P2322" s="973" t="s">
        <v>999</v>
      </c>
      <c r="Q2322" s="973" t="s">
        <v>1000</v>
      </c>
      <c r="R2322" s="973" t="s">
        <v>1001</v>
      </c>
      <c r="S2322" s="973" t="s">
        <v>1002</v>
      </c>
      <c r="AE2322" s="423" t="str">
        <f t="shared" si="36"/>
        <v/>
      </c>
    </row>
    <row r="2323" spans="4:31" x14ac:dyDescent="0.25">
      <c r="D2323" s="973" t="s">
        <v>990</v>
      </c>
      <c r="E2323" s="973" t="s">
        <v>991</v>
      </c>
      <c r="F2323" s="973" t="s">
        <v>992</v>
      </c>
      <c r="G2323" s="973" t="s">
        <v>1997</v>
      </c>
      <c r="H2323" s="973" t="s">
        <v>1998</v>
      </c>
      <c r="I2323" s="973" t="s">
        <v>1999</v>
      </c>
      <c r="J2323" s="973" t="s">
        <v>697</v>
      </c>
      <c r="K2323" s="973" t="s">
        <v>995</v>
      </c>
      <c r="L2323" s="973" t="s">
        <v>996</v>
      </c>
      <c r="M2323" s="973" t="s">
        <v>2000</v>
      </c>
      <c r="N2323" s="973" t="s">
        <v>2001</v>
      </c>
      <c r="O2323" s="973" t="s">
        <v>1971</v>
      </c>
      <c r="P2323" s="973" t="s">
        <v>999</v>
      </c>
      <c r="Q2323" s="973" t="s">
        <v>1000</v>
      </c>
      <c r="R2323" s="973" t="s">
        <v>1001</v>
      </c>
      <c r="S2323" s="973" t="s">
        <v>1002</v>
      </c>
      <c r="AE2323" s="423" t="str">
        <f t="shared" si="36"/>
        <v/>
      </c>
    </row>
    <row r="2324" spans="4:31" x14ac:dyDescent="0.25">
      <c r="D2324" s="973" t="s">
        <v>990</v>
      </c>
      <c r="E2324" s="973" t="s">
        <v>991</v>
      </c>
      <c r="F2324" s="973" t="s">
        <v>992</v>
      </c>
      <c r="G2324" s="973" t="s">
        <v>1997</v>
      </c>
      <c r="H2324" s="973" t="s">
        <v>1998</v>
      </c>
      <c r="I2324" s="973" t="s">
        <v>1999</v>
      </c>
      <c r="J2324" s="973" t="s">
        <v>697</v>
      </c>
      <c r="K2324" s="973" t="s">
        <v>995</v>
      </c>
      <c r="L2324" s="973" t="s">
        <v>996</v>
      </c>
      <c r="M2324" s="973" t="s">
        <v>2000</v>
      </c>
      <c r="N2324" s="973" t="s">
        <v>2001</v>
      </c>
      <c r="O2324" s="973" t="s">
        <v>1971</v>
      </c>
      <c r="P2324" s="973" t="s">
        <v>999</v>
      </c>
      <c r="Q2324" s="973" t="s">
        <v>1000</v>
      </c>
      <c r="R2324" s="973" t="s">
        <v>1001</v>
      </c>
      <c r="S2324" s="973" t="s">
        <v>1002</v>
      </c>
      <c r="AE2324" s="423" t="str">
        <f t="shared" si="36"/>
        <v/>
      </c>
    </row>
    <row r="2325" spans="4:31" x14ac:dyDescent="0.25">
      <c r="D2325" s="973" t="s">
        <v>990</v>
      </c>
      <c r="E2325" s="973" t="s">
        <v>991</v>
      </c>
      <c r="F2325" s="973" t="s">
        <v>992</v>
      </c>
      <c r="G2325" s="973" t="s">
        <v>1997</v>
      </c>
      <c r="H2325" s="973" t="s">
        <v>1998</v>
      </c>
      <c r="I2325" s="973" t="s">
        <v>1999</v>
      </c>
      <c r="J2325" s="973" t="s">
        <v>697</v>
      </c>
      <c r="K2325" s="973" t="s">
        <v>995</v>
      </c>
      <c r="L2325" s="973" t="s">
        <v>996</v>
      </c>
      <c r="M2325" s="973" t="s">
        <v>2000</v>
      </c>
      <c r="N2325" s="973" t="s">
        <v>2001</v>
      </c>
      <c r="O2325" s="973" t="s">
        <v>1971</v>
      </c>
      <c r="P2325" s="973" t="s">
        <v>999</v>
      </c>
      <c r="Q2325" s="973" t="s">
        <v>1000</v>
      </c>
      <c r="R2325" s="973" t="s">
        <v>1001</v>
      </c>
      <c r="S2325" s="973" t="s">
        <v>1002</v>
      </c>
      <c r="AE2325" s="423" t="str">
        <f t="shared" si="36"/>
        <v/>
      </c>
    </row>
    <row r="2326" spans="4:31" x14ac:dyDescent="0.25">
      <c r="D2326" s="973" t="s">
        <v>990</v>
      </c>
      <c r="E2326" s="973" t="s">
        <v>991</v>
      </c>
      <c r="F2326" s="973" t="s">
        <v>992</v>
      </c>
      <c r="G2326" s="973" t="s">
        <v>1997</v>
      </c>
      <c r="H2326" s="973" t="s">
        <v>1998</v>
      </c>
      <c r="I2326" s="973" t="s">
        <v>1999</v>
      </c>
      <c r="J2326" s="973" t="s">
        <v>697</v>
      </c>
      <c r="K2326" s="973" t="s">
        <v>995</v>
      </c>
      <c r="L2326" s="973" t="s">
        <v>996</v>
      </c>
      <c r="M2326" s="973" t="s">
        <v>2000</v>
      </c>
      <c r="N2326" s="973" t="s">
        <v>2001</v>
      </c>
      <c r="O2326" s="973" t="s">
        <v>1971</v>
      </c>
      <c r="P2326" s="973" t="s">
        <v>999</v>
      </c>
      <c r="Q2326" s="973" t="s">
        <v>1000</v>
      </c>
      <c r="R2326" s="973" t="s">
        <v>1001</v>
      </c>
      <c r="S2326" s="973" t="s">
        <v>1002</v>
      </c>
      <c r="AE2326" s="423" t="str">
        <f t="shared" si="36"/>
        <v/>
      </c>
    </row>
    <row r="2327" spans="4:31" x14ac:dyDescent="0.25">
      <c r="D2327" s="973" t="s">
        <v>990</v>
      </c>
      <c r="E2327" s="973" t="s">
        <v>991</v>
      </c>
      <c r="F2327" s="973" t="s">
        <v>992</v>
      </c>
      <c r="G2327" s="973" t="s">
        <v>1997</v>
      </c>
      <c r="H2327" s="973" t="s">
        <v>1998</v>
      </c>
      <c r="I2327" s="973" t="s">
        <v>1999</v>
      </c>
      <c r="J2327" s="973" t="s">
        <v>697</v>
      </c>
      <c r="K2327" s="973" t="s">
        <v>995</v>
      </c>
      <c r="L2327" s="973" t="s">
        <v>996</v>
      </c>
      <c r="M2327" s="973" t="s">
        <v>2000</v>
      </c>
      <c r="N2327" s="973" t="s">
        <v>2001</v>
      </c>
      <c r="O2327" s="973" t="s">
        <v>1971</v>
      </c>
      <c r="P2327" s="973" t="s">
        <v>999</v>
      </c>
      <c r="Q2327" s="973" t="s">
        <v>1000</v>
      </c>
      <c r="R2327" s="973" t="s">
        <v>1001</v>
      </c>
      <c r="S2327" s="973" t="s">
        <v>1002</v>
      </c>
      <c r="AE2327" s="423" t="str">
        <f t="shared" si="36"/>
        <v/>
      </c>
    </row>
    <row r="2328" spans="4:31" x14ac:dyDescent="0.25">
      <c r="D2328" s="973" t="s">
        <v>990</v>
      </c>
      <c r="E2328" s="973" t="s">
        <v>991</v>
      </c>
      <c r="F2328" s="973" t="s">
        <v>992</v>
      </c>
      <c r="G2328" s="973" t="s">
        <v>1997</v>
      </c>
      <c r="H2328" s="973" t="s">
        <v>1998</v>
      </c>
      <c r="I2328" s="973" t="s">
        <v>1999</v>
      </c>
      <c r="J2328" s="973" t="s">
        <v>697</v>
      </c>
      <c r="K2328" s="973" t="s">
        <v>995</v>
      </c>
      <c r="L2328" s="973" t="s">
        <v>996</v>
      </c>
      <c r="M2328" s="973" t="s">
        <v>2000</v>
      </c>
      <c r="N2328" s="973" t="s">
        <v>2001</v>
      </c>
      <c r="O2328" s="973" t="s">
        <v>1971</v>
      </c>
      <c r="P2328" s="973" t="s">
        <v>999</v>
      </c>
      <c r="Q2328" s="973" t="s">
        <v>1000</v>
      </c>
      <c r="R2328" s="973" t="s">
        <v>1001</v>
      </c>
      <c r="S2328" s="973" t="s">
        <v>1002</v>
      </c>
      <c r="AE2328" s="423" t="str">
        <f t="shared" si="36"/>
        <v/>
      </c>
    </row>
    <row r="2329" spans="4:31" x14ac:dyDescent="0.25">
      <c r="D2329" s="973" t="s">
        <v>990</v>
      </c>
      <c r="E2329" s="973" t="s">
        <v>991</v>
      </c>
      <c r="F2329" s="973" t="s">
        <v>992</v>
      </c>
      <c r="G2329" s="973" t="s">
        <v>1997</v>
      </c>
      <c r="H2329" s="973" t="s">
        <v>1998</v>
      </c>
      <c r="I2329" s="973" t="s">
        <v>1999</v>
      </c>
      <c r="J2329" s="973" t="s">
        <v>697</v>
      </c>
      <c r="K2329" s="973" t="s">
        <v>995</v>
      </c>
      <c r="L2329" s="973" t="s">
        <v>996</v>
      </c>
      <c r="M2329" s="973" t="s">
        <v>2000</v>
      </c>
      <c r="N2329" s="973" t="s">
        <v>2001</v>
      </c>
      <c r="O2329" s="973" t="s">
        <v>1971</v>
      </c>
      <c r="P2329" s="973" t="s">
        <v>999</v>
      </c>
      <c r="Q2329" s="973" t="s">
        <v>1000</v>
      </c>
      <c r="R2329" s="973" t="s">
        <v>1001</v>
      </c>
      <c r="S2329" s="973" t="s">
        <v>1002</v>
      </c>
      <c r="AE2329" s="423" t="str">
        <f t="shared" si="36"/>
        <v/>
      </c>
    </row>
    <row r="2330" spans="4:31" x14ac:dyDescent="0.25">
      <c r="D2330" s="973" t="s">
        <v>990</v>
      </c>
      <c r="E2330" s="973" t="s">
        <v>991</v>
      </c>
      <c r="F2330" s="973" t="s">
        <v>992</v>
      </c>
      <c r="G2330" s="973" t="s">
        <v>1997</v>
      </c>
      <c r="H2330" s="973" t="s">
        <v>1998</v>
      </c>
      <c r="I2330" s="973" t="s">
        <v>1999</v>
      </c>
      <c r="J2330" s="973" t="s">
        <v>697</v>
      </c>
      <c r="K2330" s="973" t="s">
        <v>995</v>
      </c>
      <c r="L2330" s="973" t="s">
        <v>996</v>
      </c>
      <c r="M2330" s="973" t="s">
        <v>2000</v>
      </c>
      <c r="N2330" s="973" t="s">
        <v>2001</v>
      </c>
      <c r="O2330" s="973" t="s">
        <v>1971</v>
      </c>
      <c r="P2330" s="973" t="s">
        <v>999</v>
      </c>
      <c r="Q2330" s="973" t="s">
        <v>1000</v>
      </c>
      <c r="R2330" s="973" t="s">
        <v>1001</v>
      </c>
      <c r="S2330" s="973" t="s">
        <v>1002</v>
      </c>
      <c r="AE2330" s="423" t="str">
        <f t="shared" si="36"/>
        <v/>
      </c>
    </row>
    <row r="2331" spans="4:31" x14ac:dyDescent="0.25">
      <c r="D2331" s="973" t="s">
        <v>990</v>
      </c>
      <c r="E2331" s="973" t="s">
        <v>991</v>
      </c>
      <c r="F2331" s="973" t="s">
        <v>992</v>
      </c>
      <c r="G2331" s="973" t="s">
        <v>1997</v>
      </c>
      <c r="H2331" s="973" t="s">
        <v>1998</v>
      </c>
      <c r="I2331" s="973" t="s">
        <v>1999</v>
      </c>
      <c r="J2331" s="973" t="s">
        <v>697</v>
      </c>
      <c r="K2331" s="973" t="s">
        <v>995</v>
      </c>
      <c r="L2331" s="973" t="s">
        <v>996</v>
      </c>
      <c r="M2331" s="973" t="s">
        <v>2000</v>
      </c>
      <c r="N2331" s="973" t="s">
        <v>2001</v>
      </c>
      <c r="O2331" s="973" t="s">
        <v>1971</v>
      </c>
      <c r="P2331" s="973" t="s">
        <v>999</v>
      </c>
      <c r="Q2331" s="973" t="s">
        <v>1000</v>
      </c>
      <c r="R2331" s="973" t="s">
        <v>1001</v>
      </c>
      <c r="S2331" s="973" t="s">
        <v>1002</v>
      </c>
      <c r="AE2331" s="423" t="str">
        <f t="shared" si="36"/>
        <v/>
      </c>
    </row>
    <row r="2332" spans="4:31" x14ac:dyDescent="0.25">
      <c r="D2332" s="973" t="s">
        <v>990</v>
      </c>
      <c r="E2332" s="973" t="s">
        <v>991</v>
      </c>
      <c r="F2332" s="973" t="s">
        <v>992</v>
      </c>
      <c r="G2332" s="973" t="s">
        <v>1997</v>
      </c>
      <c r="H2332" s="973" t="s">
        <v>1998</v>
      </c>
      <c r="I2332" s="973" t="s">
        <v>1999</v>
      </c>
      <c r="J2332" s="973" t="s">
        <v>697</v>
      </c>
      <c r="K2332" s="973" t="s">
        <v>995</v>
      </c>
      <c r="L2332" s="973" t="s">
        <v>996</v>
      </c>
      <c r="M2332" s="973" t="s">
        <v>2000</v>
      </c>
      <c r="N2332" s="973" t="s">
        <v>2001</v>
      </c>
      <c r="O2332" s="973" t="s">
        <v>1971</v>
      </c>
      <c r="P2332" s="973" t="s">
        <v>999</v>
      </c>
      <c r="Q2332" s="973" t="s">
        <v>1000</v>
      </c>
      <c r="R2332" s="973" t="s">
        <v>1001</v>
      </c>
      <c r="S2332" s="973" t="s">
        <v>1002</v>
      </c>
      <c r="AE2332" s="423" t="str">
        <f t="shared" si="36"/>
        <v/>
      </c>
    </row>
    <row r="2333" spans="4:31" x14ac:dyDescent="0.25">
      <c r="D2333" s="973" t="s">
        <v>990</v>
      </c>
      <c r="E2333" s="973" t="s">
        <v>991</v>
      </c>
      <c r="F2333" s="973" t="s">
        <v>992</v>
      </c>
      <c r="G2333" s="973" t="s">
        <v>1997</v>
      </c>
      <c r="H2333" s="973" t="s">
        <v>1998</v>
      </c>
      <c r="I2333" s="973" t="s">
        <v>1999</v>
      </c>
      <c r="J2333" s="973" t="s">
        <v>697</v>
      </c>
      <c r="K2333" s="973" t="s">
        <v>995</v>
      </c>
      <c r="L2333" s="973" t="s">
        <v>996</v>
      </c>
      <c r="M2333" s="973" t="s">
        <v>2000</v>
      </c>
      <c r="N2333" s="973" t="s">
        <v>2001</v>
      </c>
      <c r="O2333" s="973" t="s">
        <v>1971</v>
      </c>
      <c r="P2333" s="973" t="s">
        <v>999</v>
      </c>
      <c r="Q2333" s="973" t="s">
        <v>1000</v>
      </c>
      <c r="R2333" s="973" t="s">
        <v>1001</v>
      </c>
      <c r="S2333" s="973" t="s">
        <v>1002</v>
      </c>
      <c r="AE2333" s="423" t="str">
        <f t="shared" si="36"/>
        <v/>
      </c>
    </row>
    <row r="2334" spans="4:31" x14ac:dyDescent="0.25">
      <c r="D2334" s="973" t="s">
        <v>990</v>
      </c>
      <c r="E2334" s="973" t="s">
        <v>991</v>
      </c>
      <c r="F2334" s="973" t="s">
        <v>992</v>
      </c>
      <c r="G2334" s="973" t="s">
        <v>1997</v>
      </c>
      <c r="H2334" s="973" t="s">
        <v>1998</v>
      </c>
      <c r="I2334" s="973" t="s">
        <v>1999</v>
      </c>
      <c r="J2334" s="973" t="s">
        <v>697</v>
      </c>
      <c r="K2334" s="973" t="s">
        <v>995</v>
      </c>
      <c r="L2334" s="973" t="s">
        <v>996</v>
      </c>
      <c r="M2334" s="973" t="s">
        <v>2000</v>
      </c>
      <c r="N2334" s="973" t="s">
        <v>2001</v>
      </c>
      <c r="O2334" s="973" t="s">
        <v>1971</v>
      </c>
      <c r="P2334" s="973" t="s">
        <v>999</v>
      </c>
      <c r="Q2334" s="973" t="s">
        <v>1000</v>
      </c>
      <c r="R2334" s="973" t="s">
        <v>1001</v>
      </c>
      <c r="S2334" s="973" t="s">
        <v>1002</v>
      </c>
      <c r="AE2334" s="423" t="str">
        <f t="shared" si="36"/>
        <v/>
      </c>
    </row>
    <row r="2335" spans="4:31" x14ac:dyDescent="0.25">
      <c r="D2335" s="973" t="s">
        <v>990</v>
      </c>
      <c r="E2335" s="973" t="s">
        <v>991</v>
      </c>
      <c r="F2335" s="973" t="s">
        <v>992</v>
      </c>
      <c r="G2335" s="973" t="s">
        <v>1997</v>
      </c>
      <c r="H2335" s="973" t="s">
        <v>1998</v>
      </c>
      <c r="I2335" s="973" t="s">
        <v>1999</v>
      </c>
      <c r="J2335" s="973" t="s">
        <v>697</v>
      </c>
      <c r="K2335" s="973" t="s">
        <v>995</v>
      </c>
      <c r="L2335" s="973" t="s">
        <v>996</v>
      </c>
      <c r="M2335" s="973" t="s">
        <v>2000</v>
      </c>
      <c r="N2335" s="973" t="s">
        <v>2001</v>
      </c>
      <c r="O2335" s="973" t="s">
        <v>1971</v>
      </c>
      <c r="P2335" s="973" t="s">
        <v>999</v>
      </c>
      <c r="Q2335" s="973" t="s">
        <v>1000</v>
      </c>
      <c r="R2335" s="973" t="s">
        <v>1001</v>
      </c>
      <c r="S2335" s="973" t="s">
        <v>1002</v>
      </c>
      <c r="AE2335" s="423" t="str">
        <f t="shared" si="36"/>
        <v/>
      </c>
    </row>
    <row r="2336" spans="4:31" x14ac:dyDescent="0.25">
      <c r="D2336" s="973" t="s">
        <v>990</v>
      </c>
      <c r="E2336" s="973" t="s">
        <v>991</v>
      </c>
      <c r="F2336" s="973" t="s">
        <v>992</v>
      </c>
      <c r="G2336" s="973" t="s">
        <v>1997</v>
      </c>
      <c r="H2336" s="973" t="s">
        <v>1998</v>
      </c>
      <c r="I2336" s="973" t="s">
        <v>1999</v>
      </c>
      <c r="J2336" s="973" t="s">
        <v>697</v>
      </c>
      <c r="K2336" s="973" t="s">
        <v>995</v>
      </c>
      <c r="L2336" s="973" t="s">
        <v>996</v>
      </c>
      <c r="M2336" s="973" t="s">
        <v>2000</v>
      </c>
      <c r="N2336" s="973" t="s">
        <v>2001</v>
      </c>
      <c r="O2336" s="973" t="s">
        <v>1971</v>
      </c>
      <c r="P2336" s="973" t="s">
        <v>999</v>
      </c>
      <c r="Q2336" s="973" t="s">
        <v>1000</v>
      </c>
      <c r="R2336" s="973" t="s">
        <v>1001</v>
      </c>
      <c r="S2336" s="973" t="s">
        <v>1002</v>
      </c>
      <c r="AE2336" s="423" t="str">
        <f t="shared" si="36"/>
        <v/>
      </c>
    </row>
    <row r="2337" spans="4:31" x14ac:dyDescent="0.25">
      <c r="D2337" s="973" t="s">
        <v>990</v>
      </c>
      <c r="E2337" s="973" t="s">
        <v>991</v>
      </c>
      <c r="F2337" s="973" t="s">
        <v>992</v>
      </c>
      <c r="G2337" s="973" t="s">
        <v>1997</v>
      </c>
      <c r="H2337" s="973" t="s">
        <v>1998</v>
      </c>
      <c r="I2337" s="973" t="s">
        <v>1999</v>
      </c>
      <c r="J2337" s="973" t="s">
        <v>697</v>
      </c>
      <c r="K2337" s="973" t="s">
        <v>995</v>
      </c>
      <c r="L2337" s="973" t="s">
        <v>996</v>
      </c>
      <c r="M2337" s="973" t="s">
        <v>2000</v>
      </c>
      <c r="N2337" s="973" t="s">
        <v>2001</v>
      </c>
      <c r="O2337" s="973" t="s">
        <v>1971</v>
      </c>
      <c r="P2337" s="973" t="s">
        <v>999</v>
      </c>
      <c r="Q2337" s="973" t="s">
        <v>1000</v>
      </c>
      <c r="R2337" s="973" t="s">
        <v>1001</v>
      </c>
      <c r="S2337" s="973" t="s">
        <v>1002</v>
      </c>
      <c r="AE2337" s="423" t="str">
        <f t="shared" si="36"/>
        <v/>
      </c>
    </row>
    <row r="2338" spans="4:31" x14ac:dyDescent="0.25">
      <c r="D2338" s="973" t="s">
        <v>990</v>
      </c>
      <c r="E2338" s="973" t="s">
        <v>991</v>
      </c>
      <c r="F2338" s="973" t="s">
        <v>992</v>
      </c>
      <c r="G2338" s="973" t="s">
        <v>1997</v>
      </c>
      <c r="H2338" s="973" t="s">
        <v>1998</v>
      </c>
      <c r="I2338" s="973" t="s">
        <v>1999</v>
      </c>
      <c r="J2338" s="973" t="s">
        <v>697</v>
      </c>
      <c r="K2338" s="973" t="s">
        <v>995</v>
      </c>
      <c r="L2338" s="973" t="s">
        <v>996</v>
      </c>
      <c r="M2338" s="973" t="s">
        <v>2000</v>
      </c>
      <c r="N2338" s="973" t="s">
        <v>2001</v>
      </c>
      <c r="O2338" s="973" t="s">
        <v>1971</v>
      </c>
      <c r="P2338" s="973" t="s">
        <v>999</v>
      </c>
      <c r="Q2338" s="973" t="s">
        <v>1000</v>
      </c>
      <c r="R2338" s="973" t="s">
        <v>1001</v>
      </c>
      <c r="S2338" s="973" t="s">
        <v>1002</v>
      </c>
      <c r="AE2338" s="423" t="str">
        <f t="shared" si="36"/>
        <v/>
      </c>
    </row>
    <row r="2339" spans="4:31" x14ac:dyDescent="0.25">
      <c r="D2339" s="973" t="s">
        <v>990</v>
      </c>
      <c r="E2339" s="973" t="s">
        <v>991</v>
      </c>
      <c r="F2339" s="973" t="s">
        <v>992</v>
      </c>
      <c r="G2339" s="973" t="s">
        <v>1997</v>
      </c>
      <c r="H2339" s="973" t="s">
        <v>1998</v>
      </c>
      <c r="I2339" s="973" t="s">
        <v>1999</v>
      </c>
      <c r="J2339" s="973" t="s">
        <v>697</v>
      </c>
      <c r="K2339" s="973" t="s">
        <v>995</v>
      </c>
      <c r="L2339" s="973" t="s">
        <v>996</v>
      </c>
      <c r="M2339" s="973" t="s">
        <v>2000</v>
      </c>
      <c r="N2339" s="973" t="s">
        <v>2001</v>
      </c>
      <c r="O2339" s="973" t="s">
        <v>1971</v>
      </c>
      <c r="P2339" s="973" t="s">
        <v>999</v>
      </c>
      <c r="Q2339" s="973" t="s">
        <v>1000</v>
      </c>
      <c r="R2339" s="973" t="s">
        <v>1001</v>
      </c>
      <c r="S2339" s="973" t="s">
        <v>1002</v>
      </c>
      <c r="AE2339" s="423" t="str">
        <f t="shared" si="36"/>
        <v/>
      </c>
    </row>
    <row r="2340" spans="4:31" x14ac:dyDescent="0.25">
      <c r="D2340" s="973" t="s">
        <v>990</v>
      </c>
      <c r="E2340" s="973" t="s">
        <v>991</v>
      </c>
      <c r="F2340" s="973" t="s">
        <v>992</v>
      </c>
      <c r="G2340" s="973" t="s">
        <v>1997</v>
      </c>
      <c r="H2340" s="973" t="s">
        <v>1998</v>
      </c>
      <c r="I2340" s="973" t="s">
        <v>1999</v>
      </c>
      <c r="J2340" s="973" t="s">
        <v>697</v>
      </c>
      <c r="K2340" s="973" t="s">
        <v>995</v>
      </c>
      <c r="L2340" s="973" t="s">
        <v>996</v>
      </c>
      <c r="M2340" s="973" t="s">
        <v>2000</v>
      </c>
      <c r="N2340" s="973" t="s">
        <v>2001</v>
      </c>
      <c r="O2340" s="973" t="s">
        <v>1971</v>
      </c>
      <c r="P2340" s="973" t="s">
        <v>999</v>
      </c>
      <c r="Q2340" s="973" t="s">
        <v>1000</v>
      </c>
      <c r="R2340" s="973" t="s">
        <v>1001</v>
      </c>
      <c r="S2340" s="973" t="s">
        <v>1002</v>
      </c>
      <c r="AE2340" s="423" t="str">
        <f t="shared" si="36"/>
        <v/>
      </c>
    </row>
    <row r="2341" spans="4:31" x14ac:dyDescent="0.25">
      <c r="D2341" s="973" t="s">
        <v>990</v>
      </c>
      <c r="E2341" s="973" t="s">
        <v>991</v>
      </c>
      <c r="F2341" s="973" t="s">
        <v>992</v>
      </c>
      <c r="G2341" s="973" t="s">
        <v>1997</v>
      </c>
      <c r="H2341" s="973" t="s">
        <v>1998</v>
      </c>
      <c r="I2341" s="973" t="s">
        <v>1999</v>
      </c>
      <c r="J2341" s="973" t="s">
        <v>697</v>
      </c>
      <c r="K2341" s="973" t="s">
        <v>995</v>
      </c>
      <c r="L2341" s="973" t="s">
        <v>996</v>
      </c>
      <c r="M2341" s="973" t="s">
        <v>2000</v>
      </c>
      <c r="N2341" s="973" t="s">
        <v>2001</v>
      </c>
      <c r="O2341" s="973" t="s">
        <v>1971</v>
      </c>
      <c r="P2341" s="973" t="s">
        <v>999</v>
      </c>
      <c r="Q2341" s="973" t="s">
        <v>1000</v>
      </c>
      <c r="R2341" s="973" t="s">
        <v>1001</v>
      </c>
      <c r="S2341" s="973" t="s">
        <v>1002</v>
      </c>
      <c r="AE2341" s="423" t="str">
        <f t="shared" si="36"/>
        <v/>
      </c>
    </row>
    <row r="2342" spans="4:31" x14ac:dyDescent="0.25">
      <c r="D2342" s="973" t="s">
        <v>990</v>
      </c>
      <c r="E2342" s="973" t="s">
        <v>991</v>
      </c>
      <c r="F2342" s="973" t="s">
        <v>992</v>
      </c>
      <c r="G2342" s="973" t="s">
        <v>1997</v>
      </c>
      <c r="H2342" s="973" t="s">
        <v>1998</v>
      </c>
      <c r="I2342" s="973" t="s">
        <v>1999</v>
      </c>
      <c r="J2342" s="973" t="s">
        <v>697</v>
      </c>
      <c r="K2342" s="973" t="s">
        <v>995</v>
      </c>
      <c r="L2342" s="973" t="s">
        <v>996</v>
      </c>
      <c r="M2342" s="973" t="s">
        <v>2000</v>
      </c>
      <c r="N2342" s="973" t="s">
        <v>2001</v>
      </c>
      <c r="O2342" s="973" t="s">
        <v>1971</v>
      </c>
      <c r="P2342" s="973" t="s">
        <v>999</v>
      </c>
      <c r="Q2342" s="973" t="s">
        <v>1000</v>
      </c>
      <c r="R2342" s="973" t="s">
        <v>1001</v>
      </c>
      <c r="S2342" s="973" t="s">
        <v>1002</v>
      </c>
      <c r="AE2342" s="423" t="str">
        <f t="shared" si="36"/>
        <v/>
      </c>
    </row>
    <row r="2343" spans="4:31" x14ac:dyDescent="0.25">
      <c r="D2343" s="973" t="s">
        <v>990</v>
      </c>
      <c r="E2343" s="973" t="s">
        <v>991</v>
      </c>
      <c r="F2343" s="973" t="s">
        <v>992</v>
      </c>
      <c r="G2343" s="973" t="s">
        <v>1997</v>
      </c>
      <c r="H2343" s="973" t="s">
        <v>1998</v>
      </c>
      <c r="I2343" s="973" t="s">
        <v>1999</v>
      </c>
      <c r="J2343" s="973" t="s">
        <v>697</v>
      </c>
      <c r="K2343" s="973" t="s">
        <v>995</v>
      </c>
      <c r="L2343" s="973" t="s">
        <v>996</v>
      </c>
      <c r="M2343" s="973" t="s">
        <v>2000</v>
      </c>
      <c r="N2343" s="973" t="s">
        <v>2001</v>
      </c>
      <c r="O2343" s="973" t="s">
        <v>1971</v>
      </c>
      <c r="P2343" s="973" t="s">
        <v>999</v>
      </c>
      <c r="Q2343" s="973" t="s">
        <v>1000</v>
      </c>
      <c r="R2343" s="973" t="s">
        <v>1001</v>
      </c>
      <c r="S2343" s="973" t="s">
        <v>1002</v>
      </c>
      <c r="AE2343" s="423" t="str">
        <f t="shared" si="36"/>
        <v/>
      </c>
    </row>
    <row r="2344" spans="4:31" x14ac:dyDescent="0.25">
      <c r="D2344" s="973" t="s">
        <v>990</v>
      </c>
      <c r="E2344" s="973" t="s">
        <v>991</v>
      </c>
      <c r="F2344" s="973" t="s">
        <v>992</v>
      </c>
      <c r="G2344" s="973" t="s">
        <v>1997</v>
      </c>
      <c r="H2344" s="973" t="s">
        <v>1998</v>
      </c>
      <c r="I2344" s="973" t="s">
        <v>1999</v>
      </c>
      <c r="J2344" s="973" t="s">
        <v>697</v>
      </c>
      <c r="K2344" s="973" t="s">
        <v>995</v>
      </c>
      <c r="L2344" s="973" t="s">
        <v>996</v>
      </c>
      <c r="M2344" s="973" t="s">
        <v>2000</v>
      </c>
      <c r="N2344" s="973" t="s">
        <v>2001</v>
      </c>
      <c r="O2344" s="973" t="s">
        <v>1971</v>
      </c>
      <c r="P2344" s="973" t="s">
        <v>999</v>
      </c>
      <c r="Q2344" s="973" t="s">
        <v>1000</v>
      </c>
      <c r="R2344" s="973" t="s">
        <v>1001</v>
      </c>
      <c r="S2344" s="973" t="s">
        <v>1002</v>
      </c>
      <c r="AE2344" s="423" t="str">
        <f t="shared" si="36"/>
        <v/>
      </c>
    </row>
    <row r="2345" spans="4:31" x14ac:dyDescent="0.25">
      <c r="D2345" s="973" t="s">
        <v>990</v>
      </c>
      <c r="E2345" s="973" t="s">
        <v>991</v>
      </c>
      <c r="F2345" s="973" t="s">
        <v>992</v>
      </c>
      <c r="G2345" s="973" t="s">
        <v>1997</v>
      </c>
      <c r="H2345" s="973" t="s">
        <v>1998</v>
      </c>
      <c r="I2345" s="973" t="s">
        <v>1999</v>
      </c>
      <c r="J2345" s="973" t="s">
        <v>697</v>
      </c>
      <c r="K2345" s="973" t="s">
        <v>995</v>
      </c>
      <c r="L2345" s="973" t="s">
        <v>996</v>
      </c>
      <c r="M2345" s="973" t="s">
        <v>2000</v>
      </c>
      <c r="N2345" s="973" t="s">
        <v>2001</v>
      </c>
      <c r="O2345" s="973" t="s">
        <v>1971</v>
      </c>
      <c r="P2345" s="973" t="s">
        <v>999</v>
      </c>
      <c r="Q2345" s="973" t="s">
        <v>1000</v>
      </c>
      <c r="R2345" s="973" t="s">
        <v>1001</v>
      </c>
      <c r="S2345" s="973" t="s">
        <v>1002</v>
      </c>
      <c r="AE2345" s="423" t="str">
        <f t="shared" si="36"/>
        <v/>
      </c>
    </row>
    <row r="2346" spans="4:31" x14ac:dyDescent="0.25">
      <c r="D2346" s="973" t="s">
        <v>990</v>
      </c>
      <c r="E2346" s="973" t="s">
        <v>991</v>
      </c>
      <c r="F2346" s="973" t="s">
        <v>992</v>
      </c>
      <c r="G2346" s="973" t="s">
        <v>1997</v>
      </c>
      <c r="H2346" s="973" t="s">
        <v>1998</v>
      </c>
      <c r="I2346" s="973" t="s">
        <v>1999</v>
      </c>
      <c r="J2346" s="973" t="s">
        <v>697</v>
      </c>
      <c r="K2346" s="973" t="s">
        <v>995</v>
      </c>
      <c r="L2346" s="973" t="s">
        <v>996</v>
      </c>
      <c r="M2346" s="973" t="s">
        <v>2000</v>
      </c>
      <c r="N2346" s="973" t="s">
        <v>2001</v>
      </c>
      <c r="O2346" s="973" t="s">
        <v>1971</v>
      </c>
      <c r="P2346" s="973" t="s">
        <v>999</v>
      </c>
      <c r="Q2346" s="973" t="s">
        <v>1000</v>
      </c>
      <c r="R2346" s="973" t="s">
        <v>1001</v>
      </c>
      <c r="S2346" s="973" t="s">
        <v>1002</v>
      </c>
      <c r="AE2346" s="423" t="str">
        <f t="shared" si="36"/>
        <v/>
      </c>
    </row>
    <row r="2347" spans="4:31" x14ac:dyDescent="0.25">
      <c r="D2347" s="973" t="s">
        <v>990</v>
      </c>
      <c r="E2347" s="973" t="s">
        <v>991</v>
      </c>
      <c r="F2347" s="973" t="s">
        <v>992</v>
      </c>
      <c r="G2347" s="973" t="s">
        <v>1997</v>
      </c>
      <c r="H2347" s="973" t="s">
        <v>1998</v>
      </c>
      <c r="I2347" s="973" t="s">
        <v>1999</v>
      </c>
      <c r="J2347" s="973" t="s">
        <v>697</v>
      </c>
      <c r="K2347" s="973" t="s">
        <v>995</v>
      </c>
      <c r="L2347" s="973" t="s">
        <v>996</v>
      </c>
      <c r="M2347" s="973" t="s">
        <v>2000</v>
      </c>
      <c r="N2347" s="973" t="s">
        <v>2001</v>
      </c>
      <c r="O2347" s="973" t="s">
        <v>1971</v>
      </c>
      <c r="P2347" s="973" t="s">
        <v>999</v>
      </c>
      <c r="Q2347" s="973" t="s">
        <v>1000</v>
      </c>
      <c r="R2347" s="973" t="s">
        <v>1001</v>
      </c>
      <c r="S2347" s="973" t="s">
        <v>1002</v>
      </c>
      <c r="AE2347" s="423" t="str">
        <f t="shared" si="36"/>
        <v/>
      </c>
    </row>
    <row r="2348" spans="4:31" x14ac:dyDescent="0.25">
      <c r="D2348" s="973" t="s">
        <v>990</v>
      </c>
      <c r="E2348" s="973" t="s">
        <v>991</v>
      </c>
      <c r="F2348" s="973" t="s">
        <v>992</v>
      </c>
      <c r="G2348" s="973" t="s">
        <v>1997</v>
      </c>
      <c r="H2348" s="973" t="s">
        <v>1998</v>
      </c>
      <c r="I2348" s="973" t="s">
        <v>1999</v>
      </c>
      <c r="J2348" s="973" t="s">
        <v>697</v>
      </c>
      <c r="K2348" s="973" t="s">
        <v>995</v>
      </c>
      <c r="L2348" s="973" t="s">
        <v>996</v>
      </c>
      <c r="M2348" s="973" t="s">
        <v>2000</v>
      </c>
      <c r="N2348" s="973" t="s">
        <v>2001</v>
      </c>
      <c r="O2348" s="973" t="s">
        <v>1971</v>
      </c>
      <c r="P2348" s="973" t="s">
        <v>999</v>
      </c>
      <c r="Q2348" s="973" t="s">
        <v>1000</v>
      </c>
      <c r="R2348" s="973" t="s">
        <v>1001</v>
      </c>
      <c r="S2348" s="973" t="s">
        <v>1002</v>
      </c>
      <c r="AE2348" s="423" t="str">
        <f t="shared" si="36"/>
        <v/>
      </c>
    </row>
    <row r="2349" spans="4:31" x14ac:dyDescent="0.25">
      <c r="D2349" s="973" t="s">
        <v>990</v>
      </c>
      <c r="E2349" s="973" t="s">
        <v>991</v>
      </c>
      <c r="F2349" s="973" t="s">
        <v>992</v>
      </c>
      <c r="G2349" s="973" t="s">
        <v>1997</v>
      </c>
      <c r="H2349" s="973" t="s">
        <v>1998</v>
      </c>
      <c r="I2349" s="973" t="s">
        <v>1999</v>
      </c>
      <c r="J2349" s="973" t="s">
        <v>697</v>
      </c>
      <c r="K2349" s="973" t="s">
        <v>995</v>
      </c>
      <c r="L2349" s="973" t="s">
        <v>996</v>
      </c>
      <c r="M2349" s="973" t="s">
        <v>2000</v>
      </c>
      <c r="N2349" s="973" t="s">
        <v>2001</v>
      </c>
      <c r="O2349" s="973" t="s">
        <v>1971</v>
      </c>
      <c r="P2349" s="973" t="s">
        <v>999</v>
      </c>
      <c r="Q2349" s="973" t="s">
        <v>1000</v>
      </c>
      <c r="R2349" s="973" t="s">
        <v>1001</v>
      </c>
      <c r="S2349" s="973" t="s">
        <v>1002</v>
      </c>
      <c r="AE2349" s="423" t="str">
        <f t="shared" si="36"/>
        <v/>
      </c>
    </row>
    <row r="2350" spans="4:31" x14ac:dyDescent="0.25">
      <c r="D2350" s="973" t="s">
        <v>990</v>
      </c>
      <c r="E2350" s="973" t="s">
        <v>991</v>
      </c>
      <c r="F2350" s="973" t="s">
        <v>992</v>
      </c>
      <c r="G2350" s="973" t="s">
        <v>1997</v>
      </c>
      <c r="H2350" s="973" t="s">
        <v>1998</v>
      </c>
      <c r="I2350" s="973" t="s">
        <v>1999</v>
      </c>
      <c r="J2350" s="973" t="s">
        <v>697</v>
      </c>
      <c r="K2350" s="973" t="s">
        <v>995</v>
      </c>
      <c r="L2350" s="973" t="s">
        <v>996</v>
      </c>
      <c r="M2350" s="973" t="s">
        <v>2000</v>
      </c>
      <c r="N2350" s="973" t="s">
        <v>2001</v>
      </c>
      <c r="O2350" s="973" t="s">
        <v>1971</v>
      </c>
      <c r="P2350" s="973" t="s">
        <v>999</v>
      </c>
      <c r="Q2350" s="973" t="s">
        <v>1000</v>
      </c>
      <c r="R2350" s="973" t="s">
        <v>1001</v>
      </c>
      <c r="S2350" s="973" t="s">
        <v>1002</v>
      </c>
      <c r="AE2350" s="423" t="str">
        <f t="shared" si="36"/>
        <v/>
      </c>
    </row>
    <row r="2351" spans="4:31" x14ac:dyDescent="0.25">
      <c r="D2351" s="973" t="s">
        <v>990</v>
      </c>
      <c r="E2351" s="973" t="s">
        <v>991</v>
      </c>
      <c r="F2351" s="973" t="s">
        <v>992</v>
      </c>
      <c r="G2351" s="973" t="s">
        <v>1997</v>
      </c>
      <c r="H2351" s="973" t="s">
        <v>1998</v>
      </c>
      <c r="I2351" s="973" t="s">
        <v>1999</v>
      </c>
      <c r="J2351" s="973" t="s">
        <v>697</v>
      </c>
      <c r="K2351" s="973" t="s">
        <v>995</v>
      </c>
      <c r="L2351" s="973" t="s">
        <v>996</v>
      </c>
      <c r="M2351" s="973" t="s">
        <v>2000</v>
      </c>
      <c r="N2351" s="973" t="s">
        <v>2001</v>
      </c>
      <c r="O2351" s="973" t="s">
        <v>1971</v>
      </c>
      <c r="P2351" s="973" t="s">
        <v>999</v>
      </c>
      <c r="Q2351" s="973" t="s">
        <v>1000</v>
      </c>
      <c r="R2351" s="973" t="s">
        <v>1001</v>
      </c>
      <c r="S2351" s="973" t="s">
        <v>1002</v>
      </c>
      <c r="AE2351" s="423" t="str">
        <f t="shared" si="36"/>
        <v/>
      </c>
    </row>
    <row r="2352" spans="4:31" x14ac:dyDescent="0.25">
      <c r="D2352" s="973" t="s">
        <v>990</v>
      </c>
      <c r="E2352" s="973" t="s">
        <v>991</v>
      </c>
      <c r="F2352" s="973" t="s">
        <v>992</v>
      </c>
      <c r="G2352" s="973" t="s">
        <v>1997</v>
      </c>
      <c r="H2352" s="973" t="s">
        <v>1998</v>
      </c>
      <c r="I2352" s="973" t="s">
        <v>1999</v>
      </c>
      <c r="J2352" s="973" t="s">
        <v>697</v>
      </c>
      <c r="K2352" s="973" t="s">
        <v>995</v>
      </c>
      <c r="L2352" s="973" t="s">
        <v>996</v>
      </c>
      <c r="M2352" s="973" t="s">
        <v>2000</v>
      </c>
      <c r="N2352" s="973" t="s">
        <v>2001</v>
      </c>
      <c r="O2352" s="973" t="s">
        <v>1971</v>
      </c>
      <c r="P2352" s="973" t="s">
        <v>999</v>
      </c>
      <c r="Q2352" s="973" t="s">
        <v>1000</v>
      </c>
      <c r="R2352" s="973" t="s">
        <v>1001</v>
      </c>
      <c r="S2352" s="973" t="s">
        <v>1002</v>
      </c>
      <c r="AE2352" s="423" t="str">
        <f t="shared" si="36"/>
        <v/>
      </c>
    </row>
    <row r="2353" spans="4:31" x14ac:dyDescent="0.25">
      <c r="D2353" s="973" t="s">
        <v>990</v>
      </c>
      <c r="E2353" s="973" t="s">
        <v>991</v>
      </c>
      <c r="F2353" s="973" t="s">
        <v>992</v>
      </c>
      <c r="G2353" s="973" t="s">
        <v>1997</v>
      </c>
      <c r="H2353" s="973" t="s">
        <v>1998</v>
      </c>
      <c r="I2353" s="973" t="s">
        <v>1999</v>
      </c>
      <c r="J2353" s="973" t="s">
        <v>697</v>
      </c>
      <c r="K2353" s="973" t="s">
        <v>995</v>
      </c>
      <c r="L2353" s="973" t="s">
        <v>996</v>
      </c>
      <c r="M2353" s="973" t="s">
        <v>2000</v>
      </c>
      <c r="N2353" s="973" t="s">
        <v>2001</v>
      </c>
      <c r="O2353" s="973" t="s">
        <v>1971</v>
      </c>
      <c r="P2353" s="973" t="s">
        <v>999</v>
      </c>
      <c r="Q2353" s="973" t="s">
        <v>1000</v>
      </c>
      <c r="R2353" s="973" t="s">
        <v>1001</v>
      </c>
      <c r="S2353" s="973" t="s">
        <v>1002</v>
      </c>
      <c r="AE2353" s="423" t="str">
        <f t="shared" si="36"/>
        <v/>
      </c>
    </row>
    <row r="2354" spans="4:31" x14ac:dyDescent="0.25">
      <c r="D2354" s="973" t="s">
        <v>990</v>
      </c>
      <c r="E2354" s="973" t="s">
        <v>991</v>
      </c>
      <c r="F2354" s="973" t="s">
        <v>992</v>
      </c>
      <c r="G2354" s="973" t="s">
        <v>1997</v>
      </c>
      <c r="H2354" s="973" t="s">
        <v>1998</v>
      </c>
      <c r="I2354" s="973" t="s">
        <v>1999</v>
      </c>
      <c r="J2354" s="973" t="s">
        <v>697</v>
      </c>
      <c r="K2354" s="973" t="s">
        <v>995</v>
      </c>
      <c r="L2354" s="973" t="s">
        <v>996</v>
      </c>
      <c r="M2354" s="973" t="s">
        <v>2000</v>
      </c>
      <c r="N2354" s="973" t="s">
        <v>2001</v>
      </c>
      <c r="O2354" s="973" t="s">
        <v>1971</v>
      </c>
      <c r="P2354" s="973" t="s">
        <v>999</v>
      </c>
      <c r="Q2354" s="973" t="s">
        <v>1000</v>
      </c>
      <c r="R2354" s="973" t="s">
        <v>1001</v>
      </c>
      <c r="S2354" s="973" t="s">
        <v>1002</v>
      </c>
      <c r="AE2354" s="423" t="str">
        <f t="shared" si="36"/>
        <v/>
      </c>
    </row>
    <row r="2355" spans="4:31" x14ac:dyDescent="0.25">
      <c r="D2355" s="973" t="s">
        <v>990</v>
      </c>
      <c r="E2355" s="973" t="s">
        <v>991</v>
      </c>
      <c r="F2355" s="973" t="s">
        <v>992</v>
      </c>
      <c r="G2355" s="973" t="s">
        <v>1997</v>
      </c>
      <c r="H2355" s="973" t="s">
        <v>1998</v>
      </c>
      <c r="I2355" s="973" t="s">
        <v>1999</v>
      </c>
      <c r="J2355" s="973" t="s">
        <v>697</v>
      </c>
      <c r="K2355" s="973" t="s">
        <v>995</v>
      </c>
      <c r="L2355" s="973" t="s">
        <v>996</v>
      </c>
      <c r="M2355" s="973" t="s">
        <v>2000</v>
      </c>
      <c r="N2355" s="973" t="s">
        <v>2001</v>
      </c>
      <c r="O2355" s="973" t="s">
        <v>1971</v>
      </c>
      <c r="P2355" s="973" t="s">
        <v>999</v>
      </c>
      <c r="Q2355" s="973" t="s">
        <v>1000</v>
      </c>
      <c r="R2355" s="973" t="s">
        <v>1001</v>
      </c>
      <c r="S2355" s="973" t="s">
        <v>1002</v>
      </c>
      <c r="AE2355" s="423" t="str">
        <f t="shared" si="36"/>
        <v/>
      </c>
    </row>
    <row r="2356" spans="4:31" x14ac:dyDescent="0.25">
      <c r="D2356" s="973" t="s">
        <v>990</v>
      </c>
      <c r="E2356" s="973" t="s">
        <v>991</v>
      </c>
      <c r="F2356" s="973" t="s">
        <v>992</v>
      </c>
      <c r="G2356" s="973" t="s">
        <v>1997</v>
      </c>
      <c r="H2356" s="973" t="s">
        <v>1998</v>
      </c>
      <c r="I2356" s="973" t="s">
        <v>1999</v>
      </c>
      <c r="J2356" s="973" t="s">
        <v>697</v>
      </c>
      <c r="K2356" s="973" t="s">
        <v>995</v>
      </c>
      <c r="L2356" s="973" t="s">
        <v>996</v>
      </c>
      <c r="M2356" s="973" t="s">
        <v>2000</v>
      </c>
      <c r="N2356" s="973" t="s">
        <v>2001</v>
      </c>
      <c r="O2356" s="973" t="s">
        <v>1971</v>
      </c>
      <c r="P2356" s="973" t="s">
        <v>999</v>
      </c>
      <c r="Q2356" s="973" t="s">
        <v>1000</v>
      </c>
      <c r="R2356" s="973" t="s">
        <v>1001</v>
      </c>
      <c r="S2356" s="973" t="s">
        <v>1002</v>
      </c>
      <c r="AE2356" s="423" t="str">
        <f t="shared" si="36"/>
        <v/>
      </c>
    </row>
    <row r="2357" spans="4:31" x14ac:dyDescent="0.25">
      <c r="D2357" s="973" t="s">
        <v>990</v>
      </c>
      <c r="E2357" s="973" t="s">
        <v>991</v>
      </c>
      <c r="F2357" s="973" t="s">
        <v>992</v>
      </c>
      <c r="G2357" s="973" t="s">
        <v>1997</v>
      </c>
      <c r="H2357" s="973" t="s">
        <v>1998</v>
      </c>
      <c r="I2357" s="973" t="s">
        <v>1999</v>
      </c>
      <c r="J2357" s="973" t="s">
        <v>697</v>
      </c>
      <c r="K2357" s="973" t="s">
        <v>995</v>
      </c>
      <c r="L2357" s="973" t="s">
        <v>996</v>
      </c>
      <c r="M2357" s="973" t="s">
        <v>2000</v>
      </c>
      <c r="N2357" s="973" t="s">
        <v>2001</v>
      </c>
      <c r="O2357" s="973" t="s">
        <v>1971</v>
      </c>
      <c r="P2357" s="973" t="s">
        <v>999</v>
      </c>
      <c r="Q2357" s="973" t="s">
        <v>1000</v>
      </c>
      <c r="R2357" s="973" t="s">
        <v>1001</v>
      </c>
      <c r="S2357" s="973" t="s">
        <v>1002</v>
      </c>
      <c r="AE2357" s="423" t="str">
        <f t="shared" si="36"/>
        <v/>
      </c>
    </row>
    <row r="2358" spans="4:31" x14ac:dyDescent="0.25">
      <c r="D2358" s="973" t="s">
        <v>990</v>
      </c>
      <c r="E2358" s="973" t="s">
        <v>991</v>
      </c>
      <c r="F2358" s="973" t="s">
        <v>992</v>
      </c>
      <c r="G2358" s="973" t="s">
        <v>1997</v>
      </c>
      <c r="H2358" s="973" t="s">
        <v>1998</v>
      </c>
      <c r="I2358" s="973" t="s">
        <v>1999</v>
      </c>
      <c r="J2358" s="973" t="s">
        <v>697</v>
      </c>
      <c r="K2358" s="973" t="s">
        <v>995</v>
      </c>
      <c r="L2358" s="973" t="s">
        <v>996</v>
      </c>
      <c r="M2358" s="973" t="s">
        <v>2000</v>
      </c>
      <c r="N2358" s="973" t="s">
        <v>2001</v>
      </c>
      <c r="O2358" s="973" t="s">
        <v>1971</v>
      </c>
      <c r="P2358" s="973" t="s">
        <v>999</v>
      </c>
      <c r="Q2358" s="973" t="s">
        <v>1000</v>
      </c>
      <c r="R2358" s="973" t="s">
        <v>1001</v>
      </c>
      <c r="S2358" s="973" t="s">
        <v>1002</v>
      </c>
      <c r="AE2358" s="423" t="str">
        <f t="shared" si="36"/>
        <v/>
      </c>
    </row>
    <row r="2359" spans="4:31" x14ac:dyDescent="0.25">
      <c r="D2359" s="973" t="s">
        <v>990</v>
      </c>
      <c r="E2359" s="973" t="s">
        <v>991</v>
      </c>
      <c r="F2359" s="973" t="s">
        <v>992</v>
      </c>
      <c r="G2359" s="973" t="s">
        <v>1997</v>
      </c>
      <c r="H2359" s="973" t="s">
        <v>1998</v>
      </c>
      <c r="I2359" s="973" t="s">
        <v>1999</v>
      </c>
      <c r="J2359" s="973" t="s">
        <v>697</v>
      </c>
      <c r="K2359" s="973" t="s">
        <v>995</v>
      </c>
      <c r="L2359" s="973" t="s">
        <v>996</v>
      </c>
      <c r="M2359" s="973" t="s">
        <v>2000</v>
      </c>
      <c r="N2359" s="973" t="s">
        <v>2001</v>
      </c>
      <c r="O2359" s="973" t="s">
        <v>1971</v>
      </c>
      <c r="P2359" s="973" t="s">
        <v>999</v>
      </c>
      <c r="Q2359" s="973" t="s">
        <v>1000</v>
      </c>
      <c r="R2359" s="973" t="s">
        <v>1001</v>
      </c>
      <c r="S2359" s="973" t="s">
        <v>1002</v>
      </c>
      <c r="AE2359" s="423" t="str">
        <f t="shared" si="36"/>
        <v/>
      </c>
    </row>
    <row r="2360" spans="4:31" x14ac:dyDescent="0.25">
      <c r="D2360" s="973" t="s">
        <v>990</v>
      </c>
      <c r="E2360" s="973" t="s">
        <v>991</v>
      </c>
      <c r="F2360" s="973" t="s">
        <v>992</v>
      </c>
      <c r="G2360" s="973" t="s">
        <v>1997</v>
      </c>
      <c r="H2360" s="973" t="s">
        <v>1998</v>
      </c>
      <c r="I2360" s="973" t="s">
        <v>1999</v>
      </c>
      <c r="J2360" s="973" t="s">
        <v>697</v>
      </c>
      <c r="K2360" s="973" t="s">
        <v>995</v>
      </c>
      <c r="L2360" s="973" t="s">
        <v>996</v>
      </c>
      <c r="M2360" s="973" t="s">
        <v>2000</v>
      </c>
      <c r="N2360" s="973" t="s">
        <v>2001</v>
      </c>
      <c r="O2360" s="973" t="s">
        <v>1971</v>
      </c>
      <c r="P2360" s="973" t="s">
        <v>999</v>
      </c>
      <c r="Q2360" s="973" t="s">
        <v>1000</v>
      </c>
      <c r="R2360" s="973" t="s">
        <v>1001</v>
      </c>
      <c r="S2360" s="973" t="s">
        <v>1002</v>
      </c>
      <c r="AE2360" s="423" t="str">
        <f t="shared" si="36"/>
        <v/>
      </c>
    </row>
    <row r="2361" spans="4:31" x14ac:dyDescent="0.25">
      <c r="D2361" s="973" t="s">
        <v>990</v>
      </c>
      <c r="E2361" s="973" t="s">
        <v>991</v>
      </c>
      <c r="F2361" s="973" t="s">
        <v>992</v>
      </c>
      <c r="G2361" s="973" t="s">
        <v>1997</v>
      </c>
      <c r="H2361" s="973" t="s">
        <v>1998</v>
      </c>
      <c r="I2361" s="973" t="s">
        <v>1999</v>
      </c>
      <c r="J2361" s="973" t="s">
        <v>697</v>
      </c>
      <c r="K2361" s="973" t="s">
        <v>995</v>
      </c>
      <c r="L2361" s="973" t="s">
        <v>996</v>
      </c>
      <c r="M2361" s="973" t="s">
        <v>2000</v>
      </c>
      <c r="N2361" s="973" t="s">
        <v>2001</v>
      </c>
      <c r="O2361" s="973" t="s">
        <v>1971</v>
      </c>
      <c r="P2361" s="973" t="s">
        <v>999</v>
      </c>
      <c r="Q2361" s="973" t="s">
        <v>1000</v>
      </c>
      <c r="R2361" s="973" t="s">
        <v>1001</v>
      </c>
      <c r="S2361" s="973" t="s">
        <v>1002</v>
      </c>
      <c r="AE2361" s="423" t="str">
        <f t="shared" si="36"/>
        <v/>
      </c>
    </row>
    <row r="2362" spans="4:31" x14ac:dyDescent="0.25">
      <c r="D2362" s="973" t="s">
        <v>990</v>
      </c>
      <c r="E2362" s="973" t="s">
        <v>991</v>
      </c>
      <c r="F2362" s="973" t="s">
        <v>992</v>
      </c>
      <c r="G2362" s="973" t="s">
        <v>1997</v>
      </c>
      <c r="H2362" s="973" t="s">
        <v>1998</v>
      </c>
      <c r="I2362" s="973" t="s">
        <v>1999</v>
      </c>
      <c r="J2362" s="973" t="s">
        <v>697</v>
      </c>
      <c r="K2362" s="973" t="s">
        <v>995</v>
      </c>
      <c r="L2362" s="973" t="s">
        <v>996</v>
      </c>
      <c r="M2362" s="973" t="s">
        <v>2000</v>
      </c>
      <c r="N2362" s="973" t="s">
        <v>2001</v>
      </c>
      <c r="O2362" s="973" t="s">
        <v>1971</v>
      </c>
      <c r="P2362" s="973" t="s">
        <v>999</v>
      </c>
      <c r="Q2362" s="973" t="s">
        <v>1000</v>
      </c>
      <c r="R2362" s="973" t="s">
        <v>1001</v>
      </c>
      <c r="S2362" s="973" t="s">
        <v>1002</v>
      </c>
      <c r="AE2362" s="423" t="str">
        <f t="shared" si="36"/>
        <v/>
      </c>
    </row>
    <row r="2363" spans="4:31" x14ac:dyDescent="0.25">
      <c r="D2363" s="973" t="s">
        <v>990</v>
      </c>
      <c r="E2363" s="973" t="s">
        <v>991</v>
      </c>
      <c r="F2363" s="973" t="s">
        <v>992</v>
      </c>
      <c r="G2363" s="973" t="s">
        <v>1997</v>
      </c>
      <c r="H2363" s="973" t="s">
        <v>1998</v>
      </c>
      <c r="I2363" s="973" t="s">
        <v>1999</v>
      </c>
      <c r="J2363" s="973" t="s">
        <v>697</v>
      </c>
      <c r="K2363" s="973" t="s">
        <v>995</v>
      </c>
      <c r="L2363" s="973" t="s">
        <v>996</v>
      </c>
      <c r="M2363" s="973" t="s">
        <v>2000</v>
      </c>
      <c r="N2363" s="973" t="s">
        <v>2001</v>
      </c>
      <c r="O2363" s="973" t="s">
        <v>1971</v>
      </c>
      <c r="P2363" s="973" t="s">
        <v>999</v>
      </c>
      <c r="Q2363" s="973" t="s">
        <v>1000</v>
      </c>
      <c r="R2363" s="973" t="s">
        <v>1001</v>
      </c>
      <c r="S2363" s="973" t="s">
        <v>1002</v>
      </c>
      <c r="AE2363" s="423" t="str">
        <f t="shared" si="36"/>
        <v/>
      </c>
    </row>
    <row r="2364" spans="4:31" x14ac:dyDescent="0.25">
      <c r="D2364" s="973" t="s">
        <v>990</v>
      </c>
      <c r="E2364" s="973" t="s">
        <v>991</v>
      </c>
      <c r="F2364" s="973" t="s">
        <v>992</v>
      </c>
      <c r="G2364" s="973" t="s">
        <v>1997</v>
      </c>
      <c r="H2364" s="973" t="s">
        <v>1998</v>
      </c>
      <c r="I2364" s="973" t="s">
        <v>1999</v>
      </c>
      <c r="J2364" s="973" t="s">
        <v>697</v>
      </c>
      <c r="K2364" s="973" t="s">
        <v>995</v>
      </c>
      <c r="L2364" s="973" t="s">
        <v>996</v>
      </c>
      <c r="M2364" s="973" t="s">
        <v>2000</v>
      </c>
      <c r="N2364" s="973" t="s">
        <v>2001</v>
      </c>
      <c r="O2364" s="973" t="s">
        <v>1971</v>
      </c>
      <c r="P2364" s="973" t="s">
        <v>999</v>
      </c>
      <c r="Q2364" s="973" t="s">
        <v>1000</v>
      </c>
      <c r="R2364" s="973" t="s">
        <v>1001</v>
      </c>
      <c r="S2364" s="973" t="s">
        <v>1002</v>
      </c>
      <c r="AE2364" s="423" t="str">
        <f t="shared" si="36"/>
        <v/>
      </c>
    </row>
    <row r="2365" spans="4:31" x14ac:dyDescent="0.25">
      <c r="D2365" s="973" t="s">
        <v>990</v>
      </c>
      <c r="E2365" s="973" t="s">
        <v>991</v>
      </c>
      <c r="F2365" s="973" t="s">
        <v>992</v>
      </c>
      <c r="G2365" s="973" t="s">
        <v>1997</v>
      </c>
      <c r="H2365" s="973" t="s">
        <v>1998</v>
      </c>
      <c r="I2365" s="973" t="s">
        <v>1999</v>
      </c>
      <c r="J2365" s="973" t="s">
        <v>697</v>
      </c>
      <c r="K2365" s="973" t="s">
        <v>995</v>
      </c>
      <c r="L2365" s="973" t="s">
        <v>996</v>
      </c>
      <c r="M2365" s="973" t="s">
        <v>2000</v>
      </c>
      <c r="N2365" s="973" t="s">
        <v>2001</v>
      </c>
      <c r="O2365" s="973" t="s">
        <v>1971</v>
      </c>
      <c r="P2365" s="973" t="s">
        <v>999</v>
      </c>
      <c r="Q2365" s="973" t="s">
        <v>1000</v>
      </c>
      <c r="R2365" s="973" t="s">
        <v>1001</v>
      </c>
      <c r="S2365" s="973" t="s">
        <v>1002</v>
      </c>
      <c r="AE2365" s="423" t="str">
        <f t="shared" si="36"/>
        <v/>
      </c>
    </row>
    <row r="2366" spans="4:31" x14ac:dyDescent="0.25">
      <c r="D2366" s="973" t="s">
        <v>990</v>
      </c>
      <c r="E2366" s="973" t="s">
        <v>991</v>
      </c>
      <c r="F2366" s="973" t="s">
        <v>992</v>
      </c>
      <c r="G2366" s="973" t="s">
        <v>1997</v>
      </c>
      <c r="H2366" s="973" t="s">
        <v>1998</v>
      </c>
      <c r="I2366" s="973" t="s">
        <v>1999</v>
      </c>
      <c r="J2366" s="973" t="s">
        <v>697</v>
      </c>
      <c r="K2366" s="973" t="s">
        <v>995</v>
      </c>
      <c r="L2366" s="973" t="s">
        <v>996</v>
      </c>
      <c r="M2366" s="973" t="s">
        <v>2000</v>
      </c>
      <c r="N2366" s="973" t="s">
        <v>2001</v>
      </c>
      <c r="O2366" s="973" t="s">
        <v>1971</v>
      </c>
      <c r="P2366" s="973" t="s">
        <v>999</v>
      </c>
      <c r="Q2366" s="973" t="s">
        <v>1000</v>
      </c>
      <c r="R2366" s="973" t="s">
        <v>1001</v>
      </c>
      <c r="S2366" s="973" t="s">
        <v>1002</v>
      </c>
      <c r="AE2366" s="423" t="str">
        <f t="shared" si="36"/>
        <v/>
      </c>
    </row>
    <row r="2367" spans="4:31" x14ac:dyDescent="0.25">
      <c r="D2367" s="973" t="s">
        <v>990</v>
      </c>
      <c r="E2367" s="973" t="s">
        <v>991</v>
      </c>
      <c r="F2367" s="973" t="s">
        <v>992</v>
      </c>
      <c r="G2367" s="973" t="s">
        <v>1997</v>
      </c>
      <c r="H2367" s="973" t="s">
        <v>1998</v>
      </c>
      <c r="I2367" s="973" t="s">
        <v>1999</v>
      </c>
      <c r="J2367" s="973" t="s">
        <v>697</v>
      </c>
      <c r="K2367" s="973" t="s">
        <v>995</v>
      </c>
      <c r="L2367" s="973" t="s">
        <v>996</v>
      </c>
      <c r="M2367" s="973" t="s">
        <v>2000</v>
      </c>
      <c r="N2367" s="973" t="s">
        <v>2001</v>
      </c>
      <c r="O2367" s="973" t="s">
        <v>1971</v>
      </c>
      <c r="P2367" s="973" t="s">
        <v>999</v>
      </c>
      <c r="Q2367" s="973" t="s">
        <v>1000</v>
      </c>
      <c r="R2367" s="973" t="s">
        <v>1001</v>
      </c>
      <c r="S2367" s="973" t="s">
        <v>1002</v>
      </c>
      <c r="AE2367" s="423" t="str">
        <f t="shared" si="36"/>
        <v/>
      </c>
    </row>
    <row r="2368" spans="4:31" x14ac:dyDescent="0.25">
      <c r="D2368" s="973" t="s">
        <v>990</v>
      </c>
      <c r="E2368" s="973" t="s">
        <v>991</v>
      </c>
      <c r="F2368" s="973" t="s">
        <v>992</v>
      </c>
      <c r="G2368" s="973" t="s">
        <v>1997</v>
      </c>
      <c r="H2368" s="973" t="s">
        <v>1998</v>
      </c>
      <c r="I2368" s="973" t="s">
        <v>1999</v>
      </c>
      <c r="J2368" s="973" t="s">
        <v>697</v>
      </c>
      <c r="K2368" s="973" t="s">
        <v>995</v>
      </c>
      <c r="L2368" s="973" t="s">
        <v>996</v>
      </c>
      <c r="M2368" s="973" t="s">
        <v>2000</v>
      </c>
      <c r="N2368" s="973" t="s">
        <v>2001</v>
      </c>
      <c r="O2368" s="973" t="s">
        <v>1971</v>
      </c>
      <c r="P2368" s="973" t="s">
        <v>999</v>
      </c>
      <c r="Q2368" s="973" t="s">
        <v>1000</v>
      </c>
      <c r="R2368" s="973" t="s">
        <v>1001</v>
      </c>
      <c r="S2368" s="973" t="s">
        <v>1002</v>
      </c>
      <c r="AE2368" s="423" t="str">
        <f t="shared" si="36"/>
        <v/>
      </c>
    </row>
    <row r="2369" spans="4:31" x14ac:dyDescent="0.25">
      <c r="D2369" s="973" t="s">
        <v>990</v>
      </c>
      <c r="E2369" s="973" t="s">
        <v>991</v>
      </c>
      <c r="F2369" s="973" t="s">
        <v>992</v>
      </c>
      <c r="G2369" s="973" t="s">
        <v>1997</v>
      </c>
      <c r="H2369" s="973" t="s">
        <v>1998</v>
      </c>
      <c r="I2369" s="973" t="s">
        <v>1999</v>
      </c>
      <c r="J2369" s="973" t="s">
        <v>697</v>
      </c>
      <c r="K2369" s="973" t="s">
        <v>995</v>
      </c>
      <c r="L2369" s="973" t="s">
        <v>996</v>
      </c>
      <c r="M2369" s="973" t="s">
        <v>2000</v>
      </c>
      <c r="N2369" s="973" t="s">
        <v>2001</v>
      </c>
      <c r="O2369" s="973" t="s">
        <v>1971</v>
      </c>
      <c r="P2369" s="973" t="s">
        <v>999</v>
      </c>
      <c r="Q2369" s="973" t="s">
        <v>1000</v>
      </c>
      <c r="R2369" s="973" t="s">
        <v>1001</v>
      </c>
      <c r="S2369" s="973" t="s">
        <v>1002</v>
      </c>
      <c r="AE2369" s="423" t="str">
        <f t="shared" si="36"/>
        <v/>
      </c>
    </row>
    <row r="2370" spans="4:31" x14ac:dyDescent="0.25">
      <c r="D2370" s="973" t="s">
        <v>990</v>
      </c>
      <c r="E2370" s="973" t="s">
        <v>991</v>
      </c>
      <c r="F2370" s="973" t="s">
        <v>992</v>
      </c>
      <c r="G2370" s="973" t="s">
        <v>1997</v>
      </c>
      <c r="H2370" s="973" t="s">
        <v>1998</v>
      </c>
      <c r="I2370" s="973" t="s">
        <v>1999</v>
      </c>
      <c r="J2370" s="973" t="s">
        <v>697</v>
      </c>
      <c r="K2370" s="973" t="s">
        <v>995</v>
      </c>
      <c r="L2370" s="973" t="s">
        <v>996</v>
      </c>
      <c r="M2370" s="973" t="s">
        <v>2000</v>
      </c>
      <c r="N2370" s="973" t="s">
        <v>2001</v>
      </c>
      <c r="O2370" s="973" t="s">
        <v>1971</v>
      </c>
      <c r="P2370" s="973" t="s">
        <v>999</v>
      </c>
      <c r="Q2370" s="973" t="s">
        <v>1000</v>
      </c>
      <c r="R2370" s="973" t="s">
        <v>1001</v>
      </c>
      <c r="S2370" s="973" t="s">
        <v>1002</v>
      </c>
      <c r="AE2370" s="423" t="str">
        <f t="shared" si="36"/>
        <v/>
      </c>
    </row>
    <row r="2371" spans="4:31" x14ac:dyDescent="0.25">
      <c r="D2371" s="973" t="s">
        <v>990</v>
      </c>
      <c r="E2371" s="973" t="s">
        <v>991</v>
      </c>
      <c r="F2371" s="973" t="s">
        <v>992</v>
      </c>
      <c r="G2371" s="973" t="s">
        <v>1997</v>
      </c>
      <c r="H2371" s="973" t="s">
        <v>1998</v>
      </c>
      <c r="I2371" s="973" t="s">
        <v>1999</v>
      </c>
      <c r="J2371" s="973" t="s">
        <v>697</v>
      </c>
      <c r="K2371" s="973" t="s">
        <v>995</v>
      </c>
      <c r="L2371" s="973" t="s">
        <v>996</v>
      </c>
      <c r="M2371" s="973" t="s">
        <v>2000</v>
      </c>
      <c r="N2371" s="973" t="s">
        <v>2001</v>
      </c>
      <c r="O2371" s="973" t="s">
        <v>1971</v>
      </c>
      <c r="P2371" s="973" t="s">
        <v>999</v>
      </c>
      <c r="Q2371" s="973" t="s">
        <v>1000</v>
      </c>
      <c r="R2371" s="973" t="s">
        <v>1001</v>
      </c>
      <c r="S2371" s="973" t="s">
        <v>1002</v>
      </c>
      <c r="AE2371" s="423" t="str">
        <f t="shared" ref="AE2371:AE2434" si="37">B2371&amp;C2371</f>
        <v/>
      </c>
    </row>
    <row r="2372" spans="4:31" x14ac:dyDescent="0.25">
      <c r="D2372" s="973" t="s">
        <v>990</v>
      </c>
      <c r="E2372" s="973" t="s">
        <v>991</v>
      </c>
      <c r="F2372" s="973" t="s">
        <v>992</v>
      </c>
      <c r="G2372" s="973" t="s">
        <v>1997</v>
      </c>
      <c r="H2372" s="973" t="s">
        <v>1998</v>
      </c>
      <c r="I2372" s="973" t="s">
        <v>1999</v>
      </c>
      <c r="J2372" s="973" t="s">
        <v>697</v>
      </c>
      <c r="K2372" s="973" t="s">
        <v>995</v>
      </c>
      <c r="L2372" s="973" t="s">
        <v>996</v>
      </c>
      <c r="M2372" s="973" t="s">
        <v>2000</v>
      </c>
      <c r="N2372" s="973" t="s">
        <v>2001</v>
      </c>
      <c r="O2372" s="973" t="s">
        <v>1971</v>
      </c>
      <c r="P2372" s="973" t="s">
        <v>999</v>
      </c>
      <c r="Q2372" s="973" t="s">
        <v>1000</v>
      </c>
      <c r="R2372" s="973" t="s">
        <v>1001</v>
      </c>
      <c r="S2372" s="973" t="s">
        <v>1002</v>
      </c>
      <c r="AE2372" s="423" t="str">
        <f t="shared" si="37"/>
        <v/>
      </c>
    </row>
    <row r="2373" spans="4:31" x14ac:dyDescent="0.25">
      <c r="D2373" s="973" t="s">
        <v>990</v>
      </c>
      <c r="E2373" s="973" t="s">
        <v>991</v>
      </c>
      <c r="F2373" s="973" t="s">
        <v>992</v>
      </c>
      <c r="G2373" s="973" t="s">
        <v>1997</v>
      </c>
      <c r="H2373" s="973" t="s">
        <v>1998</v>
      </c>
      <c r="I2373" s="973" t="s">
        <v>1999</v>
      </c>
      <c r="J2373" s="973" t="s">
        <v>697</v>
      </c>
      <c r="K2373" s="973" t="s">
        <v>995</v>
      </c>
      <c r="L2373" s="973" t="s">
        <v>996</v>
      </c>
      <c r="M2373" s="973" t="s">
        <v>2000</v>
      </c>
      <c r="N2373" s="973" t="s">
        <v>2001</v>
      </c>
      <c r="O2373" s="973" t="s">
        <v>1971</v>
      </c>
      <c r="P2373" s="973" t="s">
        <v>999</v>
      </c>
      <c r="Q2373" s="973" t="s">
        <v>1000</v>
      </c>
      <c r="R2373" s="973" t="s">
        <v>1001</v>
      </c>
      <c r="S2373" s="973" t="s">
        <v>1002</v>
      </c>
      <c r="AE2373" s="423" t="str">
        <f t="shared" si="37"/>
        <v/>
      </c>
    </row>
    <row r="2374" spans="4:31" x14ac:dyDescent="0.25">
      <c r="D2374" s="973" t="s">
        <v>990</v>
      </c>
      <c r="E2374" s="973" t="s">
        <v>991</v>
      </c>
      <c r="F2374" s="973" t="s">
        <v>992</v>
      </c>
      <c r="G2374" s="973" t="s">
        <v>1997</v>
      </c>
      <c r="H2374" s="973" t="s">
        <v>1998</v>
      </c>
      <c r="I2374" s="973" t="s">
        <v>1999</v>
      </c>
      <c r="J2374" s="973" t="s">
        <v>697</v>
      </c>
      <c r="K2374" s="973" t="s">
        <v>995</v>
      </c>
      <c r="L2374" s="973" t="s">
        <v>996</v>
      </c>
      <c r="M2374" s="973" t="s">
        <v>2000</v>
      </c>
      <c r="N2374" s="973" t="s">
        <v>2001</v>
      </c>
      <c r="O2374" s="973" t="s">
        <v>1971</v>
      </c>
      <c r="P2374" s="973" t="s">
        <v>999</v>
      </c>
      <c r="Q2374" s="973" t="s">
        <v>1000</v>
      </c>
      <c r="R2374" s="973" t="s">
        <v>1001</v>
      </c>
      <c r="S2374" s="973" t="s">
        <v>1002</v>
      </c>
      <c r="AE2374" s="423" t="str">
        <f t="shared" si="37"/>
        <v/>
      </c>
    </row>
    <row r="2375" spans="4:31" x14ac:dyDescent="0.25">
      <c r="D2375" s="973" t="s">
        <v>990</v>
      </c>
      <c r="E2375" s="973" t="s">
        <v>991</v>
      </c>
      <c r="F2375" s="973" t="s">
        <v>992</v>
      </c>
      <c r="G2375" s="973" t="s">
        <v>1997</v>
      </c>
      <c r="H2375" s="973" t="s">
        <v>1998</v>
      </c>
      <c r="I2375" s="973" t="s">
        <v>1999</v>
      </c>
      <c r="J2375" s="973" t="s">
        <v>697</v>
      </c>
      <c r="K2375" s="973" t="s">
        <v>995</v>
      </c>
      <c r="L2375" s="973" t="s">
        <v>996</v>
      </c>
      <c r="M2375" s="973" t="s">
        <v>2000</v>
      </c>
      <c r="N2375" s="973" t="s">
        <v>2001</v>
      </c>
      <c r="O2375" s="973" t="s">
        <v>1971</v>
      </c>
      <c r="P2375" s="973" t="s">
        <v>999</v>
      </c>
      <c r="Q2375" s="973" t="s">
        <v>1000</v>
      </c>
      <c r="R2375" s="973" t="s">
        <v>1001</v>
      </c>
      <c r="S2375" s="973" t="s">
        <v>1002</v>
      </c>
      <c r="AE2375" s="423" t="str">
        <f t="shared" si="37"/>
        <v/>
      </c>
    </row>
    <row r="2376" spans="4:31" x14ac:dyDescent="0.25">
      <c r="D2376" s="973" t="s">
        <v>990</v>
      </c>
      <c r="E2376" s="973" t="s">
        <v>991</v>
      </c>
      <c r="F2376" s="973" t="s">
        <v>992</v>
      </c>
      <c r="G2376" s="973" t="s">
        <v>1997</v>
      </c>
      <c r="H2376" s="973" t="s">
        <v>1998</v>
      </c>
      <c r="I2376" s="973" t="s">
        <v>1999</v>
      </c>
      <c r="J2376" s="973" t="s">
        <v>697</v>
      </c>
      <c r="K2376" s="973" t="s">
        <v>995</v>
      </c>
      <c r="L2376" s="973" t="s">
        <v>996</v>
      </c>
      <c r="M2376" s="973" t="s">
        <v>2000</v>
      </c>
      <c r="N2376" s="973" t="s">
        <v>2001</v>
      </c>
      <c r="O2376" s="973" t="s">
        <v>1971</v>
      </c>
      <c r="P2376" s="973" t="s">
        <v>999</v>
      </c>
      <c r="Q2376" s="973" t="s">
        <v>1000</v>
      </c>
      <c r="R2376" s="973" t="s">
        <v>1001</v>
      </c>
      <c r="S2376" s="973" t="s">
        <v>1002</v>
      </c>
      <c r="AE2376" s="423" t="str">
        <f t="shared" si="37"/>
        <v/>
      </c>
    </row>
    <row r="2377" spans="4:31" x14ac:dyDescent="0.25">
      <c r="D2377" s="973" t="s">
        <v>990</v>
      </c>
      <c r="E2377" s="973" t="s">
        <v>991</v>
      </c>
      <c r="F2377" s="973" t="s">
        <v>992</v>
      </c>
      <c r="G2377" s="973" t="s">
        <v>1997</v>
      </c>
      <c r="H2377" s="973" t="s">
        <v>1998</v>
      </c>
      <c r="I2377" s="973" t="s">
        <v>1999</v>
      </c>
      <c r="J2377" s="973" t="s">
        <v>697</v>
      </c>
      <c r="K2377" s="973" t="s">
        <v>995</v>
      </c>
      <c r="L2377" s="973" t="s">
        <v>996</v>
      </c>
      <c r="M2377" s="973" t="s">
        <v>2000</v>
      </c>
      <c r="N2377" s="973" t="s">
        <v>2001</v>
      </c>
      <c r="O2377" s="973" t="s">
        <v>1971</v>
      </c>
      <c r="P2377" s="973" t="s">
        <v>999</v>
      </c>
      <c r="Q2377" s="973" t="s">
        <v>1000</v>
      </c>
      <c r="R2377" s="973" t="s">
        <v>1001</v>
      </c>
      <c r="S2377" s="973" t="s">
        <v>1002</v>
      </c>
      <c r="AE2377" s="423" t="str">
        <f t="shared" si="37"/>
        <v/>
      </c>
    </row>
    <row r="2378" spans="4:31" x14ac:dyDescent="0.25">
      <c r="D2378" s="973" t="s">
        <v>990</v>
      </c>
      <c r="E2378" s="973" t="s">
        <v>991</v>
      </c>
      <c r="F2378" s="973" t="s">
        <v>992</v>
      </c>
      <c r="G2378" s="973" t="s">
        <v>1997</v>
      </c>
      <c r="H2378" s="973" t="s">
        <v>1998</v>
      </c>
      <c r="I2378" s="973" t="s">
        <v>1999</v>
      </c>
      <c r="J2378" s="973" t="s">
        <v>697</v>
      </c>
      <c r="K2378" s="973" t="s">
        <v>995</v>
      </c>
      <c r="L2378" s="973" t="s">
        <v>996</v>
      </c>
      <c r="M2378" s="973" t="s">
        <v>2000</v>
      </c>
      <c r="N2378" s="973" t="s">
        <v>2001</v>
      </c>
      <c r="O2378" s="973" t="s">
        <v>1971</v>
      </c>
      <c r="P2378" s="973" t="s">
        <v>999</v>
      </c>
      <c r="Q2378" s="973" t="s">
        <v>1000</v>
      </c>
      <c r="R2378" s="973" t="s">
        <v>1001</v>
      </c>
      <c r="S2378" s="973" t="s">
        <v>1002</v>
      </c>
      <c r="AE2378" s="423" t="str">
        <f t="shared" si="37"/>
        <v/>
      </c>
    </row>
    <row r="2379" spans="4:31" x14ac:dyDescent="0.25">
      <c r="D2379" s="973" t="s">
        <v>990</v>
      </c>
      <c r="E2379" s="973" t="s">
        <v>991</v>
      </c>
      <c r="F2379" s="973" t="s">
        <v>992</v>
      </c>
      <c r="G2379" s="973" t="s">
        <v>1997</v>
      </c>
      <c r="H2379" s="973" t="s">
        <v>1998</v>
      </c>
      <c r="I2379" s="973" t="s">
        <v>1999</v>
      </c>
      <c r="J2379" s="973" t="s">
        <v>697</v>
      </c>
      <c r="K2379" s="973" t="s">
        <v>995</v>
      </c>
      <c r="L2379" s="973" t="s">
        <v>996</v>
      </c>
      <c r="M2379" s="973" t="s">
        <v>2000</v>
      </c>
      <c r="N2379" s="973" t="s">
        <v>2001</v>
      </c>
      <c r="O2379" s="973" t="s">
        <v>1971</v>
      </c>
      <c r="P2379" s="973" t="s">
        <v>999</v>
      </c>
      <c r="Q2379" s="973" t="s">
        <v>1000</v>
      </c>
      <c r="R2379" s="973" t="s">
        <v>1001</v>
      </c>
      <c r="S2379" s="973" t="s">
        <v>1002</v>
      </c>
      <c r="AE2379" s="423" t="str">
        <f t="shared" si="37"/>
        <v/>
      </c>
    </row>
    <row r="2380" spans="4:31" x14ac:dyDescent="0.25">
      <c r="D2380" s="973" t="s">
        <v>990</v>
      </c>
      <c r="E2380" s="973" t="s">
        <v>991</v>
      </c>
      <c r="F2380" s="973" t="s">
        <v>992</v>
      </c>
      <c r="G2380" s="973" t="s">
        <v>1997</v>
      </c>
      <c r="H2380" s="973" t="s">
        <v>1998</v>
      </c>
      <c r="I2380" s="973" t="s">
        <v>1999</v>
      </c>
      <c r="J2380" s="973" t="s">
        <v>697</v>
      </c>
      <c r="K2380" s="973" t="s">
        <v>995</v>
      </c>
      <c r="L2380" s="973" t="s">
        <v>996</v>
      </c>
      <c r="M2380" s="973" t="s">
        <v>2000</v>
      </c>
      <c r="N2380" s="973" t="s">
        <v>2001</v>
      </c>
      <c r="O2380" s="973" t="s">
        <v>1971</v>
      </c>
      <c r="P2380" s="973" t="s">
        <v>999</v>
      </c>
      <c r="Q2380" s="973" t="s">
        <v>1000</v>
      </c>
      <c r="R2380" s="973" t="s">
        <v>1001</v>
      </c>
      <c r="S2380" s="973" t="s">
        <v>1002</v>
      </c>
      <c r="AE2380" s="423" t="str">
        <f t="shared" si="37"/>
        <v/>
      </c>
    </row>
    <row r="2381" spans="4:31" x14ac:dyDescent="0.25">
      <c r="D2381" s="973" t="s">
        <v>990</v>
      </c>
      <c r="E2381" s="973" t="s">
        <v>991</v>
      </c>
      <c r="F2381" s="973" t="s">
        <v>992</v>
      </c>
      <c r="G2381" s="973" t="s">
        <v>1997</v>
      </c>
      <c r="H2381" s="973" t="s">
        <v>1998</v>
      </c>
      <c r="I2381" s="973" t="s">
        <v>1999</v>
      </c>
      <c r="J2381" s="973" t="s">
        <v>697</v>
      </c>
      <c r="K2381" s="973" t="s">
        <v>995</v>
      </c>
      <c r="L2381" s="973" t="s">
        <v>996</v>
      </c>
      <c r="M2381" s="973" t="s">
        <v>2000</v>
      </c>
      <c r="N2381" s="973" t="s">
        <v>2001</v>
      </c>
      <c r="O2381" s="973" t="s">
        <v>1971</v>
      </c>
      <c r="P2381" s="973" t="s">
        <v>999</v>
      </c>
      <c r="Q2381" s="973" t="s">
        <v>1000</v>
      </c>
      <c r="R2381" s="973" t="s">
        <v>1001</v>
      </c>
      <c r="S2381" s="973" t="s">
        <v>1002</v>
      </c>
      <c r="AE2381" s="423" t="str">
        <f t="shared" si="37"/>
        <v/>
      </c>
    </row>
    <row r="2382" spans="4:31" x14ac:dyDescent="0.25">
      <c r="D2382" s="973" t="s">
        <v>990</v>
      </c>
      <c r="E2382" s="973" t="s">
        <v>991</v>
      </c>
      <c r="F2382" s="973" t="s">
        <v>992</v>
      </c>
      <c r="G2382" s="973" t="s">
        <v>1997</v>
      </c>
      <c r="H2382" s="973" t="s">
        <v>1998</v>
      </c>
      <c r="I2382" s="973" t="s">
        <v>1999</v>
      </c>
      <c r="J2382" s="973" t="s">
        <v>697</v>
      </c>
      <c r="K2382" s="973" t="s">
        <v>995</v>
      </c>
      <c r="L2382" s="973" t="s">
        <v>996</v>
      </c>
      <c r="M2382" s="973" t="s">
        <v>2000</v>
      </c>
      <c r="N2382" s="973" t="s">
        <v>2001</v>
      </c>
      <c r="O2382" s="973" t="s">
        <v>1971</v>
      </c>
      <c r="P2382" s="973" t="s">
        <v>999</v>
      </c>
      <c r="Q2382" s="973" t="s">
        <v>1000</v>
      </c>
      <c r="R2382" s="973" t="s">
        <v>1001</v>
      </c>
      <c r="S2382" s="973" t="s">
        <v>1002</v>
      </c>
      <c r="AE2382" s="423" t="str">
        <f t="shared" si="37"/>
        <v/>
      </c>
    </row>
    <row r="2383" spans="4:31" x14ac:dyDescent="0.25">
      <c r="D2383" s="973" t="s">
        <v>990</v>
      </c>
      <c r="E2383" s="973" t="s">
        <v>991</v>
      </c>
      <c r="F2383" s="973" t="s">
        <v>992</v>
      </c>
      <c r="G2383" s="973" t="s">
        <v>1997</v>
      </c>
      <c r="H2383" s="973" t="s">
        <v>1998</v>
      </c>
      <c r="I2383" s="973" t="s">
        <v>1999</v>
      </c>
      <c r="J2383" s="973" t="s">
        <v>697</v>
      </c>
      <c r="K2383" s="973" t="s">
        <v>995</v>
      </c>
      <c r="L2383" s="973" t="s">
        <v>996</v>
      </c>
      <c r="M2383" s="973" t="s">
        <v>2000</v>
      </c>
      <c r="N2383" s="973" t="s">
        <v>2001</v>
      </c>
      <c r="O2383" s="973" t="s">
        <v>1971</v>
      </c>
      <c r="P2383" s="973" t="s">
        <v>999</v>
      </c>
      <c r="Q2383" s="973" t="s">
        <v>1000</v>
      </c>
      <c r="R2383" s="973" t="s">
        <v>1001</v>
      </c>
      <c r="S2383" s="973" t="s">
        <v>1002</v>
      </c>
      <c r="AE2383" s="423" t="str">
        <f t="shared" si="37"/>
        <v/>
      </c>
    </row>
    <row r="2384" spans="4:31" x14ac:dyDescent="0.25">
      <c r="D2384" s="973" t="s">
        <v>990</v>
      </c>
      <c r="E2384" s="973" t="s">
        <v>991</v>
      </c>
      <c r="F2384" s="973" t="s">
        <v>992</v>
      </c>
      <c r="G2384" s="973" t="s">
        <v>1997</v>
      </c>
      <c r="H2384" s="973" t="s">
        <v>1998</v>
      </c>
      <c r="I2384" s="973" t="s">
        <v>1999</v>
      </c>
      <c r="J2384" s="973" t="s">
        <v>697</v>
      </c>
      <c r="K2384" s="973" t="s">
        <v>995</v>
      </c>
      <c r="L2384" s="973" t="s">
        <v>996</v>
      </c>
      <c r="M2384" s="973" t="s">
        <v>2000</v>
      </c>
      <c r="N2384" s="973" t="s">
        <v>2001</v>
      </c>
      <c r="O2384" s="973" t="s">
        <v>1971</v>
      </c>
      <c r="P2384" s="973" t="s">
        <v>999</v>
      </c>
      <c r="Q2384" s="973" t="s">
        <v>1000</v>
      </c>
      <c r="R2384" s="973" t="s">
        <v>1001</v>
      </c>
      <c r="S2384" s="973" t="s">
        <v>1002</v>
      </c>
      <c r="AE2384" s="423" t="str">
        <f t="shared" si="37"/>
        <v/>
      </c>
    </row>
    <row r="2385" spans="4:31" x14ac:dyDescent="0.25">
      <c r="D2385" s="973" t="s">
        <v>990</v>
      </c>
      <c r="E2385" s="973" t="s">
        <v>991</v>
      </c>
      <c r="F2385" s="973" t="s">
        <v>992</v>
      </c>
      <c r="G2385" s="973" t="s">
        <v>1997</v>
      </c>
      <c r="H2385" s="973" t="s">
        <v>1998</v>
      </c>
      <c r="I2385" s="973" t="s">
        <v>1999</v>
      </c>
      <c r="J2385" s="973" t="s">
        <v>697</v>
      </c>
      <c r="K2385" s="973" t="s">
        <v>995</v>
      </c>
      <c r="L2385" s="973" t="s">
        <v>996</v>
      </c>
      <c r="M2385" s="973" t="s">
        <v>2000</v>
      </c>
      <c r="N2385" s="973" t="s">
        <v>2001</v>
      </c>
      <c r="O2385" s="973" t="s">
        <v>1971</v>
      </c>
      <c r="P2385" s="973" t="s">
        <v>999</v>
      </c>
      <c r="Q2385" s="973" t="s">
        <v>1000</v>
      </c>
      <c r="R2385" s="973" t="s">
        <v>1001</v>
      </c>
      <c r="S2385" s="973" t="s">
        <v>1002</v>
      </c>
      <c r="AE2385" s="423" t="str">
        <f t="shared" si="37"/>
        <v/>
      </c>
    </row>
    <row r="2386" spans="4:31" x14ac:dyDescent="0.25">
      <c r="D2386" s="973" t="s">
        <v>990</v>
      </c>
      <c r="E2386" s="973" t="s">
        <v>991</v>
      </c>
      <c r="F2386" s="973" t="s">
        <v>992</v>
      </c>
      <c r="G2386" s="973" t="s">
        <v>1997</v>
      </c>
      <c r="H2386" s="973" t="s">
        <v>1998</v>
      </c>
      <c r="I2386" s="973" t="s">
        <v>1999</v>
      </c>
      <c r="J2386" s="973" t="s">
        <v>697</v>
      </c>
      <c r="K2386" s="973" t="s">
        <v>995</v>
      </c>
      <c r="L2386" s="973" t="s">
        <v>996</v>
      </c>
      <c r="M2386" s="973" t="s">
        <v>2000</v>
      </c>
      <c r="N2386" s="973" t="s">
        <v>2001</v>
      </c>
      <c r="O2386" s="973" t="s">
        <v>1971</v>
      </c>
      <c r="P2386" s="973" t="s">
        <v>999</v>
      </c>
      <c r="Q2386" s="973" t="s">
        <v>1000</v>
      </c>
      <c r="R2386" s="973" t="s">
        <v>1001</v>
      </c>
      <c r="S2386" s="973" t="s">
        <v>1002</v>
      </c>
      <c r="AE2386" s="423" t="str">
        <f t="shared" si="37"/>
        <v/>
      </c>
    </row>
    <row r="2387" spans="4:31" x14ac:dyDescent="0.25">
      <c r="D2387" s="973" t="s">
        <v>990</v>
      </c>
      <c r="E2387" s="973" t="s">
        <v>991</v>
      </c>
      <c r="F2387" s="973" t="s">
        <v>992</v>
      </c>
      <c r="G2387" s="973" t="s">
        <v>1997</v>
      </c>
      <c r="H2387" s="973" t="s">
        <v>1998</v>
      </c>
      <c r="I2387" s="973" t="s">
        <v>1999</v>
      </c>
      <c r="J2387" s="973" t="s">
        <v>697</v>
      </c>
      <c r="K2387" s="973" t="s">
        <v>995</v>
      </c>
      <c r="L2387" s="973" t="s">
        <v>996</v>
      </c>
      <c r="M2387" s="973" t="s">
        <v>2000</v>
      </c>
      <c r="N2387" s="973" t="s">
        <v>2001</v>
      </c>
      <c r="O2387" s="973" t="s">
        <v>1971</v>
      </c>
      <c r="P2387" s="973" t="s">
        <v>999</v>
      </c>
      <c r="Q2387" s="973" t="s">
        <v>1000</v>
      </c>
      <c r="R2387" s="973" t="s">
        <v>1001</v>
      </c>
      <c r="S2387" s="973" t="s">
        <v>1002</v>
      </c>
      <c r="AE2387" s="423" t="str">
        <f t="shared" si="37"/>
        <v/>
      </c>
    </row>
    <row r="2388" spans="4:31" x14ac:dyDescent="0.25">
      <c r="D2388" s="973" t="s">
        <v>990</v>
      </c>
      <c r="E2388" s="973" t="s">
        <v>991</v>
      </c>
      <c r="F2388" s="973" t="s">
        <v>992</v>
      </c>
      <c r="G2388" s="973" t="s">
        <v>1997</v>
      </c>
      <c r="H2388" s="973" t="s">
        <v>1998</v>
      </c>
      <c r="I2388" s="973" t="s">
        <v>1999</v>
      </c>
      <c r="J2388" s="973" t="s">
        <v>697</v>
      </c>
      <c r="K2388" s="973" t="s">
        <v>995</v>
      </c>
      <c r="L2388" s="973" t="s">
        <v>996</v>
      </c>
      <c r="M2388" s="973" t="s">
        <v>2000</v>
      </c>
      <c r="N2388" s="973" t="s">
        <v>2001</v>
      </c>
      <c r="O2388" s="973" t="s">
        <v>1971</v>
      </c>
      <c r="P2388" s="973" t="s">
        <v>999</v>
      </c>
      <c r="Q2388" s="973" t="s">
        <v>1000</v>
      </c>
      <c r="R2388" s="973" t="s">
        <v>1001</v>
      </c>
      <c r="S2388" s="973" t="s">
        <v>1002</v>
      </c>
      <c r="AE2388" s="423" t="str">
        <f t="shared" si="37"/>
        <v/>
      </c>
    </row>
    <row r="2389" spans="4:31" x14ac:dyDescent="0.25">
      <c r="D2389" s="973" t="s">
        <v>990</v>
      </c>
      <c r="E2389" s="973" t="s">
        <v>991</v>
      </c>
      <c r="F2389" s="973" t="s">
        <v>992</v>
      </c>
      <c r="G2389" s="973" t="s">
        <v>1997</v>
      </c>
      <c r="H2389" s="973" t="s">
        <v>1998</v>
      </c>
      <c r="I2389" s="973" t="s">
        <v>1999</v>
      </c>
      <c r="J2389" s="973" t="s">
        <v>697</v>
      </c>
      <c r="K2389" s="973" t="s">
        <v>995</v>
      </c>
      <c r="L2389" s="973" t="s">
        <v>996</v>
      </c>
      <c r="M2389" s="973" t="s">
        <v>2000</v>
      </c>
      <c r="N2389" s="973" t="s">
        <v>2001</v>
      </c>
      <c r="O2389" s="973" t="s">
        <v>1971</v>
      </c>
      <c r="P2389" s="973" t="s">
        <v>999</v>
      </c>
      <c r="Q2389" s="973" t="s">
        <v>1000</v>
      </c>
      <c r="R2389" s="973" t="s">
        <v>1001</v>
      </c>
      <c r="S2389" s="973" t="s">
        <v>1002</v>
      </c>
      <c r="AE2389" s="423" t="str">
        <f t="shared" si="37"/>
        <v/>
      </c>
    </row>
    <row r="2390" spans="4:31" x14ac:dyDescent="0.25">
      <c r="D2390" s="973" t="s">
        <v>990</v>
      </c>
      <c r="E2390" s="973" t="s">
        <v>991</v>
      </c>
      <c r="F2390" s="973" t="s">
        <v>992</v>
      </c>
      <c r="G2390" s="973" t="s">
        <v>1997</v>
      </c>
      <c r="H2390" s="973" t="s">
        <v>1998</v>
      </c>
      <c r="I2390" s="973" t="s">
        <v>1999</v>
      </c>
      <c r="J2390" s="973" t="s">
        <v>697</v>
      </c>
      <c r="K2390" s="973" t="s">
        <v>995</v>
      </c>
      <c r="L2390" s="973" t="s">
        <v>996</v>
      </c>
      <c r="M2390" s="973" t="s">
        <v>2000</v>
      </c>
      <c r="N2390" s="973" t="s">
        <v>2001</v>
      </c>
      <c r="O2390" s="973" t="s">
        <v>1971</v>
      </c>
      <c r="P2390" s="973" t="s">
        <v>999</v>
      </c>
      <c r="Q2390" s="973" t="s">
        <v>1000</v>
      </c>
      <c r="R2390" s="973" t="s">
        <v>1001</v>
      </c>
      <c r="S2390" s="973" t="s">
        <v>1002</v>
      </c>
      <c r="AE2390" s="423" t="str">
        <f t="shared" si="37"/>
        <v/>
      </c>
    </row>
    <row r="2391" spans="4:31" x14ac:dyDescent="0.25">
      <c r="D2391" s="973" t="s">
        <v>990</v>
      </c>
      <c r="E2391" s="973" t="s">
        <v>991</v>
      </c>
      <c r="F2391" s="973" t="s">
        <v>992</v>
      </c>
      <c r="G2391" s="973" t="s">
        <v>1997</v>
      </c>
      <c r="H2391" s="973" t="s">
        <v>1998</v>
      </c>
      <c r="I2391" s="973" t="s">
        <v>1999</v>
      </c>
      <c r="J2391" s="973" t="s">
        <v>697</v>
      </c>
      <c r="K2391" s="973" t="s">
        <v>995</v>
      </c>
      <c r="L2391" s="973" t="s">
        <v>996</v>
      </c>
      <c r="M2391" s="973" t="s">
        <v>2000</v>
      </c>
      <c r="N2391" s="973" t="s">
        <v>2001</v>
      </c>
      <c r="O2391" s="973" t="s">
        <v>1971</v>
      </c>
      <c r="P2391" s="973" t="s">
        <v>999</v>
      </c>
      <c r="Q2391" s="973" t="s">
        <v>1000</v>
      </c>
      <c r="R2391" s="973" t="s">
        <v>1001</v>
      </c>
      <c r="S2391" s="973" t="s">
        <v>1002</v>
      </c>
      <c r="AE2391" s="423" t="str">
        <f t="shared" si="37"/>
        <v/>
      </c>
    </row>
    <row r="2392" spans="4:31" x14ac:dyDescent="0.25">
      <c r="D2392" s="973" t="s">
        <v>990</v>
      </c>
      <c r="E2392" s="973" t="s">
        <v>991</v>
      </c>
      <c r="F2392" s="973" t="s">
        <v>992</v>
      </c>
      <c r="G2392" s="973" t="s">
        <v>1997</v>
      </c>
      <c r="H2392" s="973" t="s">
        <v>1998</v>
      </c>
      <c r="I2392" s="973" t="s">
        <v>1999</v>
      </c>
      <c r="J2392" s="973" t="s">
        <v>697</v>
      </c>
      <c r="K2392" s="973" t="s">
        <v>995</v>
      </c>
      <c r="L2392" s="973" t="s">
        <v>996</v>
      </c>
      <c r="M2392" s="973" t="s">
        <v>2000</v>
      </c>
      <c r="N2392" s="973" t="s">
        <v>2001</v>
      </c>
      <c r="O2392" s="973" t="s">
        <v>1971</v>
      </c>
      <c r="P2392" s="973" t="s">
        <v>999</v>
      </c>
      <c r="Q2392" s="973" t="s">
        <v>1000</v>
      </c>
      <c r="R2392" s="973" t="s">
        <v>1001</v>
      </c>
      <c r="S2392" s="973" t="s">
        <v>1002</v>
      </c>
      <c r="AE2392" s="423" t="str">
        <f t="shared" si="37"/>
        <v/>
      </c>
    </row>
    <row r="2393" spans="4:31" x14ac:dyDescent="0.25">
      <c r="D2393" s="973" t="s">
        <v>990</v>
      </c>
      <c r="E2393" s="973" t="s">
        <v>991</v>
      </c>
      <c r="F2393" s="973" t="s">
        <v>992</v>
      </c>
      <c r="G2393" s="973" t="s">
        <v>1997</v>
      </c>
      <c r="H2393" s="973" t="s">
        <v>1998</v>
      </c>
      <c r="I2393" s="973" t="s">
        <v>1999</v>
      </c>
      <c r="J2393" s="973" t="s">
        <v>697</v>
      </c>
      <c r="K2393" s="973" t="s">
        <v>995</v>
      </c>
      <c r="L2393" s="973" t="s">
        <v>996</v>
      </c>
      <c r="M2393" s="973" t="s">
        <v>2000</v>
      </c>
      <c r="N2393" s="973" t="s">
        <v>2001</v>
      </c>
      <c r="O2393" s="973" t="s">
        <v>1971</v>
      </c>
      <c r="P2393" s="973" t="s">
        <v>999</v>
      </c>
      <c r="Q2393" s="973" t="s">
        <v>1000</v>
      </c>
      <c r="R2393" s="973" t="s">
        <v>1001</v>
      </c>
      <c r="S2393" s="973" t="s">
        <v>1002</v>
      </c>
      <c r="AE2393" s="423" t="str">
        <f t="shared" si="37"/>
        <v/>
      </c>
    </row>
    <row r="2394" spans="4:31" x14ac:dyDescent="0.25">
      <c r="D2394" s="973" t="s">
        <v>990</v>
      </c>
      <c r="E2394" s="973" t="s">
        <v>991</v>
      </c>
      <c r="F2394" s="973" t="s">
        <v>992</v>
      </c>
      <c r="G2394" s="973" t="s">
        <v>1997</v>
      </c>
      <c r="H2394" s="973" t="s">
        <v>1998</v>
      </c>
      <c r="I2394" s="973" t="s">
        <v>1999</v>
      </c>
      <c r="J2394" s="973" t="s">
        <v>697</v>
      </c>
      <c r="K2394" s="973" t="s">
        <v>995</v>
      </c>
      <c r="L2394" s="973" t="s">
        <v>996</v>
      </c>
      <c r="M2394" s="973" t="s">
        <v>2000</v>
      </c>
      <c r="N2394" s="973" t="s">
        <v>2001</v>
      </c>
      <c r="O2394" s="973" t="s">
        <v>1971</v>
      </c>
      <c r="P2394" s="973" t="s">
        <v>999</v>
      </c>
      <c r="Q2394" s="973" t="s">
        <v>1000</v>
      </c>
      <c r="R2394" s="973" t="s">
        <v>1001</v>
      </c>
      <c r="S2394" s="973" t="s">
        <v>1002</v>
      </c>
      <c r="AE2394" s="423" t="str">
        <f t="shared" si="37"/>
        <v/>
      </c>
    </row>
    <row r="2395" spans="4:31" x14ac:dyDescent="0.25">
      <c r="D2395" s="973" t="s">
        <v>990</v>
      </c>
      <c r="E2395" s="973" t="s">
        <v>991</v>
      </c>
      <c r="F2395" s="973" t="s">
        <v>992</v>
      </c>
      <c r="G2395" s="973" t="s">
        <v>1997</v>
      </c>
      <c r="H2395" s="973" t="s">
        <v>1998</v>
      </c>
      <c r="I2395" s="973" t="s">
        <v>1999</v>
      </c>
      <c r="J2395" s="973" t="s">
        <v>697</v>
      </c>
      <c r="K2395" s="973" t="s">
        <v>995</v>
      </c>
      <c r="L2395" s="973" t="s">
        <v>996</v>
      </c>
      <c r="M2395" s="973" t="s">
        <v>2000</v>
      </c>
      <c r="N2395" s="973" t="s">
        <v>2001</v>
      </c>
      <c r="O2395" s="973" t="s">
        <v>1971</v>
      </c>
      <c r="P2395" s="973" t="s">
        <v>999</v>
      </c>
      <c r="Q2395" s="973" t="s">
        <v>1000</v>
      </c>
      <c r="R2395" s="973" t="s">
        <v>1001</v>
      </c>
      <c r="S2395" s="973" t="s">
        <v>1002</v>
      </c>
      <c r="AE2395" s="423" t="str">
        <f t="shared" si="37"/>
        <v/>
      </c>
    </row>
    <row r="2396" spans="4:31" x14ac:dyDescent="0.25">
      <c r="D2396" s="973" t="s">
        <v>990</v>
      </c>
      <c r="E2396" s="973" t="s">
        <v>991</v>
      </c>
      <c r="F2396" s="973" t="s">
        <v>992</v>
      </c>
      <c r="G2396" s="973" t="s">
        <v>1997</v>
      </c>
      <c r="H2396" s="973" t="s">
        <v>1998</v>
      </c>
      <c r="I2396" s="973" t="s">
        <v>1999</v>
      </c>
      <c r="J2396" s="973" t="s">
        <v>697</v>
      </c>
      <c r="K2396" s="973" t="s">
        <v>995</v>
      </c>
      <c r="L2396" s="973" t="s">
        <v>996</v>
      </c>
      <c r="M2396" s="973" t="s">
        <v>2000</v>
      </c>
      <c r="N2396" s="973" t="s">
        <v>2001</v>
      </c>
      <c r="O2396" s="973" t="s">
        <v>1971</v>
      </c>
      <c r="P2396" s="973" t="s">
        <v>999</v>
      </c>
      <c r="Q2396" s="973" t="s">
        <v>1000</v>
      </c>
      <c r="R2396" s="973" t="s">
        <v>1001</v>
      </c>
      <c r="S2396" s="973" t="s">
        <v>1002</v>
      </c>
      <c r="AE2396" s="423" t="str">
        <f t="shared" si="37"/>
        <v/>
      </c>
    </row>
    <row r="2397" spans="4:31" x14ac:dyDescent="0.25">
      <c r="D2397" s="973" t="s">
        <v>990</v>
      </c>
      <c r="E2397" s="973" t="s">
        <v>991</v>
      </c>
      <c r="F2397" s="973" t="s">
        <v>992</v>
      </c>
      <c r="G2397" s="973" t="s">
        <v>1997</v>
      </c>
      <c r="H2397" s="973" t="s">
        <v>1998</v>
      </c>
      <c r="I2397" s="973" t="s">
        <v>1999</v>
      </c>
      <c r="J2397" s="973" t="s">
        <v>697</v>
      </c>
      <c r="K2397" s="973" t="s">
        <v>995</v>
      </c>
      <c r="L2397" s="973" t="s">
        <v>996</v>
      </c>
      <c r="M2397" s="973" t="s">
        <v>2000</v>
      </c>
      <c r="N2397" s="973" t="s">
        <v>2001</v>
      </c>
      <c r="O2397" s="973" t="s">
        <v>1971</v>
      </c>
      <c r="P2397" s="973" t="s">
        <v>999</v>
      </c>
      <c r="Q2397" s="973" t="s">
        <v>1000</v>
      </c>
      <c r="R2397" s="973" t="s">
        <v>1001</v>
      </c>
      <c r="S2397" s="973" t="s">
        <v>1002</v>
      </c>
      <c r="AE2397" s="423" t="str">
        <f t="shared" si="37"/>
        <v/>
      </c>
    </row>
    <row r="2398" spans="4:31" x14ac:dyDescent="0.25">
      <c r="D2398" s="973" t="s">
        <v>990</v>
      </c>
      <c r="E2398" s="973" t="s">
        <v>991</v>
      </c>
      <c r="F2398" s="973" t="s">
        <v>992</v>
      </c>
      <c r="G2398" s="973" t="s">
        <v>1997</v>
      </c>
      <c r="H2398" s="973" t="s">
        <v>1998</v>
      </c>
      <c r="I2398" s="973" t="s">
        <v>1999</v>
      </c>
      <c r="J2398" s="973" t="s">
        <v>697</v>
      </c>
      <c r="K2398" s="973" t="s">
        <v>995</v>
      </c>
      <c r="L2398" s="973" t="s">
        <v>996</v>
      </c>
      <c r="M2398" s="973" t="s">
        <v>2000</v>
      </c>
      <c r="N2398" s="973" t="s">
        <v>2001</v>
      </c>
      <c r="O2398" s="973" t="s">
        <v>1971</v>
      </c>
      <c r="P2398" s="973" t="s">
        <v>999</v>
      </c>
      <c r="Q2398" s="973" t="s">
        <v>1000</v>
      </c>
      <c r="R2398" s="973" t="s">
        <v>1001</v>
      </c>
      <c r="S2398" s="973" t="s">
        <v>1002</v>
      </c>
      <c r="AE2398" s="423" t="str">
        <f t="shared" si="37"/>
        <v/>
      </c>
    </row>
    <row r="2399" spans="4:31" x14ac:dyDescent="0.25">
      <c r="D2399" s="973" t="s">
        <v>990</v>
      </c>
      <c r="E2399" s="973" t="s">
        <v>991</v>
      </c>
      <c r="F2399" s="973" t="s">
        <v>992</v>
      </c>
      <c r="G2399" s="973" t="s">
        <v>1997</v>
      </c>
      <c r="H2399" s="973" t="s">
        <v>1998</v>
      </c>
      <c r="I2399" s="973" t="s">
        <v>1999</v>
      </c>
      <c r="J2399" s="973" t="s">
        <v>697</v>
      </c>
      <c r="K2399" s="973" t="s">
        <v>995</v>
      </c>
      <c r="L2399" s="973" t="s">
        <v>996</v>
      </c>
      <c r="M2399" s="973" t="s">
        <v>2000</v>
      </c>
      <c r="N2399" s="973" t="s">
        <v>2001</v>
      </c>
      <c r="O2399" s="973" t="s">
        <v>1971</v>
      </c>
      <c r="P2399" s="973" t="s">
        <v>999</v>
      </c>
      <c r="Q2399" s="973" t="s">
        <v>1000</v>
      </c>
      <c r="R2399" s="973" t="s">
        <v>1001</v>
      </c>
      <c r="S2399" s="973" t="s">
        <v>1002</v>
      </c>
      <c r="AE2399" s="423" t="str">
        <f t="shared" si="37"/>
        <v/>
      </c>
    </row>
    <row r="2400" spans="4:31" x14ac:dyDescent="0.25">
      <c r="D2400" s="973" t="s">
        <v>990</v>
      </c>
      <c r="E2400" s="973" t="s">
        <v>991</v>
      </c>
      <c r="F2400" s="973" t="s">
        <v>992</v>
      </c>
      <c r="G2400" s="973" t="s">
        <v>1997</v>
      </c>
      <c r="H2400" s="973" t="s">
        <v>1998</v>
      </c>
      <c r="I2400" s="973" t="s">
        <v>1999</v>
      </c>
      <c r="J2400" s="973" t="s">
        <v>697</v>
      </c>
      <c r="K2400" s="973" t="s">
        <v>995</v>
      </c>
      <c r="L2400" s="973" t="s">
        <v>996</v>
      </c>
      <c r="M2400" s="973" t="s">
        <v>2000</v>
      </c>
      <c r="N2400" s="973" t="s">
        <v>2001</v>
      </c>
      <c r="O2400" s="973" t="s">
        <v>1971</v>
      </c>
      <c r="P2400" s="973" t="s">
        <v>999</v>
      </c>
      <c r="Q2400" s="973" t="s">
        <v>1000</v>
      </c>
      <c r="R2400" s="973" t="s">
        <v>1001</v>
      </c>
      <c r="S2400" s="973" t="s">
        <v>1002</v>
      </c>
      <c r="AE2400" s="423" t="str">
        <f t="shared" si="37"/>
        <v/>
      </c>
    </row>
    <row r="2401" spans="4:31" x14ac:dyDescent="0.25">
      <c r="D2401" s="973" t="s">
        <v>990</v>
      </c>
      <c r="E2401" s="973" t="s">
        <v>991</v>
      </c>
      <c r="F2401" s="973" t="s">
        <v>992</v>
      </c>
      <c r="G2401" s="973" t="s">
        <v>1997</v>
      </c>
      <c r="H2401" s="973" t="s">
        <v>1998</v>
      </c>
      <c r="I2401" s="973" t="s">
        <v>1999</v>
      </c>
      <c r="J2401" s="973" t="s">
        <v>697</v>
      </c>
      <c r="K2401" s="973" t="s">
        <v>995</v>
      </c>
      <c r="L2401" s="973" t="s">
        <v>996</v>
      </c>
      <c r="M2401" s="973" t="s">
        <v>2000</v>
      </c>
      <c r="N2401" s="973" t="s">
        <v>2001</v>
      </c>
      <c r="O2401" s="973" t="s">
        <v>1971</v>
      </c>
      <c r="P2401" s="973" t="s">
        <v>999</v>
      </c>
      <c r="Q2401" s="973" t="s">
        <v>1000</v>
      </c>
      <c r="R2401" s="973" t="s">
        <v>1001</v>
      </c>
      <c r="S2401" s="973" t="s">
        <v>1002</v>
      </c>
      <c r="AE2401" s="423" t="str">
        <f t="shared" si="37"/>
        <v/>
      </c>
    </row>
    <row r="2402" spans="4:31" x14ac:dyDescent="0.25">
      <c r="D2402" s="973" t="s">
        <v>990</v>
      </c>
      <c r="E2402" s="973" t="s">
        <v>991</v>
      </c>
      <c r="F2402" s="973" t="s">
        <v>992</v>
      </c>
      <c r="G2402" s="973" t="s">
        <v>1997</v>
      </c>
      <c r="H2402" s="973" t="s">
        <v>1998</v>
      </c>
      <c r="I2402" s="973" t="s">
        <v>1999</v>
      </c>
      <c r="J2402" s="973" t="s">
        <v>697</v>
      </c>
      <c r="K2402" s="973" t="s">
        <v>995</v>
      </c>
      <c r="L2402" s="973" t="s">
        <v>996</v>
      </c>
      <c r="M2402" s="973" t="s">
        <v>2000</v>
      </c>
      <c r="N2402" s="973" t="s">
        <v>2001</v>
      </c>
      <c r="O2402" s="973" t="s">
        <v>1971</v>
      </c>
      <c r="P2402" s="973" t="s">
        <v>999</v>
      </c>
      <c r="Q2402" s="973" t="s">
        <v>1000</v>
      </c>
      <c r="R2402" s="973" t="s">
        <v>1001</v>
      </c>
      <c r="S2402" s="973" t="s">
        <v>1002</v>
      </c>
      <c r="AE2402" s="423" t="str">
        <f t="shared" si="37"/>
        <v/>
      </c>
    </row>
    <row r="2403" spans="4:31" x14ac:dyDescent="0.25">
      <c r="D2403" s="973" t="s">
        <v>990</v>
      </c>
      <c r="E2403" s="973" t="s">
        <v>991</v>
      </c>
      <c r="F2403" s="973" t="s">
        <v>992</v>
      </c>
      <c r="G2403" s="973" t="s">
        <v>1997</v>
      </c>
      <c r="H2403" s="973" t="s">
        <v>1998</v>
      </c>
      <c r="I2403" s="973" t="s">
        <v>1999</v>
      </c>
      <c r="J2403" s="973" t="s">
        <v>697</v>
      </c>
      <c r="K2403" s="973" t="s">
        <v>995</v>
      </c>
      <c r="L2403" s="973" t="s">
        <v>996</v>
      </c>
      <c r="M2403" s="973" t="s">
        <v>2000</v>
      </c>
      <c r="N2403" s="973" t="s">
        <v>2001</v>
      </c>
      <c r="O2403" s="973" t="s">
        <v>1971</v>
      </c>
      <c r="P2403" s="973" t="s">
        <v>999</v>
      </c>
      <c r="Q2403" s="973" t="s">
        <v>1000</v>
      </c>
      <c r="R2403" s="973" t="s">
        <v>1001</v>
      </c>
      <c r="S2403" s="973" t="s">
        <v>1002</v>
      </c>
      <c r="AE2403" s="423" t="str">
        <f t="shared" si="37"/>
        <v/>
      </c>
    </row>
    <row r="2404" spans="4:31" x14ac:dyDescent="0.25">
      <c r="D2404" s="973" t="s">
        <v>990</v>
      </c>
      <c r="E2404" s="973" t="s">
        <v>991</v>
      </c>
      <c r="F2404" s="973" t="s">
        <v>992</v>
      </c>
      <c r="G2404" s="973" t="s">
        <v>1997</v>
      </c>
      <c r="H2404" s="973" t="s">
        <v>1998</v>
      </c>
      <c r="I2404" s="973" t="s">
        <v>1999</v>
      </c>
      <c r="J2404" s="973" t="s">
        <v>697</v>
      </c>
      <c r="K2404" s="973" t="s">
        <v>995</v>
      </c>
      <c r="L2404" s="973" t="s">
        <v>996</v>
      </c>
      <c r="M2404" s="973" t="s">
        <v>2000</v>
      </c>
      <c r="N2404" s="973" t="s">
        <v>2001</v>
      </c>
      <c r="O2404" s="973" t="s">
        <v>1971</v>
      </c>
      <c r="P2404" s="973" t="s">
        <v>999</v>
      </c>
      <c r="Q2404" s="973" t="s">
        <v>1000</v>
      </c>
      <c r="R2404" s="973" t="s">
        <v>1001</v>
      </c>
      <c r="S2404" s="973" t="s">
        <v>1002</v>
      </c>
      <c r="AE2404" s="423" t="str">
        <f t="shared" si="37"/>
        <v/>
      </c>
    </row>
    <row r="2405" spans="4:31" x14ac:dyDescent="0.25">
      <c r="D2405" s="973" t="s">
        <v>990</v>
      </c>
      <c r="E2405" s="973" t="s">
        <v>991</v>
      </c>
      <c r="F2405" s="973" t="s">
        <v>992</v>
      </c>
      <c r="G2405" s="973" t="s">
        <v>1997</v>
      </c>
      <c r="H2405" s="973" t="s">
        <v>1998</v>
      </c>
      <c r="I2405" s="973" t="s">
        <v>1999</v>
      </c>
      <c r="J2405" s="973" t="s">
        <v>697</v>
      </c>
      <c r="K2405" s="973" t="s">
        <v>995</v>
      </c>
      <c r="L2405" s="973" t="s">
        <v>996</v>
      </c>
      <c r="M2405" s="973" t="s">
        <v>2000</v>
      </c>
      <c r="N2405" s="973" t="s">
        <v>2001</v>
      </c>
      <c r="O2405" s="973" t="s">
        <v>1971</v>
      </c>
      <c r="P2405" s="973" t="s">
        <v>999</v>
      </c>
      <c r="Q2405" s="973" t="s">
        <v>1000</v>
      </c>
      <c r="R2405" s="973" t="s">
        <v>1001</v>
      </c>
      <c r="S2405" s="973" t="s">
        <v>1002</v>
      </c>
      <c r="AE2405" s="423" t="str">
        <f t="shared" si="37"/>
        <v/>
      </c>
    </row>
    <row r="2406" spans="4:31" x14ac:dyDescent="0.25">
      <c r="D2406" s="973" t="s">
        <v>990</v>
      </c>
      <c r="E2406" s="973" t="s">
        <v>991</v>
      </c>
      <c r="F2406" s="973" t="s">
        <v>992</v>
      </c>
      <c r="G2406" s="973" t="s">
        <v>1997</v>
      </c>
      <c r="H2406" s="973" t="s">
        <v>1998</v>
      </c>
      <c r="I2406" s="973" t="s">
        <v>1999</v>
      </c>
      <c r="J2406" s="973" t="s">
        <v>697</v>
      </c>
      <c r="K2406" s="973" t="s">
        <v>995</v>
      </c>
      <c r="L2406" s="973" t="s">
        <v>996</v>
      </c>
      <c r="M2406" s="973" t="s">
        <v>2000</v>
      </c>
      <c r="N2406" s="973" t="s">
        <v>2001</v>
      </c>
      <c r="O2406" s="973" t="s">
        <v>1971</v>
      </c>
      <c r="P2406" s="973" t="s">
        <v>999</v>
      </c>
      <c r="Q2406" s="973" t="s">
        <v>1000</v>
      </c>
      <c r="R2406" s="973" t="s">
        <v>1001</v>
      </c>
      <c r="S2406" s="973" t="s">
        <v>1002</v>
      </c>
      <c r="AE2406" s="423" t="str">
        <f t="shared" si="37"/>
        <v/>
      </c>
    </row>
    <row r="2407" spans="4:31" x14ac:dyDescent="0.25">
      <c r="D2407" s="973" t="s">
        <v>990</v>
      </c>
      <c r="E2407" s="973" t="s">
        <v>991</v>
      </c>
      <c r="F2407" s="973" t="s">
        <v>992</v>
      </c>
      <c r="G2407" s="973" t="s">
        <v>1997</v>
      </c>
      <c r="H2407" s="973" t="s">
        <v>1998</v>
      </c>
      <c r="I2407" s="973" t="s">
        <v>1999</v>
      </c>
      <c r="J2407" s="973" t="s">
        <v>697</v>
      </c>
      <c r="K2407" s="973" t="s">
        <v>995</v>
      </c>
      <c r="L2407" s="973" t="s">
        <v>996</v>
      </c>
      <c r="M2407" s="973" t="s">
        <v>2000</v>
      </c>
      <c r="N2407" s="973" t="s">
        <v>2001</v>
      </c>
      <c r="O2407" s="973" t="s">
        <v>1971</v>
      </c>
      <c r="P2407" s="973" t="s">
        <v>999</v>
      </c>
      <c r="Q2407" s="973" t="s">
        <v>1000</v>
      </c>
      <c r="R2407" s="973" t="s">
        <v>1001</v>
      </c>
      <c r="S2407" s="973" t="s">
        <v>1002</v>
      </c>
      <c r="AE2407" s="423" t="str">
        <f t="shared" si="37"/>
        <v/>
      </c>
    </row>
    <row r="2408" spans="4:31" x14ac:dyDescent="0.25">
      <c r="D2408" s="973" t="s">
        <v>990</v>
      </c>
      <c r="E2408" s="973" t="s">
        <v>991</v>
      </c>
      <c r="F2408" s="973" t="s">
        <v>992</v>
      </c>
      <c r="G2408" s="973" t="s">
        <v>1997</v>
      </c>
      <c r="H2408" s="973" t="s">
        <v>1998</v>
      </c>
      <c r="I2408" s="973" t="s">
        <v>1999</v>
      </c>
      <c r="J2408" s="973" t="s">
        <v>697</v>
      </c>
      <c r="K2408" s="973" t="s">
        <v>995</v>
      </c>
      <c r="L2408" s="973" t="s">
        <v>996</v>
      </c>
      <c r="M2408" s="973" t="s">
        <v>2000</v>
      </c>
      <c r="N2408" s="973" t="s">
        <v>2001</v>
      </c>
      <c r="O2408" s="973" t="s">
        <v>1971</v>
      </c>
      <c r="P2408" s="973" t="s">
        <v>999</v>
      </c>
      <c r="Q2408" s="973" t="s">
        <v>1000</v>
      </c>
      <c r="R2408" s="973" t="s">
        <v>1001</v>
      </c>
      <c r="S2408" s="973" t="s">
        <v>1002</v>
      </c>
      <c r="AE2408" s="423" t="str">
        <f t="shared" si="37"/>
        <v/>
      </c>
    </row>
    <row r="2409" spans="4:31" x14ac:dyDescent="0.25">
      <c r="D2409" s="973" t="s">
        <v>990</v>
      </c>
      <c r="E2409" s="973" t="s">
        <v>991</v>
      </c>
      <c r="F2409" s="973" t="s">
        <v>992</v>
      </c>
      <c r="G2409" s="973" t="s">
        <v>1997</v>
      </c>
      <c r="H2409" s="973" t="s">
        <v>1998</v>
      </c>
      <c r="I2409" s="973" t="s">
        <v>1999</v>
      </c>
      <c r="J2409" s="973" t="s">
        <v>697</v>
      </c>
      <c r="K2409" s="973" t="s">
        <v>995</v>
      </c>
      <c r="L2409" s="973" t="s">
        <v>996</v>
      </c>
      <c r="M2409" s="973" t="s">
        <v>2000</v>
      </c>
      <c r="N2409" s="973" t="s">
        <v>2001</v>
      </c>
      <c r="O2409" s="973" t="s">
        <v>1971</v>
      </c>
      <c r="P2409" s="973" t="s">
        <v>999</v>
      </c>
      <c r="Q2409" s="973" t="s">
        <v>1000</v>
      </c>
      <c r="R2409" s="973" t="s">
        <v>1001</v>
      </c>
      <c r="S2409" s="973" t="s">
        <v>1002</v>
      </c>
      <c r="AE2409" s="423" t="str">
        <f t="shared" si="37"/>
        <v/>
      </c>
    </row>
    <row r="2410" spans="4:31" x14ac:dyDescent="0.25">
      <c r="D2410" s="973" t="s">
        <v>990</v>
      </c>
      <c r="E2410" s="973" t="s">
        <v>991</v>
      </c>
      <c r="F2410" s="973" t="s">
        <v>992</v>
      </c>
      <c r="G2410" s="973" t="s">
        <v>1997</v>
      </c>
      <c r="H2410" s="973" t="s">
        <v>1998</v>
      </c>
      <c r="I2410" s="973" t="s">
        <v>1999</v>
      </c>
      <c r="J2410" s="973" t="s">
        <v>697</v>
      </c>
      <c r="K2410" s="973" t="s">
        <v>995</v>
      </c>
      <c r="L2410" s="973" t="s">
        <v>996</v>
      </c>
      <c r="M2410" s="973" t="s">
        <v>2000</v>
      </c>
      <c r="N2410" s="973" t="s">
        <v>2001</v>
      </c>
      <c r="O2410" s="973" t="s">
        <v>1971</v>
      </c>
      <c r="P2410" s="973" t="s">
        <v>999</v>
      </c>
      <c r="Q2410" s="973" t="s">
        <v>1000</v>
      </c>
      <c r="R2410" s="973" t="s">
        <v>1001</v>
      </c>
      <c r="S2410" s="973" t="s">
        <v>1002</v>
      </c>
      <c r="AE2410" s="423" t="str">
        <f t="shared" si="37"/>
        <v/>
      </c>
    </row>
    <row r="2411" spans="4:31" x14ac:dyDescent="0.25">
      <c r="D2411" s="973" t="s">
        <v>990</v>
      </c>
      <c r="E2411" s="973" t="s">
        <v>991</v>
      </c>
      <c r="F2411" s="973" t="s">
        <v>992</v>
      </c>
      <c r="G2411" s="973" t="s">
        <v>1997</v>
      </c>
      <c r="H2411" s="973" t="s">
        <v>1998</v>
      </c>
      <c r="I2411" s="973" t="s">
        <v>1999</v>
      </c>
      <c r="J2411" s="973" t="s">
        <v>697</v>
      </c>
      <c r="K2411" s="973" t="s">
        <v>995</v>
      </c>
      <c r="L2411" s="973" t="s">
        <v>996</v>
      </c>
      <c r="M2411" s="973" t="s">
        <v>2000</v>
      </c>
      <c r="N2411" s="973" t="s">
        <v>2001</v>
      </c>
      <c r="O2411" s="973" t="s">
        <v>1971</v>
      </c>
      <c r="P2411" s="973" t="s">
        <v>999</v>
      </c>
      <c r="Q2411" s="973" t="s">
        <v>1000</v>
      </c>
      <c r="R2411" s="973" t="s">
        <v>1001</v>
      </c>
      <c r="S2411" s="973" t="s">
        <v>1002</v>
      </c>
      <c r="AE2411" s="423" t="str">
        <f t="shared" si="37"/>
        <v/>
      </c>
    </row>
    <row r="2412" spans="4:31" x14ac:dyDescent="0.25">
      <c r="D2412" s="973" t="s">
        <v>990</v>
      </c>
      <c r="E2412" s="973" t="s">
        <v>991</v>
      </c>
      <c r="F2412" s="973" t="s">
        <v>992</v>
      </c>
      <c r="G2412" s="973" t="s">
        <v>1997</v>
      </c>
      <c r="H2412" s="973" t="s">
        <v>1998</v>
      </c>
      <c r="I2412" s="973" t="s">
        <v>1999</v>
      </c>
      <c r="J2412" s="973" t="s">
        <v>697</v>
      </c>
      <c r="K2412" s="973" t="s">
        <v>995</v>
      </c>
      <c r="L2412" s="973" t="s">
        <v>996</v>
      </c>
      <c r="M2412" s="973" t="s">
        <v>2000</v>
      </c>
      <c r="N2412" s="973" t="s">
        <v>2001</v>
      </c>
      <c r="O2412" s="973" t="s">
        <v>1971</v>
      </c>
      <c r="P2412" s="973" t="s">
        <v>999</v>
      </c>
      <c r="Q2412" s="973" t="s">
        <v>1000</v>
      </c>
      <c r="R2412" s="973" t="s">
        <v>1001</v>
      </c>
      <c r="S2412" s="973" t="s">
        <v>1002</v>
      </c>
      <c r="AE2412" s="423" t="str">
        <f t="shared" si="37"/>
        <v/>
      </c>
    </row>
    <row r="2413" spans="4:31" x14ac:dyDescent="0.25">
      <c r="D2413" s="973" t="s">
        <v>990</v>
      </c>
      <c r="E2413" s="973" t="s">
        <v>991</v>
      </c>
      <c r="F2413" s="973" t="s">
        <v>992</v>
      </c>
      <c r="G2413" s="973" t="s">
        <v>1997</v>
      </c>
      <c r="H2413" s="973" t="s">
        <v>1998</v>
      </c>
      <c r="I2413" s="973" t="s">
        <v>1999</v>
      </c>
      <c r="J2413" s="973" t="s">
        <v>697</v>
      </c>
      <c r="K2413" s="973" t="s">
        <v>995</v>
      </c>
      <c r="L2413" s="973" t="s">
        <v>996</v>
      </c>
      <c r="M2413" s="973" t="s">
        <v>2000</v>
      </c>
      <c r="N2413" s="973" t="s">
        <v>2001</v>
      </c>
      <c r="O2413" s="973" t="s">
        <v>1971</v>
      </c>
      <c r="P2413" s="973" t="s">
        <v>999</v>
      </c>
      <c r="Q2413" s="973" t="s">
        <v>1000</v>
      </c>
      <c r="R2413" s="973" t="s">
        <v>1001</v>
      </c>
      <c r="S2413" s="973" t="s">
        <v>1002</v>
      </c>
      <c r="AE2413" s="423" t="str">
        <f t="shared" si="37"/>
        <v/>
      </c>
    </row>
    <row r="2414" spans="4:31" x14ac:dyDescent="0.25">
      <c r="D2414" s="973" t="s">
        <v>990</v>
      </c>
      <c r="E2414" s="973" t="s">
        <v>991</v>
      </c>
      <c r="F2414" s="973" t="s">
        <v>992</v>
      </c>
      <c r="G2414" s="973" t="s">
        <v>1997</v>
      </c>
      <c r="H2414" s="973" t="s">
        <v>1998</v>
      </c>
      <c r="I2414" s="973" t="s">
        <v>1999</v>
      </c>
      <c r="J2414" s="973" t="s">
        <v>697</v>
      </c>
      <c r="K2414" s="973" t="s">
        <v>995</v>
      </c>
      <c r="L2414" s="973" t="s">
        <v>996</v>
      </c>
      <c r="M2414" s="973" t="s">
        <v>2000</v>
      </c>
      <c r="N2414" s="973" t="s">
        <v>2001</v>
      </c>
      <c r="O2414" s="973" t="s">
        <v>1971</v>
      </c>
      <c r="P2414" s="973" t="s">
        <v>999</v>
      </c>
      <c r="Q2414" s="973" t="s">
        <v>1000</v>
      </c>
      <c r="R2414" s="973" t="s">
        <v>1001</v>
      </c>
      <c r="S2414" s="973" t="s">
        <v>1002</v>
      </c>
      <c r="AE2414" s="423" t="str">
        <f t="shared" si="37"/>
        <v/>
      </c>
    </row>
    <row r="2415" spans="4:31" x14ac:dyDescent="0.25">
      <c r="D2415" s="973" t="s">
        <v>990</v>
      </c>
      <c r="E2415" s="973" t="s">
        <v>991</v>
      </c>
      <c r="F2415" s="973" t="s">
        <v>992</v>
      </c>
      <c r="G2415" s="973" t="s">
        <v>1997</v>
      </c>
      <c r="H2415" s="973" t="s">
        <v>1998</v>
      </c>
      <c r="I2415" s="973" t="s">
        <v>1999</v>
      </c>
      <c r="J2415" s="973" t="s">
        <v>697</v>
      </c>
      <c r="K2415" s="973" t="s">
        <v>995</v>
      </c>
      <c r="L2415" s="973" t="s">
        <v>996</v>
      </c>
      <c r="M2415" s="973" t="s">
        <v>2000</v>
      </c>
      <c r="N2415" s="973" t="s">
        <v>2001</v>
      </c>
      <c r="O2415" s="973" t="s">
        <v>1971</v>
      </c>
      <c r="P2415" s="973" t="s">
        <v>999</v>
      </c>
      <c r="Q2415" s="973" t="s">
        <v>1000</v>
      </c>
      <c r="R2415" s="973" t="s">
        <v>1001</v>
      </c>
      <c r="S2415" s="973" t="s">
        <v>1002</v>
      </c>
      <c r="AE2415" s="423" t="str">
        <f t="shared" si="37"/>
        <v/>
      </c>
    </row>
    <row r="2416" spans="4:31" x14ac:dyDescent="0.25">
      <c r="D2416" s="973" t="s">
        <v>990</v>
      </c>
      <c r="E2416" s="973" t="s">
        <v>991</v>
      </c>
      <c r="F2416" s="973" t="s">
        <v>992</v>
      </c>
      <c r="G2416" s="973" t="s">
        <v>1997</v>
      </c>
      <c r="H2416" s="973" t="s">
        <v>1998</v>
      </c>
      <c r="I2416" s="973" t="s">
        <v>1999</v>
      </c>
      <c r="J2416" s="973" t="s">
        <v>697</v>
      </c>
      <c r="K2416" s="973" t="s">
        <v>995</v>
      </c>
      <c r="L2416" s="973" t="s">
        <v>996</v>
      </c>
      <c r="M2416" s="973" t="s">
        <v>2000</v>
      </c>
      <c r="N2416" s="973" t="s">
        <v>2001</v>
      </c>
      <c r="O2416" s="973" t="s">
        <v>1971</v>
      </c>
      <c r="P2416" s="973" t="s">
        <v>999</v>
      </c>
      <c r="Q2416" s="973" t="s">
        <v>1000</v>
      </c>
      <c r="R2416" s="973" t="s">
        <v>1001</v>
      </c>
      <c r="S2416" s="973" t="s">
        <v>1002</v>
      </c>
      <c r="AE2416" s="423" t="str">
        <f t="shared" si="37"/>
        <v/>
      </c>
    </row>
    <row r="2417" spans="4:31" x14ac:dyDescent="0.25">
      <c r="D2417" s="973" t="s">
        <v>990</v>
      </c>
      <c r="E2417" s="973" t="s">
        <v>991</v>
      </c>
      <c r="F2417" s="973" t="s">
        <v>992</v>
      </c>
      <c r="G2417" s="973" t="s">
        <v>1997</v>
      </c>
      <c r="H2417" s="973" t="s">
        <v>1998</v>
      </c>
      <c r="I2417" s="973" t="s">
        <v>1999</v>
      </c>
      <c r="J2417" s="973" t="s">
        <v>697</v>
      </c>
      <c r="K2417" s="973" t="s">
        <v>995</v>
      </c>
      <c r="L2417" s="973" t="s">
        <v>996</v>
      </c>
      <c r="M2417" s="973" t="s">
        <v>2000</v>
      </c>
      <c r="N2417" s="973" t="s">
        <v>2001</v>
      </c>
      <c r="O2417" s="973" t="s">
        <v>1971</v>
      </c>
      <c r="P2417" s="973" t="s">
        <v>999</v>
      </c>
      <c r="Q2417" s="973" t="s">
        <v>1000</v>
      </c>
      <c r="R2417" s="973" t="s">
        <v>1001</v>
      </c>
      <c r="S2417" s="973" t="s">
        <v>1002</v>
      </c>
      <c r="AE2417" s="423" t="str">
        <f t="shared" si="37"/>
        <v/>
      </c>
    </row>
    <row r="2418" spans="4:31" x14ac:dyDescent="0.25">
      <c r="D2418" s="973" t="s">
        <v>990</v>
      </c>
      <c r="E2418" s="973" t="s">
        <v>991</v>
      </c>
      <c r="F2418" s="973" t="s">
        <v>992</v>
      </c>
      <c r="G2418" s="973" t="s">
        <v>1997</v>
      </c>
      <c r="H2418" s="973" t="s">
        <v>1998</v>
      </c>
      <c r="I2418" s="973" t="s">
        <v>1999</v>
      </c>
      <c r="J2418" s="973" t="s">
        <v>697</v>
      </c>
      <c r="K2418" s="973" t="s">
        <v>995</v>
      </c>
      <c r="L2418" s="973" t="s">
        <v>996</v>
      </c>
      <c r="M2418" s="973" t="s">
        <v>2000</v>
      </c>
      <c r="N2418" s="973" t="s">
        <v>2001</v>
      </c>
      <c r="O2418" s="973" t="s">
        <v>1971</v>
      </c>
      <c r="P2418" s="973" t="s">
        <v>999</v>
      </c>
      <c r="Q2418" s="973" t="s">
        <v>1000</v>
      </c>
      <c r="R2418" s="973" t="s">
        <v>1001</v>
      </c>
      <c r="S2418" s="973" t="s">
        <v>1002</v>
      </c>
      <c r="AE2418" s="423" t="str">
        <f t="shared" si="37"/>
        <v/>
      </c>
    </row>
    <row r="2419" spans="4:31" x14ac:dyDescent="0.25">
      <c r="D2419" s="973" t="s">
        <v>990</v>
      </c>
      <c r="E2419" s="973" t="s">
        <v>991</v>
      </c>
      <c r="F2419" s="973" t="s">
        <v>992</v>
      </c>
      <c r="G2419" s="973" t="s">
        <v>1997</v>
      </c>
      <c r="H2419" s="973" t="s">
        <v>1998</v>
      </c>
      <c r="I2419" s="973" t="s">
        <v>1999</v>
      </c>
      <c r="J2419" s="973" t="s">
        <v>697</v>
      </c>
      <c r="K2419" s="973" t="s">
        <v>995</v>
      </c>
      <c r="L2419" s="973" t="s">
        <v>996</v>
      </c>
      <c r="M2419" s="973" t="s">
        <v>2000</v>
      </c>
      <c r="N2419" s="973" t="s">
        <v>2001</v>
      </c>
      <c r="O2419" s="973" t="s">
        <v>1971</v>
      </c>
      <c r="P2419" s="973" t="s">
        <v>999</v>
      </c>
      <c r="Q2419" s="973" t="s">
        <v>1000</v>
      </c>
      <c r="R2419" s="973" t="s">
        <v>1001</v>
      </c>
      <c r="S2419" s="973" t="s">
        <v>1002</v>
      </c>
      <c r="AE2419" s="423" t="str">
        <f t="shared" si="37"/>
        <v/>
      </c>
    </row>
    <row r="2420" spans="4:31" x14ac:dyDescent="0.25">
      <c r="D2420" s="973" t="s">
        <v>990</v>
      </c>
      <c r="E2420" s="973" t="s">
        <v>991</v>
      </c>
      <c r="F2420" s="973" t="s">
        <v>992</v>
      </c>
      <c r="G2420" s="973" t="s">
        <v>1997</v>
      </c>
      <c r="H2420" s="973" t="s">
        <v>1998</v>
      </c>
      <c r="I2420" s="973" t="s">
        <v>1999</v>
      </c>
      <c r="J2420" s="973" t="s">
        <v>697</v>
      </c>
      <c r="K2420" s="973" t="s">
        <v>995</v>
      </c>
      <c r="L2420" s="973" t="s">
        <v>996</v>
      </c>
      <c r="M2420" s="973" t="s">
        <v>2000</v>
      </c>
      <c r="N2420" s="973" t="s">
        <v>2001</v>
      </c>
      <c r="O2420" s="973" t="s">
        <v>1971</v>
      </c>
      <c r="P2420" s="973" t="s">
        <v>999</v>
      </c>
      <c r="Q2420" s="973" t="s">
        <v>1000</v>
      </c>
      <c r="R2420" s="973" t="s">
        <v>1001</v>
      </c>
      <c r="S2420" s="973" t="s">
        <v>1002</v>
      </c>
      <c r="AE2420" s="423" t="str">
        <f t="shared" si="37"/>
        <v/>
      </c>
    </row>
    <row r="2421" spans="4:31" x14ac:dyDescent="0.25">
      <c r="D2421" s="973" t="s">
        <v>990</v>
      </c>
      <c r="E2421" s="973" t="s">
        <v>991</v>
      </c>
      <c r="F2421" s="973" t="s">
        <v>992</v>
      </c>
      <c r="G2421" s="973" t="s">
        <v>1997</v>
      </c>
      <c r="H2421" s="973" t="s">
        <v>1998</v>
      </c>
      <c r="I2421" s="973" t="s">
        <v>1999</v>
      </c>
      <c r="J2421" s="973" t="s">
        <v>697</v>
      </c>
      <c r="K2421" s="973" t="s">
        <v>995</v>
      </c>
      <c r="L2421" s="973" t="s">
        <v>996</v>
      </c>
      <c r="M2421" s="973" t="s">
        <v>2000</v>
      </c>
      <c r="N2421" s="973" t="s">
        <v>2001</v>
      </c>
      <c r="O2421" s="973" t="s">
        <v>1971</v>
      </c>
      <c r="P2421" s="973" t="s">
        <v>999</v>
      </c>
      <c r="Q2421" s="973" t="s">
        <v>1000</v>
      </c>
      <c r="R2421" s="973" t="s">
        <v>1001</v>
      </c>
      <c r="S2421" s="973" t="s">
        <v>1002</v>
      </c>
      <c r="AE2421" s="423" t="str">
        <f t="shared" si="37"/>
        <v/>
      </c>
    </row>
    <row r="2422" spans="4:31" x14ac:dyDescent="0.25">
      <c r="D2422" s="973" t="s">
        <v>990</v>
      </c>
      <c r="E2422" s="973" t="s">
        <v>991</v>
      </c>
      <c r="F2422" s="973" t="s">
        <v>992</v>
      </c>
      <c r="G2422" s="973" t="s">
        <v>1997</v>
      </c>
      <c r="H2422" s="973" t="s">
        <v>1998</v>
      </c>
      <c r="I2422" s="973" t="s">
        <v>1999</v>
      </c>
      <c r="J2422" s="973" t="s">
        <v>697</v>
      </c>
      <c r="K2422" s="973" t="s">
        <v>995</v>
      </c>
      <c r="L2422" s="973" t="s">
        <v>996</v>
      </c>
      <c r="M2422" s="973" t="s">
        <v>2000</v>
      </c>
      <c r="N2422" s="973" t="s">
        <v>2001</v>
      </c>
      <c r="O2422" s="973" t="s">
        <v>1971</v>
      </c>
      <c r="P2422" s="973" t="s">
        <v>999</v>
      </c>
      <c r="Q2422" s="973" t="s">
        <v>1000</v>
      </c>
      <c r="R2422" s="973" t="s">
        <v>1001</v>
      </c>
      <c r="S2422" s="973" t="s">
        <v>1002</v>
      </c>
      <c r="AE2422" s="423" t="str">
        <f t="shared" si="37"/>
        <v/>
      </c>
    </row>
    <row r="2423" spans="4:31" x14ac:dyDescent="0.25">
      <c r="D2423" s="973" t="s">
        <v>990</v>
      </c>
      <c r="E2423" s="973" t="s">
        <v>991</v>
      </c>
      <c r="F2423" s="973" t="s">
        <v>992</v>
      </c>
      <c r="G2423" s="973" t="s">
        <v>1997</v>
      </c>
      <c r="H2423" s="973" t="s">
        <v>1998</v>
      </c>
      <c r="I2423" s="973" t="s">
        <v>1999</v>
      </c>
      <c r="J2423" s="973" t="s">
        <v>697</v>
      </c>
      <c r="K2423" s="973" t="s">
        <v>995</v>
      </c>
      <c r="L2423" s="973" t="s">
        <v>996</v>
      </c>
      <c r="M2423" s="973" t="s">
        <v>2000</v>
      </c>
      <c r="N2423" s="973" t="s">
        <v>2001</v>
      </c>
      <c r="O2423" s="973" t="s">
        <v>1971</v>
      </c>
      <c r="P2423" s="973" t="s">
        <v>999</v>
      </c>
      <c r="Q2423" s="973" t="s">
        <v>1000</v>
      </c>
      <c r="R2423" s="973" t="s">
        <v>1001</v>
      </c>
      <c r="S2423" s="973" t="s">
        <v>1002</v>
      </c>
      <c r="AE2423" s="423" t="str">
        <f t="shared" si="37"/>
        <v/>
      </c>
    </row>
    <row r="2424" spans="4:31" x14ac:dyDescent="0.25">
      <c r="D2424" s="973" t="s">
        <v>990</v>
      </c>
      <c r="E2424" s="973" t="s">
        <v>991</v>
      </c>
      <c r="F2424" s="973" t="s">
        <v>992</v>
      </c>
      <c r="G2424" s="973" t="s">
        <v>1997</v>
      </c>
      <c r="H2424" s="973" t="s">
        <v>1998</v>
      </c>
      <c r="I2424" s="973" t="s">
        <v>1999</v>
      </c>
      <c r="J2424" s="973" t="s">
        <v>697</v>
      </c>
      <c r="K2424" s="973" t="s">
        <v>995</v>
      </c>
      <c r="L2424" s="973" t="s">
        <v>996</v>
      </c>
      <c r="M2424" s="973" t="s">
        <v>2000</v>
      </c>
      <c r="N2424" s="973" t="s">
        <v>2001</v>
      </c>
      <c r="O2424" s="973" t="s">
        <v>1971</v>
      </c>
      <c r="P2424" s="973" t="s">
        <v>999</v>
      </c>
      <c r="Q2424" s="973" t="s">
        <v>1000</v>
      </c>
      <c r="R2424" s="973" t="s">
        <v>1001</v>
      </c>
      <c r="S2424" s="973" t="s">
        <v>1002</v>
      </c>
      <c r="AE2424" s="423" t="str">
        <f t="shared" si="37"/>
        <v/>
      </c>
    </row>
    <row r="2425" spans="4:31" x14ac:dyDescent="0.25">
      <c r="D2425" s="973" t="s">
        <v>990</v>
      </c>
      <c r="E2425" s="973" t="s">
        <v>991</v>
      </c>
      <c r="F2425" s="973" t="s">
        <v>992</v>
      </c>
      <c r="G2425" s="973" t="s">
        <v>1997</v>
      </c>
      <c r="H2425" s="973" t="s">
        <v>1998</v>
      </c>
      <c r="I2425" s="973" t="s">
        <v>1999</v>
      </c>
      <c r="J2425" s="973" t="s">
        <v>697</v>
      </c>
      <c r="K2425" s="973" t="s">
        <v>995</v>
      </c>
      <c r="L2425" s="973" t="s">
        <v>996</v>
      </c>
      <c r="M2425" s="973" t="s">
        <v>2000</v>
      </c>
      <c r="N2425" s="973" t="s">
        <v>2001</v>
      </c>
      <c r="O2425" s="973" t="s">
        <v>1971</v>
      </c>
      <c r="P2425" s="973" t="s">
        <v>999</v>
      </c>
      <c r="Q2425" s="973" t="s">
        <v>1000</v>
      </c>
      <c r="R2425" s="973" t="s">
        <v>1001</v>
      </c>
      <c r="S2425" s="973" t="s">
        <v>1002</v>
      </c>
      <c r="AE2425" s="423" t="str">
        <f t="shared" si="37"/>
        <v/>
      </c>
    </row>
    <row r="2426" spans="4:31" x14ac:dyDescent="0.25">
      <c r="D2426" s="973" t="s">
        <v>990</v>
      </c>
      <c r="E2426" s="973" t="s">
        <v>991</v>
      </c>
      <c r="F2426" s="973" t="s">
        <v>992</v>
      </c>
      <c r="G2426" s="973" t="s">
        <v>1997</v>
      </c>
      <c r="H2426" s="973" t="s">
        <v>1998</v>
      </c>
      <c r="I2426" s="973" t="s">
        <v>1999</v>
      </c>
      <c r="J2426" s="973" t="s">
        <v>697</v>
      </c>
      <c r="K2426" s="973" t="s">
        <v>995</v>
      </c>
      <c r="L2426" s="973" t="s">
        <v>996</v>
      </c>
      <c r="M2426" s="973" t="s">
        <v>2000</v>
      </c>
      <c r="N2426" s="973" t="s">
        <v>2001</v>
      </c>
      <c r="O2426" s="973" t="s">
        <v>1971</v>
      </c>
      <c r="P2426" s="973" t="s">
        <v>999</v>
      </c>
      <c r="Q2426" s="973" t="s">
        <v>1000</v>
      </c>
      <c r="R2426" s="973" t="s">
        <v>1001</v>
      </c>
      <c r="S2426" s="973" t="s">
        <v>1002</v>
      </c>
      <c r="AE2426" s="423" t="str">
        <f t="shared" si="37"/>
        <v/>
      </c>
    </row>
    <row r="2427" spans="4:31" x14ac:dyDescent="0.25">
      <c r="D2427" s="973" t="s">
        <v>990</v>
      </c>
      <c r="E2427" s="973" t="s">
        <v>991</v>
      </c>
      <c r="F2427" s="973" t="s">
        <v>992</v>
      </c>
      <c r="G2427" s="973" t="s">
        <v>1997</v>
      </c>
      <c r="H2427" s="973" t="s">
        <v>1998</v>
      </c>
      <c r="I2427" s="973" t="s">
        <v>1999</v>
      </c>
      <c r="J2427" s="973" t="s">
        <v>697</v>
      </c>
      <c r="K2427" s="973" t="s">
        <v>995</v>
      </c>
      <c r="L2427" s="973" t="s">
        <v>996</v>
      </c>
      <c r="M2427" s="973" t="s">
        <v>2000</v>
      </c>
      <c r="N2427" s="973" t="s">
        <v>2001</v>
      </c>
      <c r="O2427" s="973" t="s">
        <v>1971</v>
      </c>
      <c r="P2427" s="973" t="s">
        <v>999</v>
      </c>
      <c r="Q2427" s="973" t="s">
        <v>1000</v>
      </c>
      <c r="R2427" s="973" t="s">
        <v>1001</v>
      </c>
      <c r="S2427" s="973" t="s">
        <v>1002</v>
      </c>
      <c r="AE2427" s="423" t="str">
        <f t="shared" si="37"/>
        <v/>
      </c>
    </row>
    <row r="2428" spans="4:31" x14ac:dyDescent="0.25">
      <c r="D2428" s="973" t="s">
        <v>990</v>
      </c>
      <c r="E2428" s="973" t="s">
        <v>991</v>
      </c>
      <c r="F2428" s="973" t="s">
        <v>992</v>
      </c>
      <c r="G2428" s="973" t="s">
        <v>1997</v>
      </c>
      <c r="H2428" s="973" t="s">
        <v>1998</v>
      </c>
      <c r="I2428" s="973" t="s">
        <v>1999</v>
      </c>
      <c r="J2428" s="973" t="s">
        <v>697</v>
      </c>
      <c r="K2428" s="973" t="s">
        <v>995</v>
      </c>
      <c r="L2428" s="973" t="s">
        <v>996</v>
      </c>
      <c r="M2428" s="973" t="s">
        <v>2000</v>
      </c>
      <c r="N2428" s="973" t="s">
        <v>2001</v>
      </c>
      <c r="O2428" s="973" t="s">
        <v>1971</v>
      </c>
      <c r="P2428" s="973" t="s">
        <v>999</v>
      </c>
      <c r="Q2428" s="973" t="s">
        <v>1000</v>
      </c>
      <c r="R2428" s="973" t="s">
        <v>1001</v>
      </c>
      <c r="S2428" s="973" t="s">
        <v>1002</v>
      </c>
      <c r="AE2428" s="423" t="str">
        <f t="shared" si="37"/>
        <v/>
      </c>
    </row>
    <row r="2429" spans="4:31" x14ac:dyDescent="0.25">
      <c r="D2429" s="973" t="s">
        <v>990</v>
      </c>
      <c r="E2429" s="973" t="s">
        <v>991</v>
      </c>
      <c r="F2429" s="973" t="s">
        <v>992</v>
      </c>
      <c r="G2429" s="973" t="s">
        <v>1997</v>
      </c>
      <c r="H2429" s="973" t="s">
        <v>1998</v>
      </c>
      <c r="I2429" s="973" t="s">
        <v>1999</v>
      </c>
      <c r="J2429" s="973" t="s">
        <v>697</v>
      </c>
      <c r="K2429" s="973" t="s">
        <v>995</v>
      </c>
      <c r="L2429" s="973" t="s">
        <v>996</v>
      </c>
      <c r="M2429" s="973" t="s">
        <v>2000</v>
      </c>
      <c r="N2429" s="973" t="s">
        <v>2001</v>
      </c>
      <c r="O2429" s="973" t="s">
        <v>1971</v>
      </c>
      <c r="P2429" s="973" t="s">
        <v>999</v>
      </c>
      <c r="Q2429" s="973" t="s">
        <v>1000</v>
      </c>
      <c r="R2429" s="973" t="s">
        <v>1001</v>
      </c>
      <c r="S2429" s="973" t="s">
        <v>1002</v>
      </c>
      <c r="AE2429" s="423" t="str">
        <f t="shared" si="37"/>
        <v/>
      </c>
    </row>
    <row r="2430" spans="4:31" x14ac:dyDescent="0.25">
      <c r="D2430" s="973" t="s">
        <v>990</v>
      </c>
      <c r="E2430" s="973" t="s">
        <v>991</v>
      </c>
      <c r="F2430" s="973" t="s">
        <v>992</v>
      </c>
      <c r="G2430" s="973" t="s">
        <v>1997</v>
      </c>
      <c r="H2430" s="973" t="s">
        <v>1998</v>
      </c>
      <c r="I2430" s="973" t="s">
        <v>1999</v>
      </c>
      <c r="J2430" s="973" t="s">
        <v>697</v>
      </c>
      <c r="K2430" s="973" t="s">
        <v>995</v>
      </c>
      <c r="L2430" s="973" t="s">
        <v>996</v>
      </c>
      <c r="M2430" s="973" t="s">
        <v>2000</v>
      </c>
      <c r="N2430" s="973" t="s">
        <v>2001</v>
      </c>
      <c r="O2430" s="973" t="s">
        <v>1971</v>
      </c>
      <c r="P2430" s="973" t="s">
        <v>999</v>
      </c>
      <c r="Q2430" s="973" t="s">
        <v>1000</v>
      </c>
      <c r="R2430" s="973" t="s">
        <v>1001</v>
      </c>
      <c r="S2430" s="973" t="s">
        <v>1002</v>
      </c>
      <c r="AE2430" s="423" t="str">
        <f t="shared" si="37"/>
        <v/>
      </c>
    </row>
    <row r="2431" spans="4:31" x14ac:dyDescent="0.25">
      <c r="D2431" s="973" t="s">
        <v>990</v>
      </c>
      <c r="E2431" s="973" t="s">
        <v>991</v>
      </c>
      <c r="F2431" s="973" t="s">
        <v>992</v>
      </c>
      <c r="G2431" s="973" t="s">
        <v>1997</v>
      </c>
      <c r="H2431" s="973" t="s">
        <v>1998</v>
      </c>
      <c r="I2431" s="973" t="s">
        <v>1999</v>
      </c>
      <c r="J2431" s="973" t="s">
        <v>697</v>
      </c>
      <c r="K2431" s="973" t="s">
        <v>995</v>
      </c>
      <c r="L2431" s="973" t="s">
        <v>996</v>
      </c>
      <c r="M2431" s="973" t="s">
        <v>2000</v>
      </c>
      <c r="N2431" s="973" t="s">
        <v>2001</v>
      </c>
      <c r="O2431" s="973" t="s">
        <v>1971</v>
      </c>
      <c r="P2431" s="973" t="s">
        <v>999</v>
      </c>
      <c r="Q2431" s="973" t="s">
        <v>1000</v>
      </c>
      <c r="R2431" s="973" t="s">
        <v>1001</v>
      </c>
      <c r="S2431" s="973" t="s">
        <v>1002</v>
      </c>
      <c r="AE2431" s="423" t="str">
        <f t="shared" si="37"/>
        <v/>
      </c>
    </row>
    <row r="2432" spans="4:31" x14ac:dyDescent="0.25">
      <c r="D2432" s="973" t="s">
        <v>990</v>
      </c>
      <c r="E2432" s="973" t="s">
        <v>991</v>
      </c>
      <c r="F2432" s="973" t="s">
        <v>992</v>
      </c>
      <c r="G2432" s="973" t="s">
        <v>1997</v>
      </c>
      <c r="H2432" s="973" t="s">
        <v>1998</v>
      </c>
      <c r="I2432" s="973" t="s">
        <v>1999</v>
      </c>
      <c r="J2432" s="973" t="s">
        <v>697</v>
      </c>
      <c r="K2432" s="973" t="s">
        <v>995</v>
      </c>
      <c r="L2432" s="973" t="s">
        <v>996</v>
      </c>
      <c r="M2432" s="973" t="s">
        <v>2000</v>
      </c>
      <c r="N2432" s="973" t="s">
        <v>2001</v>
      </c>
      <c r="O2432" s="973" t="s">
        <v>1971</v>
      </c>
      <c r="P2432" s="973" t="s">
        <v>999</v>
      </c>
      <c r="Q2432" s="973" t="s">
        <v>1000</v>
      </c>
      <c r="R2432" s="973" t="s">
        <v>1001</v>
      </c>
      <c r="S2432" s="973" t="s">
        <v>1002</v>
      </c>
      <c r="AE2432" s="423" t="str">
        <f t="shared" si="37"/>
        <v/>
      </c>
    </row>
    <row r="2433" spans="4:31" x14ac:dyDescent="0.25">
      <c r="D2433" s="973" t="s">
        <v>990</v>
      </c>
      <c r="E2433" s="973" t="s">
        <v>991</v>
      </c>
      <c r="F2433" s="973" t="s">
        <v>992</v>
      </c>
      <c r="G2433" s="973" t="s">
        <v>1997</v>
      </c>
      <c r="H2433" s="973" t="s">
        <v>1998</v>
      </c>
      <c r="I2433" s="973" t="s">
        <v>1999</v>
      </c>
      <c r="J2433" s="973" t="s">
        <v>697</v>
      </c>
      <c r="K2433" s="973" t="s">
        <v>995</v>
      </c>
      <c r="L2433" s="973" t="s">
        <v>996</v>
      </c>
      <c r="M2433" s="973" t="s">
        <v>2000</v>
      </c>
      <c r="N2433" s="973" t="s">
        <v>2001</v>
      </c>
      <c r="O2433" s="973" t="s">
        <v>1971</v>
      </c>
      <c r="P2433" s="973" t="s">
        <v>999</v>
      </c>
      <c r="Q2433" s="973" t="s">
        <v>1000</v>
      </c>
      <c r="R2433" s="973" t="s">
        <v>1001</v>
      </c>
      <c r="S2433" s="973" t="s">
        <v>1002</v>
      </c>
      <c r="AE2433" s="423" t="str">
        <f t="shared" si="37"/>
        <v/>
      </c>
    </row>
    <row r="2434" spans="4:31" x14ac:dyDescent="0.25">
      <c r="D2434" s="973" t="s">
        <v>990</v>
      </c>
      <c r="E2434" s="973" t="s">
        <v>991</v>
      </c>
      <c r="F2434" s="973" t="s">
        <v>992</v>
      </c>
      <c r="G2434" s="973" t="s">
        <v>1997</v>
      </c>
      <c r="H2434" s="973" t="s">
        <v>1998</v>
      </c>
      <c r="I2434" s="973" t="s">
        <v>1999</v>
      </c>
      <c r="J2434" s="973" t="s">
        <v>697</v>
      </c>
      <c r="K2434" s="973" t="s">
        <v>995</v>
      </c>
      <c r="L2434" s="973" t="s">
        <v>996</v>
      </c>
      <c r="M2434" s="973" t="s">
        <v>2000</v>
      </c>
      <c r="N2434" s="973" t="s">
        <v>2001</v>
      </c>
      <c r="O2434" s="973" t="s">
        <v>1971</v>
      </c>
      <c r="P2434" s="973" t="s">
        <v>999</v>
      </c>
      <c r="Q2434" s="973" t="s">
        <v>1000</v>
      </c>
      <c r="R2434" s="973" t="s">
        <v>1001</v>
      </c>
      <c r="S2434" s="973" t="s">
        <v>1002</v>
      </c>
      <c r="AE2434" s="423" t="str">
        <f t="shared" si="37"/>
        <v/>
      </c>
    </row>
    <row r="2435" spans="4:31" x14ac:dyDescent="0.25">
      <c r="D2435" s="973" t="s">
        <v>990</v>
      </c>
      <c r="E2435" s="973" t="s">
        <v>991</v>
      </c>
      <c r="F2435" s="973" t="s">
        <v>992</v>
      </c>
      <c r="G2435" s="973" t="s">
        <v>1997</v>
      </c>
      <c r="H2435" s="973" t="s">
        <v>1998</v>
      </c>
      <c r="I2435" s="973" t="s">
        <v>1999</v>
      </c>
      <c r="J2435" s="973" t="s">
        <v>697</v>
      </c>
      <c r="K2435" s="973" t="s">
        <v>995</v>
      </c>
      <c r="L2435" s="973" t="s">
        <v>996</v>
      </c>
      <c r="M2435" s="973" t="s">
        <v>2000</v>
      </c>
      <c r="N2435" s="973" t="s">
        <v>2001</v>
      </c>
      <c r="O2435" s="973" t="s">
        <v>1971</v>
      </c>
      <c r="P2435" s="973" t="s">
        <v>999</v>
      </c>
      <c r="Q2435" s="973" t="s">
        <v>1000</v>
      </c>
      <c r="R2435" s="973" t="s">
        <v>1001</v>
      </c>
      <c r="S2435" s="973" t="s">
        <v>1002</v>
      </c>
      <c r="AE2435" s="423" t="str">
        <f t="shared" ref="AE2435:AE2498" si="38">B2435&amp;C2435</f>
        <v/>
      </c>
    </row>
    <row r="2436" spans="4:31" x14ac:dyDescent="0.25">
      <c r="D2436" s="973" t="s">
        <v>990</v>
      </c>
      <c r="E2436" s="973" t="s">
        <v>991</v>
      </c>
      <c r="F2436" s="973" t="s">
        <v>992</v>
      </c>
      <c r="G2436" s="973" t="s">
        <v>1997</v>
      </c>
      <c r="H2436" s="973" t="s">
        <v>1998</v>
      </c>
      <c r="I2436" s="973" t="s">
        <v>1999</v>
      </c>
      <c r="J2436" s="973" t="s">
        <v>697</v>
      </c>
      <c r="K2436" s="973" t="s">
        <v>995</v>
      </c>
      <c r="L2436" s="973" t="s">
        <v>996</v>
      </c>
      <c r="M2436" s="973" t="s">
        <v>2000</v>
      </c>
      <c r="N2436" s="973" t="s">
        <v>2001</v>
      </c>
      <c r="O2436" s="973" t="s">
        <v>1971</v>
      </c>
      <c r="P2436" s="973" t="s">
        <v>999</v>
      </c>
      <c r="Q2436" s="973" t="s">
        <v>1000</v>
      </c>
      <c r="R2436" s="973" t="s">
        <v>1001</v>
      </c>
      <c r="S2436" s="973" t="s">
        <v>1002</v>
      </c>
      <c r="AE2436" s="423" t="str">
        <f t="shared" si="38"/>
        <v/>
      </c>
    </row>
    <row r="2437" spans="4:31" x14ac:dyDescent="0.25">
      <c r="D2437" s="973" t="s">
        <v>990</v>
      </c>
      <c r="E2437" s="973" t="s">
        <v>991</v>
      </c>
      <c r="F2437" s="973" t="s">
        <v>992</v>
      </c>
      <c r="G2437" s="973" t="s">
        <v>1997</v>
      </c>
      <c r="H2437" s="973" t="s">
        <v>1998</v>
      </c>
      <c r="I2437" s="973" t="s">
        <v>1999</v>
      </c>
      <c r="J2437" s="973" t="s">
        <v>697</v>
      </c>
      <c r="K2437" s="973" t="s">
        <v>995</v>
      </c>
      <c r="L2437" s="973" t="s">
        <v>996</v>
      </c>
      <c r="M2437" s="973" t="s">
        <v>2000</v>
      </c>
      <c r="N2437" s="973" t="s">
        <v>2001</v>
      </c>
      <c r="O2437" s="973" t="s">
        <v>1971</v>
      </c>
      <c r="P2437" s="973" t="s">
        <v>999</v>
      </c>
      <c r="Q2437" s="973" t="s">
        <v>1000</v>
      </c>
      <c r="R2437" s="973" t="s">
        <v>1001</v>
      </c>
      <c r="S2437" s="973" t="s">
        <v>1002</v>
      </c>
      <c r="AE2437" s="423" t="str">
        <f t="shared" si="38"/>
        <v/>
      </c>
    </row>
    <row r="2438" spans="4:31" x14ac:dyDescent="0.25">
      <c r="D2438" s="973" t="s">
        <v>990</v>
      </c>
      <c r="E2438" s="973" t="s">
        <v>991</v>
      </c>
      <c r="F2438" s="973" t="s">
        <v>992</v>
      </c>
      <c r="G2438" s="973" t="s">
        <v>1997</v>
      </c>
      <c r="H2438" s="973" t="s">
        <v>1998</v>
      </c>
      <c r="I2438" s="973" t="s">
        <v>1999</v>
      </c>
      <c r="J2438" s="973" t="s">
        <v>697</v>
      </c>
      <c r="K2438" s="973" t="s">
        <v>995</v>
      </c>
      <c r="L2438" s="973" t="s">
        <v>996</v>
      </c>
      <c r="M2438" s="973" t="s">
        <v>2000</v>
      </c>
      <c r="N2438" s="973" t="s">
        <v>2001</v>
      </c>
      <c r="O2438" s="973" t="s">
        <v>1971</v>
      </c>
      <c r="P2438" s="973" t="s">
        <v>999</v>
      </c>
      <c r="Q2438" s="973" t="s">
        <v>1000</v>
      </c>
      <c r="R2438" s="973" t="s">
        <v>1001</v>
      </c>
      <c r="S2438" s="973" t="s">
        <v>1002</v>
      </c>
      <c r="AE2438" s="423" t="str">
        <f t="shared" si="38"/>
        <v/>
      </c>
    </row>
    <row r="2439" spans="4:31" x14ac:dyDescent="0.25">
      <c r="D2439" s="973" t="s">
        <v>990</v>
      </c>
      <c r="E2439" s="973" t="s">
        <v>991</v>
      </c>
      <c r="F2439" s="973" t="s">
        <v>992</v>
      </c>
      <c r="G2439" s="973" t="s">
        <v>1997</v>
      </c>
      <c r="H2439" s="973" t="s">
        <v>1998</v>
      </c>
      <c r="I2439" s="973" t="s">
        <v>1999</v>
      </c>
      <c r="J2439" s="973" t="s">
        <v>697</v>
      </c>
      <c r="K2439" s="973" t="s">
        <v>995</v>
      </c>
      <c r="L2439" s="973" t="s">
        <v>996</v>
      </c>
      <c r="M2439" s="973" t="s">
        <v>2000</v>
      </c>
      <c r="N2439" s="973" t="s">
        <v>2001</v>
      </c>
      <c r="O2439" s="973" t="s">
        <v>1971</v>
      </c>
      <c r="P2439" s="973" t="s">
        <v>999</v>
      </c>
      <c r="Q2439" s="973" t="s">
        <v>1000</v>
      </c>
      <c r="R2439" s="973" t="s">
        <v>1001</v>
      </c>
      <c r="S2439" s="973" t="s">
        <v>1002</v>
      </c>
      <c r="AE2439" s="423" t="str">
        <f t="shared" si="38"/>
        <v/>
      </c>
    </row>
    <row r="2440" spans="4:31" x14ac:dyDescent="0.25">
      <c r="D2440" s="973" t="s">
        <v>990</v>
      </c>
      <c r="E2440" s="973" t="s">
        <v>991</v>
      </c>
      <c r="F2440" s="973" t="s">
        <v>992</v>
      </c>
      <c r="G2440" s="973" t="s">
        <v>1997</v>
      </c>
      <c r="H2440" s="973" t="s">
        <v>1998</v>
      </c>
      <c r="I2440" s="973" t="s">
        <v>1999</v>
      </c>
      <c r="J2440" s="973" t="s">
        <v>697</v>
      </c>
      <c r="K2440" s="973" t="s">
        <v>995</v>
      </c>
      <c r="L2440" s="973" t="s">
        <v>996</v>
      </c>
      <c r="M2440" s="973" t="s">
        <v>2000</v>
      </c>
      <c r="N2440" s="973" t="s">
        <v>2001</v>
      </c>
      <c r="O2440" s="973" t="s">
        <v>1971</v>
      </c>
      <c r="P2440" s="973" t="s">
        <v>999</v>
      </c>
      <c r="Q2440" s="973" t="s">
        <v>1000</v>
      </c>
      <c r="R2440" s="973" t="s">
        <v>1001</v>
      </c>
      <c r="S2440" s="973" t="s">
        <v>1002</v>
      </c>
      <c r="AE2440" s="423" t="str">
        <f t="shared" si="38"/>
        <v/>
      </c>
    </row>
    <row r="2441" spans="4:31" x14ac:dyDescent="0.25">
      <c r="D2441" s="973" t="s">
        <v>990</v>
      </c>
      <c r="E2441" s="973" t="s">
        <v>991</v>
      </c>
      <c r="F2441" s="973" t="s">
        <v>992</v>
      </c>
      <c r="G2441" s="973" t="s">
        <v>1997</v>
      </c>
      <c r="H2441" s="973" t="s">
        <v>1998</v>
      </c>
      <c r="I2441" s="973" t="s">
        <v>1999</v>
      </c>
      <c r="J2441" s="973" t="s">
        <v>697</v>
      </c>
      <c r="K2441" s="973" t="s">
        <v>995</v>
      </c>
      <c r="L2441" s="973" t="s">
        <v>996</v>
      </c>
      <c r="M2441" s="973" t="s">
        <v>2000</v>
      </c>
      <c r="N2441" s="973" t="s">
        <v>2001</v>
      </c>
      <c r="O2441" s="973" t="s">
        <v>1971</v>
      </c>
      <c r="P2441" s="973" t="s">
        <v>999</v>
      </c>
      <c r="Q2441" s="973" t="s">
        <v>1000</v>
      </c>
      <c r="R2441" s="973" t="s">
        <v>1001</v>
      </c>
      <c r="S2441" s="973" t="s">
        <v>1002</v>
      </c>
      <c r="AE2441" s="423" t="str">
        <f t="shared" si="38"/>
        <v/>
      </c>
    </row>
    <row r="2442" spans="4:31" x14ac:dyDescent="0.25">
      <c r="D2442" s="973" t="s">
        <v>990</v>
      </c>
      <c r="E2442" s="973" t="s">
        <v>991</v>
      </c>
      <c r="F2442" s="973" t="s">
        <v>992</v>
      </c>
      <c r="G2442" s="973" t="s">
        <v>1997</v>
      </c>
      <c r="H2442" s="973" t="s">
        <v>1998</v>
      </c>
      <c r="I2442" s="973" t="s">
        <v>1999</v>
      </c>
      <c r="J2442" s="973" t="s">
        <v>697</v>
      </c>
      <c r="K2442" s="973" t="s">
        <v>995</v>
      </c>
      <c r="L2442" s="973" t="s">
        <v>996</v>
      </c>
      <c r="M2442" s="973" t="s">
        <v>2000</v>
      </c>
      <c r="N2442" s="973" t="s">
        <v>2001</v>
      </c>
      <c r="O2442" s="973" t="s">
        <v>1971</v>
      </c>
      <c r="P2442" s="973" t="s">
        <v>999</v>
      </c>
      <c r="Q2442" s="973" t="s">
        <v>1000</v>
      </c>
      <c r="R2442" s="973" t="s">
        <v>1001</v>
      </c>
      <c r="S2442" s="973" t="s">
        <v>1002</v>
      </c>
      <c r="AE2442" s="423" t="str">
        <f t="shared" si="38"/>
        <v/>
      </c>
    </row>
    <row r="2443" spans="4:31" x14ac:dyDescent="0.25">
      <c r="D2443" s="973" t="s">
        <v>990</v>
      </c>
      <c r="E2443" s="973" t="s">
        <v>991</v>
      </c>
      <c r="F2443" s="973" t="s">
        <v>992</v>
      </c>
      <c r="G2443" s="973" t="s">
        <v>1997</v>
      </c>
      <c r="H2443" s="973" t="s">
        <v>1998</v>
      </c>
      <c r="I2443" s="973" t="s">
        <v>1999</v>
      </c>
      <c r="J2443" s="973" t="s">
        <v>697</v>
      </c>
      <c r="K2443" s="973" t="s">
        <v>995</v>
      </c>
      <c r="L2443" s="973" t="s">
        <v>996</v>
      </c>
      <c r="M2443" s="973" t="s">
        <v>2000</v>
      </c>
      <c r="N2443" s="973" t="s">
        <v>2001</v>
      </c>
      <c r="O2443" s="973" t="s">
        <v>1971</v>
      </c>
      <c r="P2443" s="973" t="s">
        <v>999</v>
      </c>
      <c r="Q2443" s="973" t="s">
        <v>1000</v>
      </c>
      <c r="R2443" s="973" t="s">
        <v>1001</v>
      </c>
      <c r="S2443" s="973" t="s">
        <v>1002</v>
      </c>
      <c r="AE2443" s="423" t="str">
        <f t="shared" si="38"/>
        <v/>
      </c>
    </row>
    <row r="2444" spans="4:31" x14ac:dyDescent="0.25">
      <c r="D2444" s="973" t="s">
        <v>990</v>
      </c>
      <c r="E2444" s="973" t="s">
        <v>991</v>
      </c>
      <c r="F2444" s="973" t="s">
        <v>992</v>
      </c>
      <c r="G2444" s="973" t="s">
        <v>1997</v>
      </c>
      <c r="H2444" s="973" t="s">
        <v>1998</v>
      </c>
      <c r="I2444" s="973" t="s">
        <v>1999</v>
      </c>
      <c r="J2444" s="973" t="s">
        <v>697</v>
      </c>
      <c r="K2444" s="973" t="s">
        <v>995</v>
      </c>
      <c r="L2444" s="973" t="s">
        <v>996</v>
      </c>
      <c r="M2444" s="973" t="s">
        <v>2000</v>
      </c>
      <c r="N2444" s="973" t="s">
        <v>2001</v>
      </c>
      <c r="O2444" s="973" t="s">
        <v>1971</v>
      </c>
      <c r="P2444" s="973" t="s">
        <v>999</v>
      </c>
      <c r="Q2444" s="973" t="s">
        <v>1000</v>
      </c>
      <c r="R2444" s="973" t="s">
        <v>1001</v>
      </c>
      <c r="S2444" s="973" t="s">
        <v>1002</v>
      </c>
      <c r="AE2444" s="423" t="str">
        <f t="shared" si="38"/>
        <v/>
      </c>
    </row>
    <row r="2445" spans="4:31" x14ac:dyDescent="0.25">
      <c r="D2445" s="973" t="s">
        <v>990</v>
      </c>
      <c r="E2445" s="973" t="s">
        <v>991</v>
      </c>
      <c r="F2445" s="973" t="s">
        <v>992</v>
      </c>
      <c r="G2445" s="973" t="s">
        <v>1997</v>
      </c>
      <c r="H2445" s="973" t="s">
        <v>1998</v>
      </c>
      <c r="I2445" s="973" t="s">
        <v>1999</v>
      </c>
      <c r="J2445" s="973" t="s">
        <v>697</v>
      </c>
      <c r="K2445" s="973" t="s">
        <v>995</v>
      </c>
      <c r="L2445" s="973" t="s">
        <v>996</v>
      </c>
      <c r="M2445" s="973" t="s">
        <v>2000</v>
      </c>
      <c r="N2445" s="973" t="s">
        <v>2001</v>
      </c>
      <c r="O2445" s="973" t="s">
        <v>1971</v>
      </c>
      <c r="P2445" s="973" t="s">
        <v>999</v>
      </c>
      <c r="Q2445" s="973" t="s">
        <v>1000</v>
      </c>
      <c r="R2445" s="973" t="s">
        <v>1001</v>
      </c>
      <c r="S2445" s="973" t="s">
        <v>1002</v>
      </c>
      <c r="AE2445" s="423" t="str">
        <f t="shared" si="38"/>
        <v/>
      </c>
    </row>
    <row r="2446" spans="4:31" x14ac:dyDescent="0.25">
      <c r="D2446" s="973" t="s">
        <v>990</v>
      </c>
      <c r="E2446" s="973" t="s">
        <v>991</v>
      </c>
      <c r="F2446" s="973" t="s">
        <v>992</v>
      </c>
      <c r="G2446" s="973" t="s">
        <v>1997</v>
      </c>
      <c r="H2446" s="973" t="s">
        <v>1998</v>
      </c>
      <c r="I2446" s="973" t="s">
        <v>1999</v>
      </c>
      <c r="J2446" s="973" t="s">
        <v>697</v>
      </c>
      <c r="K2446" s="973" t="s">
        <v>995</v>
      </c>
      <c r="L2446" s="973" t="s">
        <v>996</v>
      </c>
      <c r="M2446" s="973" t="s">
        <v>2000</v>
      </c>
      <c r="N2446" s="973" t="s">
        <v>2001</v>
      </c>
      <c r="O2446" s="973" t="s">
        <v>1971</v>
      </c>
      <c r="P2446" s="973" t="s">
        <v>999</v>
      </c>
      <c r="Q2446" s="973" t="s">
        <v>1000</v>
      </c>
      <c r="R2446" s="973" t="s">
        <v>1001</v>
      </c>
      <c r="S2446" s="973" t="s">
        <v>1002</v>
      </c>
      <c r="AE2446" s="423" t="str">
        <f t="shared" si="38"/>
        <v/>
      </c>
    </row>
    <row r="2447" spans="4:31" x14ac:dyDescent="0.25">
      <c r="D2447" s="973" t="s">
        <v>990</v>
      </c>
      <c r="E2447" s="973" t="s">
        <v>991</v>
      </c>
      <c r="F2447" s="973" t="s">
        <v>992</v>
      </c>
      <c r="G2447" s="973" t="s">
        <v>1997</v>
      </c>
      <c r="H2447" s="973" t="s">
        <v>1998</v>
      </c>
      <c r="I2447" s="973" t="s">
        <v>1999</v>
      </c>
      <c r="J2447" s="973" t="s">
        <v>697</v>
      </c>
      <c r="K2447" s="973" t="s">
        <v>995</v>
      </c>
      <c r="L2447" s="973" t="s">
        <v>996</v>
      </c>
      <c r="M2447" s="973" t="s">
        <v>2000</v>
      </c>
      <c r="N2447" s="973" t="s">
        <v>2001</v>
      </c>
      <c r="O2447" s="973" t="s">
        <v>1971</v>
      </c>
      <c r="P2447" s="973" t="s">
        <v>999</v>
      </c>
      <c r="Q2447" s="973" t="s">
        <v>1000</v>
      </c>
      <c r="R2447" s="973" t="s">
        <v>1001</v>
      </c>
      <c r="S2447" s="973" t="s">
        <v>1002</v>
      </c>
      <c r="AE2447" s="423" t="str">
        <f t="shared" si="38"/>
        <v/>
      </c>
    </row>
    <row r="2448" spans="4:31" x14ac:dyDescent="0.25">
      <c r="D2448" s="973" t="s">
        <v>990</v>
      </c>
      <c r="E2448" s="973" t="s">
        <v>991</v>
      </c>
      <c r="F2448" s="973" t="s">
        <v>992</v>
      </c>
      <c r="G2448" s="973" t="s">
        <v>1997</v>
      </c>
      <c r="H2448" s="973" t="s">
        <v>1998</v>
      </c>
      <c r="I2448" s="973" t="s">
        <v>1999</v>
      </c>
      <c r="J2448" s="973" t="s">
        <v>697</v>
      </c>
      <c r="K2448" s="973" t="s">
        <v>995</v>
      </c>
      <c r="L2448" s="973" t="s">
        <v>996</v>
      </c>
      <c r="M2448" s="973" t="s">
        <v>2000</v>
      </c>
      <c r="N2448" s="973" t="s">
        <v>2001</v>
      </c>
      <c r="O2448" s="973" t="s">
        <v>1971</v>
      </c>
      <c r="P2448" s="973" t="s">
        <v>999</v>
      </c>
      <c r="Q2448" s="973" t="s">
        <v>1000</v>
      </c>
      <c r="R2448" s="973" t="s">
        <v>1001</v>
      </c>
      <c r="S2448" s="973" t="s">
        <v>1002</v>
      </c>
      <c r="AE2448" s="423" t="str">
        <f t="shared" si="38"/>
        <v/>
      </c>
    </row>
    <row r="2449" spans="4:31" x14ac:dyDescent="0.25">
      <c r="D2449" s="973" t="s">
        <v>990</v>
      </c>
      <c r="E2449" s="973" t="s">
        <v>991</v>
      </c>
      <c r="F2449" s="973" t="s">
        <v>992</v>
      </c>
      <c r="G2449" s="973" t="s">
        <v>1997</v>
      </c>
      <c r="H2449" s="973" t="s">
        <v>1998</v>
      </c>
      <c r="I2449" s="973" t="s">
        <v>1999</v>
      </c>
      <c r="J2449" s="973" t="s">
        <v>697</v>
      </c>
      <c r="K2449" s="973" t="s">
        <v>995</v>
      </c>
      <c r="L2449" s="973" t="s">
        <v>996</v>
      </c>
      <c r="M2449" s="973" t="s">
        <v>2000</v>
      </c>
      <c r="N2449" s="973" t="s">
        <v>2001</v>
      </c>
      <c r="O2449" s="973" t="s">
        <v>1971</v>
      </c>
      <c r="P2449" s="973" t="s">
        <v>999</v>
      </c>
      <c r="Q2449" s="973" t="s">
        <v>1000</v>
      </c>
      <c r="R2449" s="973" t="s">
        <v>1001</v>
      </c>
      <c r="S2449" s="973" t="s">
        <v>1002</v>
      </c>
      <c r="AE2449" s="423" t="str">
        <f t="shared" si="38"/>
        <v/>
      </c>
    </row>
    <row r="2450" spans="4:31" x14ac:dyDescent="0.25">
      <c r="D2450" s="973" t="s">
        <v>990</v>
      </c>
      <c r="E2450" s="973" t="s">
        <v>991</v>
      </c>
      <c r="F2450" s="973" t="s">
        <v>992</v>
      </c>
      <c r="G2450" s="973" t="s">
        <v>1997</v>
      </c>
      <c r="H2450" s="973" t="s">
        <v>1998</v>
      </c>
      <c r="I2450" s="973" t="s">
        <v>1999</v>
      </c>
      <c r="J2450" s="973" t="s">
        <v>697</v>
      </c>
      <c r="K2450" s="973" t="s">
        <v>995</v>
      </c>
      <c r="L2450" s="973" t="s">
        <v>996</v>
      </c>
      <c r="M2450" s="973" t="s">
        <v>2000</v>
      </c>
      <c r="N2450" s="973" t="s">
        <v>2001</v>
      </c>
      <c r="O2450" s="973" t="s">
        <v>1971</v>
      </c>
      <c r="P2450" s="973" t="s">
        <v>999</v>
      </c>
      <c r="Q2450" s="973" t="s">
        <v>1000</v>
      </c>
      <c r="R2450" s="973" t="s">
        <v>1001</v>
      </c>
      <c r="S2450" s="973" t="s">
        <v>1002</v>
      </c>
      <c r="AE2450" s="423" t="str">
        <f t="shared" si="38"/>
        <v/>
      </c>
    </row>
    <row r="2451" spans="4:31" x14ac:dyDescent="0.25">
      <c r="D2451" s="973" t="s">
        <v>990</v>
      </c>
      <c r="E2451" s="973" t="s">
        <v>991</v>
      </c>
      <c r="F2451" s="973" t="s">
        <v>992</v>
      </c>
      <c r="G2451" s="973" t="s">
        <v>1997</v>
      </c>
      <c r="H2451" s="973" t="s">
        <v>1998</v>
      </c>
      <c r="I2451" s="973" t="s">
        <v>1999</v>
      </c>
      <c r="J2451" s="973" t="s">
        <v>697</v>
      </c>
      <c r="K2451" s="973" t="s">
        <v>995</v>
      </c>
      <c r="L2451" s="973" t="s">
        <v>996</v>
      </c>
      <c r="M2451" s="973" t="s">
        <v>2000</v>
      </c>
      <c r="N2451" s="973" t="s">
        <v>2001</v>
      </c>
      <c r="O2451" s="973" t="s">
        <v>1971</v>
      </c>
      <c r="P2451" s="973" t="s">
        <v>999</v>
      </c>
      <c r="Q2451" s="973" t="s">
        <v>1000</v>
      </c>
      <c r="R2451" s="973" t="s">
        <v>1001</v>
      </c>
      <c r="S2451" s="973" t="s">
        <v>1002</v>
      </c>
      <c r="AE2451" s="423" t="str">
        <f t="shared" si="38"/>
        <v/>
      </c>
    </row>
    <row r="2452" spans="4:31" x14ac:dyDescent="0.25">
      <c r="D2452" s="973" t="s">
        <v>990</v>
      </c>
      <c r="E2452" s="973" t="s">
        <v>991</v>
      </c>
      <c r="F2452" s="973" t="s">
        <v>992</v>
      </c>
      <c r="G2452" s="973" t="s">
        <v>1997</v>
      </c>
      <c r="H2452" s="973" t="s">
        <v>1998</v>
      </c>
      <c r="I2452" s="973" t="s">
        <v>1999</v>
      </c>
      <c r="J2452" s="973" t="s">
        <v>697</v>
      </c>
      <c r="K2452" s="973" t="s">
        <v>995</v>
      </c>
      <c r="L2452" s="973" t="s">
        <v>996</v>
      </c>
      <c r="M2452" s="973" t="s">
        <v>2000</v>
      </c>
      <c r="N2452" s="973" t="s">
        <v>2001</v>
      </c>
      <c r="O2452" s="973" t="s">
        <v>1971</v>
      </c>
      <c r="P2452" s="973" t="s">
        <v>999</v>
      </c>
      <c r="Q2452" s="973" t="s">
        <v>1000</v>
      </c>
      <c r="R2452" s="973" t="s">
        <v>1001</v>
      </c>
      <c r="S2452" s="973" t="s">
        <v>1002</v>
      </c>
      <c r="AE2452" s="423" t="str">
        <f t="shared" si="38"/>
        <v/>
      </c>
    </row>
    <row r="2453" spans="4:31" x14ac:dyDescent="0.25">
      <c r="D2453" s="973" t="s">
        <v>990</v>
      </c>
      <c r="E2453" s="973" t="s">
        <v>991</v>
      </c>
      <c r="F2453" s="973" t="s">
        <v>992</v>
      </c>
      <c r="G2453" s="973" t="s">
        <v>1997</v>
      </c>
      <c r="H2453" s="973" t="s">
        <v>1998</v>
      </c>
      <c r="I2453" s="973" t="s">
        <v>1999</v>
      </c>
      <c r="J2453" s="973" t="s">
        <v>697</v>
      </c>
      <c r="K2453" s="973" t="s">
        <v>995</v>
      </c>
      <c r="L2453" s="973" t="s">
        <v>996</v>
      </c>
      <c r="M2453" s="973" t="s">
        <v>2000</v>
      </c>
      <c r="N2453" s="973" t="s">
        <v>2001</v>
      </c>
      <c r="O2453" s="973" t="s">
        <v>1971</v>
      </c>
      <c r="P2453" s="973" t="s">
        <v>999</v>
      </c>
      <c r="Q2453" s="973" t="s">
        <v>1000</v>
      </c>
      <c r="R2453" s="973" t="s">
        <v>1001</v>
      </c>
      <c r="S2453" s="973" t="s">
        <v>1002</v>
      </c>
      <c r="AE2453" s="423" t="str">
        <f t="shared" si="38"/>
        <v/>
      </c>
    </row>
    <row r="2454" spans="4:31" x14ac:dyDescent="0.25">
      <c r="D2454" s="973" t="s">
        <v>990</v>
      </c>
      <c r="E2454" s="973" t="s">
        <v>991</v>
      </c>
      <c r="F2454" s="973" t="s">
        <v>992</v>
      </c>
      <c r="G2454" s="973" t="s">
        <v>1997</v>
      </c>
      <c r="H2454" s="973" t="s">
        <v>1998</v>
      </c>
      <c r="I2454" s="973" t="s">
        <v>1999</v>
      </c>
      <c r="J2454" s="973" t="s">
        <v>697</v>
      </c>
      <c r="K2454" s="973" t="s">
        <v>995</v>
      </c>
      <c r="L2454" s="973" t="s">
        <v>996</v>
      </c>
      <c r="M2454" s="973" t="s">
        <v>2000</v>
      </c>
      <c r="N2454" s="973" t="s">
        <v>2001</v>
      </c>
      <c r="O2454" s="973" t="s">
        <v>1971</v>
      </c>
      <c r="P2454" s="973" t="s">
        <v>999</v>
      </c>
      <c r="Q2454" s="973" t="s">
        <v>1000</v>
      </c>
      <c r="R2454" s="973" t="s">
        <v>1001</v>
      </c>
      <c r="S2454" s="973" t="s">
        <v>1002</v>
      </c>
      <c r="AE2454" s="423" t="str">
        <f t="shared" si="38"/>
        <v/>
      </c>
    </row>
    <row r="2455" spans="4:31" x14ac:dyDescent="0.25">
      <c r="D2455" s="973" t="s">
        <v>990</v>
      </c>
      <c r="E2455" s="973" t="s">
        <v>991</v>
      </c>
      <c r="F2455" s="973" t="s">
        <v>992</v>
      </c>
      <c r="G2455" s="973" t="s">
        <v>1997</v>
      </c>
      <c r="H2455" s="973" t="s">
        <v>1998</v>
      </c>
      <c r="I2455" s="973" t="s">
        <v>1999</v>
      </c>
      <c r="J2455" s="973" t="s">
        <v>697</v>
      </c>
      <c r="K2455" s="973" t="s">
        <v>995</v>
      </c>
      <c r="L2455" s="973" t="s">
        <v>996</v>
      </c>
      <c r="M2455" s="973" t="s">
        <v>2000</v>
      </c>
      <c r="N2455" s="973" t="s">
        <v>2001</v>
      </c>
      <c r="O2455" s="973" t="s">
        <v>1971</v>
      </c>
      <c r="P2455" s="973" t="s">
        <v>999</v>
      </c>
      <c r="Q2455" s="973" t="s">
        <v>1000</v>
      </c>
      <c r="R2455" s="973" t="s">
        <v>1001</v>
      </c>
      <c r="S2455" s="973" t="s">
        <v>1002</v>
      </c>
      <c r="AE2455" s="423" t="str">
        <f t="shared" si="38"/>
        <v/>
      </c>
    </row>
    <row r="2456" spans="4:31" x14ac:dyDescent="0.25">
      <c r="D2456" s="973" t="s">
        <v>990</v>
      </c>
      <c r="E2456" s="973" t="s">
        <v>991</v>
      </c>
      <c r="F2456" s="973" t="s">
        <v>992</v>
      </c>
      <c r="G2456" s="973" t="s">
        <v>1997</v>
      </c>
      <c r="H2456" s="973" t="s">
        <v>1998</v>
      </c>
      <c r="I2456" s="973" t="s">
        <v>1999</v>
      </c>
      <c r="J2456" s="973" t="s">
        <v>697</v>
      </c>
      <c r="K2456" s="973" t="s">
        <v>995</v>
      </c>
      <c r="L2456" s="973" t="s">
        <v>996</v>
      </c>
      <c r="M2456" s="973" t="s">
        <v>2000</v>
      </c>
      <c r="N2456" s="973" t="s">
        <v>2001</v>
      </c>
      <c r="O2456" s="973" t="s">
        <v>1971</v>
      </c>
      <c r="P2456" s="973" t="s">
        <v>999</v>
      </c>
      <c r="Q2456" s="973" t="s">
        <v>1000</v>
      </c>
      <c r="R2456" s="973" t="s">
        <v>1001</v>
      </c>
      <c r="S2456" s="973" t="s">
        <v>1002</v>
      </c>
      <c r="AE2456" s="423" t="str">
        <f t="shared" si="38"/>
        <v/>
      </c>
    </row>
    <row r="2457" spans="4:31" x14ac:dyDescent="0.25">
      <c r="D2457" s="973" t="s">
        <v>990</v>
      </c>
      <c r="E2457" s="973" t="s">
        <v>991</v>
      </c>
      <c r="F2457" s="973" t="s">
        <v>992</v>
      </c>
      <c r="G2457" s="973" t="s">
        <v>1997</v>
      </c>
      <c r="H2457" s="973" t="s">
        <v>1998</v>
      </c>
      <c r="I2457" s="973" t="s">
        <v>1999</v>
      </c>
      <c r="J2457" s="973" t="s">
        <v>697</v>
      </c>
      <c r="K2457" s="973" t="s">
        <v>995</v>
      </c>
      <c r="L2457" s="973" t="s">
        <v>996</v>
      </c>
      <c r="M2457" s="973" t="s">
        <v>2000</v>
      </c>
      <c r="N2457" s="973" t="s">
        <v>2001</v>
      </c>
      <c r="O2457" s="973" t="s">
        <v>1971</v>
      </c>
      <c r="P2457" s="973" t="s">
        <v>999</v>
      </c>
      <c r="Q2457" s="973" t="s">
        <v>1000</v>
      </c>
      <c r="R2457" s="973" t="s">
        <v>1001</v>
      </c>
      <c r="S2457" s="973" t="s">
        <v>1002</v>
      </c>
      <c r="AE2457" s="423" t="str">
        <f t="shared" si="38"/>
        <v/>
      </c>
    </row>
    <row r="2458" spans="4:31" x14ac:dyDescent="0.25">
      <c r="D2458" s="973" t="s">
        <v>990</v>
      </c>
      <c r="E2458" s="973" t="s">
        <v>991</v>
      </c>
      <c r="F2458" s="973" t="s">
        <v>992</v>
      </c>
      <c r="G2458" s="973" t="s">
        <v>1997</v>
      </c>
      <c r="H2458" s="973" t="s">
        <v>1998</v>
      </c>
      <c r="I2458" s="973" t="s">
        <v>1999</v>
      </c>
      <c r="J2458" s="973" t="s">
        <v>697</v>
      </c>
      <c r="K2458" s="973" t="s">
        <v>995</v>
      </c>
      <c r="L2458" s="973" t="s">
        <v>996</v>
      </c>
      <c r="M2458" s="973" t="s">
        <v>2000</v>
      </c>
      <c r="N2458" s="973" t="s">
        <v>2001</v>
      </c>
      <c r="O2458" s="973" t="s">
        <v>1971</v>
      </c>
      <c r="P2458" s="973" t="s">
        <v>999</v>
      </c>
      <c r="Q2458" s="973" t="s">
        <v>1000</v>
      </c>
      <c r="R2458" s="973" t="s">
        <v>1001</v>
      </c>
      <c r="S2458" s="973" t="s">
        <v>1002</v>
      </c>
      <c r="AE2458" s="423" t="str">
        <f t="shared" si="38"/>
        <v/>
      </c>
    </row>
    <row r="2459" spans="4:31" x14ac:dyDescent="0.25">
      <c r="D2459" s="973" t="s">
        <v>990</v>
      </c>
      <c r="E2459" s="973" t="s">
        <v>991</v>
      </c>
      <c r="F2459" s="973" t="s">
        <v>992</v>
      </c>
      <c r="G2459" s="973" t="s">
        <v>1997</v>
      </c>
      <c r="H2459" s="973" t="s">
        <v>1998</v>
      </c>
      <c r="I2459" s="973" t="s">
        <v>1999</v>
      </c>
      <c r="J2459" s="973" t="s">
        <v>697</v>
      </c>
      <c r="K2459" s="973" t="s">
        <v>995</v>
      </c>
      <c r="L2459" s="973" t="s">
        <v>996</v>
      </c>
      <c r="M2459" s="973" t="s">
        <v>2000</v>
      </c>
      <c r="N2459" s="973" t="s">
        <v>2001</v>
      </c>
      <c r="O2459" s="973" t="s">
        <v>1971</v>
      </c>
      <c r="P2459" s="973" t="s">
        <v>999</v>
      </c>
      <c r="Q2459" s="973" t="s">
        <v>1000</v>
      </c>
      <c r="R2459" s="973" t="s">
        <v>1001</v>
      </c>
      <c r="S2459" s="973" t="s">
        <v>1002</v>
      </c>
      <c r="AE2459" s="423" t="str">
        <f t="shared" si="38"/>
        <v/>
      </c>
    </row>
    <row r="2460" spans="4:31" x14ac:dyDescent="0.25">
      <c r="D2460" s="973" t="s">
        <v>990</v>
      </c>
      <c r="E2460" s="973" t="s">
        <v>991</v>
      </c>
      <c r="F2460" s="973" t="s">
        <v>992</v>
      </c>
      <c r="G2460" s="973" t="s">
        <v>1997</v>
      </c>
      <c r="H2460" s="973" t="s">
        <v>1998</v>
      </c>
      <c r="I2460" s="973" t="s">
        <v>1999</v>
      </c>
      <c r="J2460" s="973" t="s">
        <v>697</v>
      </c>
      <c r="K2460" s="973" t="s">
        <v>995</v>
      </c>
      <c r="L2460" s="973" t="s">
        <v>996</v>
      </c>
      <c r="M2460" s="973" t="s">
        <v>2000</v>
      </c>
      <c r="N2460" s="973" t="s">
        <v>2001</v>
      </c>
      <c r="O2460" s="973" t="s">
        <v>1971</v>
      </c>
      <c r="P2460" s="973" t="s">
        <v>999</v>
      </c>
      <c r="Q2460" s="973" t="s">
        <v>1000</v>
      </c>
      <c r="R2460" s="973" t="s">
        <v>1001</v>
      </c>
      <c r="S2460" s="973" t="s">
        <v>1002</v>
      </c>
      <c r="AE2460" s="423" t="str">
        <f t="shared" si="38"/>
        <v/>
      </c>
    </row>
    <row r="2461" spans="4:31" x14ac:dyDescent="0.25">
      <c r="D2461" s="973" t="s">
        <v>990</v>
      </c>
      <c r="E2461" s="973" t="s">
        <v>991</v>
      </c>
      <c r="F2461" s="973" t="s">
        <v>992</v>
      </c>
      <c r="G2461" s="973" t="s">
        <v>1997</v>
      </c>
      <c r="H2461" s="973" t="s">
        <v>1998</v>
      </c>
      <c r="I2461" s="973" t="s">
        <v>1999</v>
      </c>
      <c r="J2461" s="973" t="s">
        <v>697</v>
      </c>
      <c r="K2461" s="973" t="s">
        <v>995</v>
      </c>
      <c r="L2461" s="973" t="s">
        <v>996</v>
      </c>
      <c r="M2461" s="973" t="s">
        <v>2000</v>
      </c>
      <c r="N2461" s="973" t="s">
        <v>2001</v>
      </c>
      <c r="O2461" s="973" t="s">
        <v>1971</v>
      </c>
      <c r="P2461" s="973" t="s">
        <v>999</v>
      </c>
      <c r="Q2461" s="973" t="s">
        <v>1000</v>
      </c>
      <c r="R2461" s="973" t="s">
        <v>1001</v>
      </c>
      <c r="S2461" s="973" t="s">
        <v>1002</v>
      </c>
      <c r="AE2461" s="423" t="str">
        <f t="shared" si="38"/>
        <v/>
      </c>
    </row>
    <row r="2462" spans="4:31" x14ac:dyDescent="0.25">
      <c r="D2462" s="973" t="s">
        <v>990</v>
      </c>
      <c r="E2462" s="973" t="s">
        <v>991</v>
      </c>
      <c r="F2462" s="973" t="s">
        <v>992</v>
      </c>
      <c r="G2462" s="973" t="s">
        <v>1997</v>
      </c>
      <c r="H2462" s="973" t="s">
        <v>1998</v>
      </c>
      <c r="I2462" s="973" t="s">
        <v>1999</v>
      </c>
      <c r="J2462" s="973" t="s">
        <v>697</v>
      </c>
      <c r="K2462" s="973" t="s">
        <v>995</v>
      </c>
      <c r="L2462" s="973" t="s">
        <v>996</v>
      </c>
      <c r="M2462" s="973" t="s">
        <v>2000</v>
      </c>
      <c r="N2462" s="973" t="s">
        <v>2001</v>
      </c>
      <c r="O2462" s="973" t="s">
        <v>1971</v>
      </c>
      <c r="P2462" s="973" t="s">
        <v>999</v>
      </c>
      <c r="Q2462" s="973" t="s">
        <v>1000</v>
      </c>
      <c r="R2462" s="973" t="s">
        <v>1001</v>
      </c>
      <c r="S2462" s="973" t="s">
        <v>1002</v>
      </c>
      <c r="AE2462" s="423" t="str">
        <f t="shared" si="38"/>
        <v/>
      </c>
    </row>
    <row r="2463" spans="4:31" x14ac:dyDescent="0.25">
      <c r="D2463" s="973" t="s">
        <v>990</v>
      </c>
      <c r="E2463" s="973" t="s">
        <v>991</v>
      </c>
      <c r="F2463" s="973" t="s">
        <v>992</v>
      </c>
      <c r="G2463" s="973" t="s">
        <v>1997</v>
      </c>
      <c r="H2463" s="973" t="s">
        <v>1998</v>
      </c>
      <c r="I2463" s="973" t="s">
        <v>1999</v>
      </c>
      <c r="J2463" s="973" t="s">
        <v>697</v>
      </c>
      <c r="K2463" s="973" t="s">
        <v>995</v>
      </c>
      <c r="L2463" s="973" t="s">
        <v>996</v>
      </c>
      <c r="M2463" s="973" t="s">
        <v>2000</v>
      </c>
      <c r="N2463" s="973" t="s">
        <v>2001</v>
      </c>
      <c r="O2463" s="973" t="s">
        <v>1971</v>
      </c>
      <c r="P2463" s="973" t="s">
        <v>999</v>
      </c>
      <c r="Q2463" s="973" t="s">
        <v>1000</v>
      </c>
      <c r="R2463" s="973" t="s">
        <v>1001</v>
      </c>
      <c r="S2463" s="973" t="s">
        <v>1002</v>
      </c>
      <c r="AE2463" s="423" t="str">
        <f t="shared" si="38"/>
        <v/>
      </c>
    </row>
    <row r="2464" spans="4:31" x14ac:dyDescent="0.25">
      <c r="D2464" s="973" t="s">
        <v>990</v>
      </c>
      <c r="E2464" s="973" t="s">
        <v>991</v>
      </c>
      <c r="F2464" s="973" t="s">
        <v>992</v>
      </c>
      <c r="G2464" s="973" t="s">
        <v>1997</v>
      </c>
      <c r="H2464" s="973" t="s">
        <v>1998</v>
      </c>
      <c r="I2464" s="973" t="s">
        <v>1999</v>
      </c>
      <c r="J2464" s="973" t="s">
        <v>697</v>
      </c>
      <c r="K2464" s="973" t="s">
        <v>995</v>
      </c>
      <c r="L2464" s="973" t="s">
        <v>996</v>
      </c>
      <c r="M2464" s="973" t="s">
        <v>2000</v>
      </c>
      <c r="N2464" s="973" t="s">
        <v>2001</v>
      </c>
      <c r="O2464" s="973" t="s">
        <v>1971</v>
      </c>
      <c r="P2464" s="973" t="s">
        <v>999</v>
      </c>
      <c r="Q2464" s="973" t="s">
        <v>1000</v>
      </c>
      <c r="R2464" s="973" t="s">
        <v>1001</v>
      </c>
      <c r="S2464" s="973" t="s">
        <v>1002</v>
      </c>
      <c r="AE2464" s="423" t="str">
        <f t="shared" si="38"/>
        <v/>
      </c>
    </row>
    <row r="2465" spans="4:31" x14ac:dyDescent="0.25">
      <c r="D2465" s="973" t="s">
        <v>990</v>
      </c>
      <c r="E2465" s="973" t="s">
        <v>991</v>
      </c>
      <c r="F2465" s="973" t="s">
        <v>992</v>
      </c>
      <c r="G2465" s="973" t="s">
        <v>1997</v>
      </c>
      <c r="H2465" s="973" t="s">
        <v>1998</v>
      </c>
      <c r="I2465" s="973" t="s">
        <v>1999</v>
      </c>
      <c r="J2465" s="973" t="s">
        <v>697</v>
      </c>
      <c r="K2465" s="973" t="s">
        <v>995</v>
      </c>
      <c r="L2465" s="973" t="s">
        <v>996</v>
      </c>
      <c r="M2465" s="973" t="s">
        <v>2000</v>
      </c>
      <c r="N2465" s="973" t="s">
        <v>2001</v>
      </c>
      <c r="O2465" s="973" t="s">
        <v>1971</v>
      </c>
      <c r="P2465" s="973" t="s">
        <v>999</v>
      </c>
      <c r="Q2465" s="973" t="s">
        <v>1000</v>
      </c>
      <c r="R2465" s="973" t="s">
        <v>1001</v>
      </c>
      <c r="S2465" s="973" t="s">
        <v>1002</v>
      </c>
      <c r="AE2465" s="423" t="str">
        <f t="shared" si="38"/>
        <v/>
      </c>
    </row>
    <row r="2466" spans="4:31" x14ac:dyDescent="0.25">
      <c r="D2466" s="973" t="s">
        <v>990</v>
      </c>
      <c r="E2466" s="973" t="s">
        <v>991</v>
      </c>
      <c r="F2466" s="973" t="s">
        <v>992</v>
      </c>
      <c r="G2466" s="973" t="s">
        <v>1997</v>
      </c>
      <c r="H2466" s="973" t="s">
        <v>1998</v>
      </c>
      <c r="I2466" s="973" t="s">
        <v>1999</v>
      </c>
      <c r="J2466" s="973" t="s">
        <v>697</v>
      </c>
      <c r="K2466" s="973" t="s">
        <v>995</v>
      </c>
      <c r="L2466" s="973" t="s">
        <v>996</v>
      </c>
      <c r="M2466" s="973" t="s">
        <v>2000</v>
      </c>
      <c r="N2466" s="973" t="s">
        <v>2001</v>
      </c>
      <c r="O2466" s="973" t="s">
        <v>1971</v>
      </c>
      <c r="P2466" s="973" t="s">
        <v>999</v>
      </c>
      <c r="Q2466" s="973" t="s">
        <v>1000</v>
      </c>
      <c r="R2466" s="973" t="s">
        <v>1001</v>
      </c>
      <c r="S2466" s="973" t="s">
        <v>1002</v>
      </c>
      <c r="AE2466" s="423" t="str">
        <f t="shared" si="38"/>
        <v/>
      </c>
    </row>
    <row r="2467" spans="4:31" x14ac:dyDescent="0.25">
      <c r="D2467" s="973" t="s">
        <v>990</v>
      </c>
      <c r="E2467" s="973" t="s">
        <v>991</v>
      </c>
      <c r="F2467" s="973" t="s">
        <v>992</v>
      </c>
      <c r="G2467" s="973" t="s">
        <v>1997</v>
      </c>
      <c r="H2467" s="973" t="s">
        <v>1998</v>
      </c>
      <c r="I2467" s="973" t="s">
        <v>1999</v>
      </c>
      <c r="J2467" s="973" t="s">
        <v>697</v>
      </c>
      <c r="K2467" s="973" t="s">
        <v>995</v>
      </c>
      <c r="L2467" s="973" t="s">
        <v>996</v>
      </c>
      <c r="M2467" s="973" t="s">
        <v>2000</v>
      </c>
      <c r="N2467" s="973" t="s">
        <v>2001</v>
      </c>
      <c r="O2467" s="973" t="s">
        <v>1971</v>
      </c>
      <c r="P2467" s="973" t="s">
        <v>999</v>
      </c>
      <c r="Q2467" s="973" t="s">
        <v>1000</v>
      </c>
      <c r="R2467" s="973" t="s">
        <v>1001</v>
      </c>
      <c r="S2467" s="973" t="s">
        <v>1002</v>
      </c>
      <c r="AE2467" s="423" t="str">
        <f t="shared" si="38"/>
        <v/>
      </c>
    </row>
    <row r="2468" spans="4:31" x14ac:dyDescent="0.25">
      <c r="D2468" s="973" t="s">
        <v>990</v>
      </c>
      <c r="E2468" s="973" t="s">
        <v>991</v>
      </c>
      <c r="F2468" s="973" t="s">
        <v>992</v>
      </c>
      <c r="G2468" s="973" t="s">
        <v>1997</v>
      </c>
      <c r="H2468" s="973" t="s">
        <v>1998</v>
      </c>
      <c r="I2468" s="973" t="s">
        <v>1999</v>
      </c>
      <c r="J2468" s="973" t="s">
        <v>697</v>
      </c>
      <c r="K2468" s="973" t="s">
        <v>995</v>
      </c>
      <c r="L2468" s="973" t="s">
        <v>996</v>
      </c>
      <c r="M2468" s="973" t="s">
        <v>2000</v>
      </c>
      <c r="N2468" s="973" t="s">
        <v>2001</v>
      </c>
      <c r="O2468" s="973" t="s">
        <v>1971</v>
      </c>
      <c r="P2468" s="973" t="s">
        <v>999</v>
      </c>
      <c r="Q2468" s="973" t="s">
        <v>1000</v>
      </c>
      <c r="R2468" s="973" t="s">
        <v>1001</v>
      </c>
      <c r="S2468" s="973" t="s">
        <v>1002</v>
      </c>
      <c r="AE2468" s="423" t="str">
        <f t="shared" si="38"/>
        <v/>
      </c>
    </row>
    <row r="2469" spans="4:31" x14ac:dyDescent="0.25">
      <c r="D2469" s="973" t="s">
        <v>990</v>
      </c>
      <c r="E2469" s="973" t="s">
        <v>991</v>
      </c>
      <c r="F2469" s="973" t="s">
        <v>992</v>
      </c>
      <c r="G2469" s="973" t="s">
        <v>1997</v>
      </c>
      <c r="H2469" s="973" t="s">
        <v>1998</v>
      </c>
      <c r="I2469" s="973" t="s">
        <v>1999</v>
      </c>
      <c r="J2469" s="973" t="s">
        <v>697</v>
      </c>
      <c r="K2469" s="973" t="s">
        <v>995</v>
      </c>
      <c r="L2469" s="973" t="s">
        <v>996</v>
      </c>
      <c r="M2469" s="973" t="s">
        <v>2000</v>
      </c>
      <c r="N2469" s="973" t="s">
        <v>2001</v>
      </c>
      <c r="O2469" s="973" t="s">
        <v>1971</v>
      </c>
      <c r="P2469" s="973" t="s">
        <v>999</v>
      </c>
      <c r="Q2469" s="973" t="s">
        <v>1000</v>
      </c>
      <c r="R2469" s="973" t="s">
        <v>1001</v>
      </c>
      <c r="S2469" s="973" t="s">
        <v>1002</v>
      </c>
      <c r="AE2469" s="423" t="str">
        <f t="shared" si="38"/>
        <v/>
      </c>
    </row>
    <row r="2470" spans="4:31" x14ac:dyDescent="0.25">
      <c r="D2470" s="973" t="s">
        <v>990</v>
      </c>
      <c r="E2470" s="973" t="s">
        <v>991</v>
      </c>
      <c r="F2470" s="973" t="s">
        <v>992</v>
      </c>
      <c r="G2470" s="973" t="s">
        <v>1997</v>
      </c>
      <c r="H2470" s="973" t="s">
        <v>1998</v>
      </c>
      <c r="I2470" s="973" t="s">
        <v>1999</v>
      </c>
      <c r="J2470" s="973" t="s">
        <v>697</v>
      </c>
      <c r="K2470" s="973" t="s">
        <v>995</v>
      </c>
      <c r="L2470" s="973" t="s">
        <v>996</v>
      </c>
      <c r="M2470" s="973" t="s">
        <v>2000</v>
      </c>
      <c r="N2470" s="973" t="s">
        <v>2001</v>
      </c>
      <c r="O2470" s="973" t="s">
        <v>1971</v>
      </c>
      <c r="P2470" s="973" t="s">
        <v>999</v>
      </c>
      <c r="Q2470" s="973" t="s">
        <v>1000</v>
      </c>
      <c r="R2470" s="973" t="s">
        <v>1001</v>
      </c>
      <c r="S2470" s="973" t="s">
        <v>1002</v>
      </c>
      <c r="AE2470" s="423" t="str">
        <f t="shared" si="38"/>
        <v/>
      </c>
    </row>
    <row r="2471" spans="4:31" x14ac:dyDescent="0.25">
      <c r="D2471" s="973" t="s">
        <v>990</v>
      </c>
      <c r="E2471" s="973" t="s">
        <v>991</v>
      </c>
      <c r="F2471" s="973" t="s">
        <v>992</v>
      </c>
      <c r="G2471" s="973" t="s">
        <v>1997</v>
      </c>
      <c r="H2471" s="973" t="s">
        <v>1998</v>
      </c>
      <c r="I2471" s="973" t="s">
        <v>1999</v>
      </c>
      <c r="J2471" s="973" t="s">
        <v>697</v>
      </c>
      <c r="K2471" s="973" t="s">
        <v>995</v>
      </c>
      <c r="L2471" s="973" t="s">
        <v>996</v>
      </c>
      <c r="M2471" s="973" t="s">
        <v>2000</v>
      </c>
      <c r="N2471" s="973" t="s">
        <v>2001</v>
      </c>
      <c r="O2471" s="973" t="s">
        <v>1971</v>
      </c>
      <c r="P2471" s="973" t="s">
        <v>999</v>
      </c>
      <c r="Q2471" s="973" t="s">
        <v>1000</v>
      </c>
      <c r="R2471" s="973" t="s">
        <v>1001</v>
      </c>
      <c r="S2471" s="973" t="s">
        <v>1002</v>
      </c>
      <c r="AE2471" s="423" t="str">
        <f t="shared" si="38"/>
        <v/>
      </c>
    </row>
    <row r="2472" spans="4:31" x14ac:dyDescent="0.25">
      <c r="D2472" s="973" t="s">
        <v>990</v>
      </c>
      <c r="E2472" s="973" t="s">
        <v>991</v>
      </c>
      <c r="F2472" s="973" t="s">
        <v>992</v>
      </c>
      <c r="G2472" s="973" t="s">
        <v>1997</v>
      </c>
      <c r="H2472" s="973" t="s">
        <v>1998</v>
      </c>
      <c r="I2472" s="973" t="s">
        <v>1999</v>
      </c>
      <c r="J2472" s="973" t="s">
        <v>697</v>
      </c>
      <c r="K2472" s="973" t="s">
        <v>995</v>
      </c>
      <c r="L2472" s="973" t="s">
        <v>996</v>
      </c>
      <c r="M2472" s="973" t="s">
        <v>2000</v>
      </c>
      <c r="N2472" s="973" t="s">
        <v>2001</v>
      </c>
      <c r="O2472" s="973" t="s">
        <v>1971</v>
      </c>
      <c r="P2472" s="973" t="s">
        <v>999</v>
      </c>
      <c r="Q2472" s="973" t="s">
        <v>1000</v>
      </c>
      <c r="R2472" s="973" t="s">
        <v>1001</v>
      </c>
      <c r="S2472" s="973" t="s">
        <v>1002</v>
      </c>
      <c r="AE2472" s="423" t="str">
        <f t="shared" si="38"/>
        <v/>
      </c>
    </row>
    <row r="2473" spans="4:31" x14ac:dyDescent="0.25">
      <c r="D2473" s="973" t="s">
        <v>990</v>
      </c>
      <c r="E2473" s="973" t="s">
        <v>991</v>
      </c>
      <c r="F2473" s="973" t="s">
        <v>992</v>
      </c>
      <c r="G2473" s="973" t="s">
        <v>1997</v>
      </c>
      <c r="H2473" s="973" t="s">
        <v>1998</v>
      </c>
      <c r="I2473" s="973" t="s">
        <v>1999</v>
      </c>
      <c r="J2473" s="973" t="s">
        <v>697</v>
      </c>
      <c r="K2473" s="973" t="s">
        <v>995</v>
      </c>
      <c r="L2473" s="973" t="s">
        <v>996</v>
      </c>
      <c r="M2473" s="973" t="s">
        <v>2000</v>
      </c>
      <c r="N2473" s="973" t="s">
        <v>2001</v>
      </c>
      <c r="O2473" s="973" t="s">
        <v>1971</v>
      </c>
      <c r="P2473" s="973" t="s">
        <v>999</v>
      </c>
      <c r="Q2473" s="973" t="s">
        <v>1000</v>
      </c>
      <c r="R2473" s="973" t="s">
        <v>1001</v>
      </c>
      <c r="S2473" s="973" t="s">
        <v>1002</v>
      </c>
      <c r="AE2473" s="423" t="str">
        <f t="shared" si="38"/>
        <v/>
      </c>
    </row>
    <row r="2474" spans="4:31" x14ac:dyDescent="0.25">
      <c r="D2474" s="973" t="s">
        <v>990</v>
      </c>
      <c r="E2474" s="973" t="s">
        <v>991</v>
      </c>
      <c r="F2474" s="973" t="s">
        <v>992</v>
      </c>
      <c r="G2474" s="973" t="s">
        <v>1997</v>
      </c>
      <c r="H2474" s="973" t="s">
        <v>1998</v>
      </c>
      <c r="I2474" s="973" t="s">
        <v>1999</v>
      </c>
      <c r="J2474" s="973" t="s">
        <v>697</v>
      </c>
      <c r="K2474" s="973" t="s">
        <v>995</v>
      </c>
      <c r="L2474" s="973" t="s">
        <v>996</v>
      </c>
      <c r="M2474" s="973" t="s">
        <v>2000</v>
      </c>
      <c r="N2474" s="973" t="s">
        <v>2001</v>
      </c>
      <c r="O2474" s="973" t="s">
        <v>1971</v>
      </c>
      <c r="P2474" s="973" t="s">
        <v>999</v>
      </c>
      <c r="Q2474" s="973" t="s">
        <v>1000</v>
      </c>
      <c r="R2474" s="973" t="s">
        <v>1001</v>
      </c>
      <c r="S2474" s="973" t="s">
        <v>1002</v>
      </c>
      <c r="AE2474" s="423" t="str">
        <f t="shared" si="38"/>
        <v/>
      </c>
    </row>
    <row r="2475" spans="4:31" x14ac:dyDescent="0.25">
      <c r="D2475" s="973" t="s">
        <v>990</v>
      </c>
      <c r="E2475" s="973" t="s">
        <v>991</v>
      </c>
      <c r="F2475" s="973" t="s">
        <v>992</v>
      </c>
      <c r="G2475" s="973" t="s">
        <v>1997</v>
      </c>
      <c r="H2475" s="973" t="s">
        <v>1998</v>
      </c>
      <c r="I2475" s="973" t="s">
        <v>1999</v>
      </c>
      <c r="J2475" s="973" t="s">
        <v>697</v>
      </c>
      <c r="K2475" s="973" t="s">
        <v>995</v>
      </c>
      <c r="L2475" s="973" t="s">
        <v>996</v>
      </c>
      <c r="M2475" s="973" t="s">
        <v>2000</v>
      </c>
      <c r="N2475" s="973" t="s">
        <v>2001</v>
      </c>
      <c r="O2475" s="973" t="s">
        <v>1971</v>
      </c>
      <c r="P2475" s="973" t="s">
        <v>999</v>
      </c>
      <c r="Q2475" s="973" t="s">
        <v>1000</v>
      </c>
      <c r="R2475" s="973" t="s">
        <v>1001</v>
      </c>
      <c r="S2475" s="973" t="s">
        <v>1002</v>
      </c>
      <c r="AE2475" s="423" t="str">
        <f t="shared" si="38"/>
        <v/>
      </c>
    </row>
    <row r="2476" spans="4:31" x14ac:dyDescent="0.25">
      <c r="D2476" s="973" t="s">
        <v>990</v>
      </c>
      <c r="E2476" s="973" t="s">
        <v>991</v>
      </c>
      <c r="F2476" s="973" t="s">
        <v>992</v>
      </c>
      <c r="G2476" s="973" t="s">
        <v>1997</v>
      </c>
      <c r="H2476" s="973" t="s">
        <v>1998</v>
      </c>
      <c r="I2476" s="973" t="s">
        <v>1999</v>
      </c>
      <c r="J2476" s="973" t="s">
        <v>697</v>
      </c>
      <c r="K2476" s="973" t="s">
        <v>995</v>
      </c>
      <c r="L2476" s="973" t="s">
        <v>996</v>
      </c>
      <c r="M2476" s="973" t="s">
        <v>2000</v>
      </c>
      <c r="N2476" s="973" t="s">
        <v>2001</v>
      </c>
      <c r="O2476" s="973" t="s">
        <v>1971</v>
      </c>
      <c r="P2476" s="973" t="s">
        <v>999</v>
      </c>
      <c r="Q2476" s="973" t="s">
        <v>1000</v>
      </c>
      <c r="R2476" s="973" t="s">
        <v>1001</v>
      </c>
      <c r="S2476" s="973" t="s">
        <v>1002</v>
      </c>
      <c r="AE2476" s="423" t="str">
        <f t="shared" si="38"/>
        <v/>
      </c>
    </row>
    <row r="2477" spans="4:31" x14ac:dyDescent="0.25">
      <c r="D2477" s="973" t="s">
        <v>990</v>
      </c>
      <c r="E2477" s="973" t="s">
        <v>991</v>
      </c>
      <c r="F2477" s="973" t="s">
        <v>992</v>
      </c>
      <c r="G2477" s="973" t="s">
        <v>1997</v>
      </c>
      <c r="H2477" s="973" t="s">
        <v>1998</v>
      </c>
      <c r="I2477" s="973" t="s">
        <v>1999</v>
      </c>
      <c r="J2477" s="973" t="s">
        <v>697</v>
      </c>
      <c r="K2477" s="973" t="s">
        <v>995</v>
      </c>
      <c r="L2477" s="973" t="s">
        <v>996</v>
      </c>
      <c r="M2477" s="973" t="s">
        <v>2000</v>
      </c>
      <c r="N2477" s="973" t="s">
        <v>2001</v>
      </c>
      <c r="O2477" s="973" t="s">
        <v>1971</v>
      </c>
      <c r="P2477" s="973" t="s">
        <v>999</v>
      </c>
      <c r="Q2477" s="973" t="s">
        <v>1000</v>
      </c>
      <c r="R2477" s="973" t="s">
        <v>1001</v>
      </c>
      <c r="S2477" s="973" t="s">
        <v>1002</v>
      </c>
      <c r="AE2477" s="423" t="str">
        <f t="shared" si="38"/>
        <v/>
      </c>
    </row>
    <row r="2478" spans="4:31" x14ac:dyDescent="0.25">
      <c r="D2478" s="973" t="s">
        <v>990</v>
      </c>
      <c r="E2478" s="973" t="s">
        <v>991</v>
      </c>
      <c r="F2478" s="973" t="s">
        <v>992</v>
      </c>
      <c r="G2478" s="973" t="s">
        <v>1997</v>
      </c>
      <c r="H2478" s="973" t="s">
        <v>1998</v>
      </c>
      <c r="I2478" s="973" t="s">
        <v>1999</v>
      </c>
      <c r="J2478" s="973" t="s">
        <v>697</v>
      </c>
      <c r="K2478" s="973" t="s">
        <v>995</v>
      </c>
      <c r="L2478" s="973" t="s">
        <v>996</v>
      </c>
      <c r="M2478" s="973" t="s">
        <v>2000</v>
      </c>
      <c r="N2478" s="973" t="s">
        <v>2001</v>
      </c>
      <c r="O2478" s="973" t="s">
        <v>1971</v>
      </c>
      <c r="P2478" s="973" t="s">
        <v>999</v>
      </c>
      <c r="Q2478" s="973" t="s">
        <v>1000</v>
      </c>
      <c r="R2478" s="973" t="s">
        <v>1001</v>
      </c>
      <c r="S2478" s="973" t="s">
        <v>1002</v>
      </c>
      <c r="AE2478" s="423" t="str">
        <f t="shared" si="38"/>
        <v/>
      </c>
    </row>
    <row r="2479" spans="4:31" x14ac:dyDescent="0.25">
      <c r="D2479" s="973" t="s">
        <v>990</v>
      </c>
      <c r="E2479" s="973" t="s">
        <v>991</v>
      </c>
      <c r="F2479" s="973" t="s">
        <v>992</v>
      </c>
      <c r="G2479" s="973" t="s">
        <v>1997</v>
      </c>
      <c r="H2479" s="973" t="s">
        <v>1998</v>
      </c>
      <c r="I2479" s="973" t="s">
        <v>1999</v>
      </c>
      <c r="J2479" s="973" t="s">
        <v>697</v>
      </c>
      <c r="K2479" s="973" t="s">
        <v>995</v>
      </c>
      <c r="L2479" s="973" t="s">
        <v>996</v>
      </c>
      <c r="M2479" s="973" t="s">
        <v>2000</v>
      </c>
      <c r="N2479" s="973" t="s">
        <v>2001</v>
      </c>
      <c r="O2479" s="973" t="s">
        <v>1971</v>
      </c>
      <c r="P2479" s="973" t="s">
        <v>999</v>
      </c>
      <c r="Q2479" s="973" t="s">
        <v>1000</v>
      </c>
      <c r="R2479" s="973" t="s">
        <v>1001</v>
      </c>
      <c r="S2479" s="973" t="s">
        <v>1002</v>
      </c>
      <c r="AE2479" s="423" t="str">
        <f t="shared" si="38"/>
        <v/>
      </c>
    </row>
    <row r="2480" spans="4:31" x14ac:dyDescent="0.25">
      <c r="D2480" s="973" t="s">
        <v>990</v>
      </c>
      <c r="E2480" s="973" t="s">
        <v>991</v>
      </c>
      <c r="F2480" s="973" t="s">
        <v>992</v>
      </c>
      <c r="G2480" s="973" t="s">
        <v>1997</v>
      </c>
      <c r="H2480" s="973" t="s">
        <v>1998</v>
      </c>
      <c r="I2480" s="973" t="s">
        <v>1999</v>
      </c>
      <c r="J2480" s="973" t="s">
        <v>697</v>
      </c>
      <c r="K2480" s="973" t="s">
        <v>995</v>
      </c>
      <c r="L2480" s="973" t="s">
        <v>996</v>
      </c>
      <c r="M2480" s="973" t="s">
        <v>2000</v>
      </c>
      <c r="N2480" s="973" t="s">
        <v>2001</v>
      </c>
      <c r="O2480" s="973" t="s">
        <v>1971</v>
      </c>
      <c r="P2480" s="973" t="s">
        <v>999</v>
      </c>
      <c r="Q2480" s="973" t="s">
        <v>1000</v>
      </c>
      <c r="R2480" s="973" t="s">
        <v>1001</v>
      </c>
      <c r="S2480" s="973" t="s">
        <v>1002</v>
      </c>
      <c r="AE2480" s="423" t="str">
        <f t="shared" si="38"/>
        <v/>
      </c>
    </row>
    <row r="2481" spans="4:31" x14ac:dyDescent="0.25">
      <c r="D2481" s="973" t="s">
        <v>990</v>
      </c>
      <c r="E2481" s="973" t="s">
        <v>991</v>
      </c>
      <c r="F2481" s="973" t="s">
        <v>992</v>
      </c>
      <c r="G2481" s="973" t="s">
        <v>1997</v>
      </c>
      <c r="H2481" s="973" t="s">
        <v>1998</v>
      </c>
      <c r="I2481" s="973" t="s">
        <v>1999</v>
      </c>
      <c r="J2481" s="973" t="s">
        <v>697</v>
      </c>
      <c r="K2481" s="973" t="s">
        <v>995</v>
      </c>
      <c r="L2481" s="973" t="s">
        <v>996</v>
      </c>
      <c r="M2481" s="973" t="s">
        <v>2000</v>
      </c>
      <c r="N2481" s="973" t="s">
        <v>2001</v>
      </c>
      <c r="O2481" s="973" t="s">
        <v>1971</v>
      </c>
      <c r="P2481" s="973" t="s">
        <v>999</v>
      </c>
      <c r="Q2481" s="973" t="s">
        <v>1000</v>
      </c>
      <c r="R2481" s="973" t="s">
        <v>1001</v>
      </c>
      <c r="S2481" s="973" t="s">
        <v>1002</v>
      </c>
      <c r="AE2481" s="423" t="str">
        <f t="shared" si="38"/>
        <v/>
      </c>
    </row>
    <row r="2482" spans="4:31" x14ac:dyDescent="0.25">
      <c r="D2482" s="973" t="s">
        <v>990</v>
      </c>
      <c r="E2482" s="973" t="s">
        <v>991</v>
      </c>
      <c r="F2482" s="973" t="s">
        <v>992</v>
      </c>
      <c r="G2482" s="973" t="s">
        <v>1997</v>
      </c>
      <c r="H2482" s="973" t="s">
        <v>1998</v>
      </c>
      <c r="I2482" s="973" t="s">
        <v>1999</v>
      </c>
      <c r="J2482" s="973" t="s">
        <v>697</v>
      </c>
      <c r="K2482" s="973" t="s">
        <v>995</v>
      </c>
      <c r="L2482" s="973" t="s">
        <v>996</v>
      </c>
      <c r="M2482" s="973" t="s">
        <v>2000</v>
      </c>
      <c r="N2482" s="973" t="s">
        <v>2001</v>
      </c>
      <c r="O2482" s="973" t="s">
        <v>1971</v>
      </c>
      <c r="P2482" s="973" t="s">
        <v>999</v>
      </c>
      <c r="Q2482" s="973" t="s">
        <v>1000</v>
      </c>
      <c r="R2482" s="973" t="s">
        <v>1001</v>
      </c>
      <c r="S2482" s="973" t="s">
        <v>1002</v>
      </c>
      <c r="AE2482" s="423" t="str">
        <f t="shared" si="38"/>
        <v/>
      </c>
    </row>
    <row r="2483" spans="4:31" x14ac:dyDescent="0.25">
      <c r="D2483" s="973" t="s">
        <v>990</v>
      </c>
      <c r="E2483" s="973" t="s">
        <v>991</v>
      </c>
      <c r="F2483" s="973" t="s">
        <v>992</v>
      </c>
      <c r="G2483" s="973" t="s">
        <v>1997</v>
      </c>
      <c r="H2483" s="973" t="s">
        <v>1998</v>
      </c>
      <c r="I2483" s="973" t="s">
        <v>1999</v>
      </c>
      <c r="J2483" s="973" t="s">
        <v>697</v>
      </c>
      <c r="K2483" s="973" t="s">
        <v>995</v>
      </c>
      <c r="L2483" s="973" t="s">
        <v>996</v>
      </c>
      <c r="M2483" s="973" t="s">
        <v>2000</v>
      </c>
      <c r="N2483" s="973" t="s">
        <v>2001</v>
      </c>
      <c r="O2483" s="973" t="s">
        <v>1971</v>
      </c>
      <c r="P2483" s="973" t="s">
        <v>999</v>
      </c>
      <c r="Q2483" s="973" t="s">
        <v>1000</v>
      </c>
      <c r="R2483" s="973" t="s">
        <v>1001</v>
      </c>
      <c r="S2483" s="973" t="s">
        <v>1002</v>
      </c>
      <c r="AE2483" s="423" t="str">
        <f t="shared" si="38"/>
        <v/>
      </c>
    </row>
    <row r="2484" spans="4:31" x14ac:dyDescent="0.25">
      <c r="D2484" s="973" t="s">
        <v>990</v>
      </c>
      <c r="E2484" s="973" t="s">
        <v>991</v>
      </c>
      <c r="F2484" s="973" t="s">
        <v>992</v>
      </c>
      <c r="G2484" s="973" t="s">
        <v>1997</v>
      </c>
      <c r="H2484" s="973" t="s">
        <v>1998</v>
      </c>
      <c r="I2484" s="973" t="s">
        <v>1999</v>
      </c>
      <c r="J2484" s="973" t="s">
        <v>697</v>
      </c>
      <c r="K2484" s="973" t="s">
        <v>995</v>
      </c>
      <c r="L2484" s="973" t="s">
        <v>996</v>
      </c>
      <c r="M2484" s="973" t="s">
        <v>2000</v>
      </c>
      <c r="N2484" s="973" t="s">
        <v>2001</v>
      </c>
      <c r="O2484" s="973" t="s">
        <v>1971</v>
      </c>
      <c r="P2484" s="973" t="s">
        <v>999</v>
      </c>
      <c r="Q2484" s="973" t="s">
        <v>1000</v>
      </c>
      <c r="R2484" s="973" t="s">
        <v>1001</v>
      </c>
      <c r="S2484" s="973" t="s">
        <v>1002</v>
      </c>
      <c r="AE2484" s="423" t="str">
        <f t="shared" si="38"/>
        <v/>
      </c>
    </row>
    <row r="2485" spans="4:31" x14ac:dyDescent="0.25">
      <c r="D2485" s="973" t="s">
        <v>990</v>
      </c>
      <c r="E2485" s="973" t="s">
        <v>991</v>
      </c>
      <c r="F2485" s="973" t="s">
        <v>992</v>
      </c>
      <c r="G2485" s="973" t="s">
        <v>1997</v>
      </c>
      <c r="H2485" s="973" t="s">
        <v>1998</v>
      </c>
      <c r="I2485" s="973" t="s">
        <v>1999</v>
      </c>
      <c r="J2485" s="973" t="s">
        <v>697</v>
      </c>
      <c r="K2485" s="973" t="s">
        <v>995</v>
      </c>
      <c r="L2485" s="973" t="s">
        <v>996</v>
      </c>
      <c r="M2485" s="973" t="s">
        <v>2000</v>
      </c>
      <c r="N2485" s="973" t="s">
        <v>2001</v>
      </c>
      <c r="O2485" s="973" t="s">
        <v>1971</v>
      </c>
      <c r="P2485" s="973" t="s">
        <v>999</v>
      </c>
      <c r="Q2485" s="973" t="s">
        <v>1000</v>
      </c>
      <c r="R2485" s="973" t="s">
        <v>1001</v>
      </c>
      <c r="S2485" s="973" t="s">
        <v>1002</v>
      </c>
      <c r="AE2485" s="423" t="str">
        <f t="shared" si="38"/>
        <v/>
      </c>
    </row>
    <row r="2486" spans="4:31" x14ac:dyDescent="0.25">
      <c r="D2486" s="973" t="s">
        <v>990</v>
      </c>
      <c r="E2486" s="973" t="s">
        <v>991</v>
      </c>
      <c r="F2486" s="973" t="s">
        <v>992</v>
      </c>
      <c r="G2486" s="973" t="s">
        <v>1997</v>
      </c>
      <c r="H2486" s="973" t="s">
        <v>1998</v>
      </c>
      <c r="I2486" s="973" t="s">
        <v>1999</v>
      </c>
      <c r="J2486" s="973" t="s">
        <v>697</v>
      </c>
      <c r="K2486" s="973" t="s">
        <v>995</v>
      </c>
      <c r="L2486" s="973" t="s">
        <v>996</v>
      </c>
      <c r="M2486" s="973" t="s">
        <v>2000</v>
      </c>
      <c r="N2486" s="973" t="s">
        <v>2001</v>
      </c>
      <c r="O2486" s="973" t="s">
        <v>1971</v>
      </c>
      <c r="P2486" s="973" t="s">
        <v>999</v>
      </c>
      <c r="Q2486" s="973" t="s">
        <v>1000</v>
      </c>
      <c r="R2486" s="973" t="s">
        <v>1001</v>
      </c>
      <c r="S2486" s="973" t="s">
        <v>1002</v>
      </c>
      <c r="AE2486" s="423" t="str">
        <f t="shared" si="38"/>
        <v/>
      </c>
    </row>
    <row r="2487" spans="4:31" x14ac:dyDescent="0.25">
      <c r="D2487" s="973" t="s">
        <v>990</v>
      </c>
      <c r="E2487" s="973" t="s">
        <v>991</v>
      </c>
      <c r="F2487" s="973" t="s">
        <v>992</v>
      </c>
      <c r="G2487" s="973" t="s">
        <v>1997</v>
      </c>
      <c r="H2487" s="973" t="s">
        <v>1998</v>
      </c>
      <c r="I2487" s="973" t="s">
        <v>1999</v>
      </c>
      <c r="J2487" s="973" t="s">
        <v>697</v>
      </c>
      <c r="K2487" s="973" t="s">
        <v>995</v>
      </c>
      <c r="L2487" s="973" t="s">
        <v>996</v>
      </c>
      <c r="M2487" s="973" t="s">
        <v>2000</v>
      </c>
      <c r="N2487" s="973" t="s">
        <v>2001</v>
      </c>
      <c r="O2487" s="973" t="s">
        <v>1971</v>
      </c>
      <c r="P2487" s="973" t="s">
        <v>999</v>
      </c>
      <c r="Q2487" s="973" t="s">
        <v>1000</v>
      </c>
      <c r="R2487" s="973" t="s">
        <v>1001</v>
      </c>
      <c r="S2487" s="973" t="s">
        <v>1002</v>
      </c>
      <c r="AE2487" s="423" t="str">
        <f t="shared" si="38"/>
        <v/>
      </c>
    </row>
    <row r="2488" spans="4:31" x14ac:dyDescent="0.25">
      <c r="D2488" s="973" t="s">
        <v>990</v>
      </c>
      <c r="E2488" s="973" t="s">
        <v>991</v>
      </c>
      <c r="F2488" s="973" t="s">
        <v>992</v>
      </c>
      <c r="G2488" s="973" t="s">
        <v>1997</v>
      </c>
      <c r="H2488" s="973" t="s">
        <v>1998</v>
      </c>
      <c r="I2488" s="973" t="s">
        <v>1999</v>
      </c>
      <c r="J2488" s="973" t="s">
        <v>697</v>
      </c>
      <c r="K2488" s="973" t="s">
        <v>995</v>
      </c>
      <c r="L2488" s="973" t="s">
        <v>996</v>
      </c>
      <c r="M2488" s="973" t="s">
        <v>2000</v>
      </c>
      <c r="N2488" s="973" t="s">
        <v>2001</v>
      </c>
      <c r="O2488" s="973" t="s">
        <v>1971</v>
      </c>
      <c r="P2488" s="973" t="s">
        <v>999</v>
      </c>
      <c r="Q2488" s="973" t="s">
        <v>1000</v>
      </c>
      <c r="R2488" s="973" t="s">
        <v>1001</v>
      </c>
      <c r="S2488" s="973" t="s">
        <v>1002</v>
      </c>
      <c r="AE2488" s="423" t="str">
        <f t="shared" si="38"/>
        <v/>
      </c>
    </row>
    <row r="2489" spans="4:31" x14ac:dyDescent="0.25">
      <c r="D2489" s="973" t="s">
        <v>990</v>
      </c>
      <c r="E2489" s="973" t="s">
        <v>991</v>
      </c>
      <c r="F2489" s="973" t="s">
        <v>992</v>
      </c>
      <c r="G2489" s="973" t="s">
        <v>1997</v>
      </c>
      <c r="H2489" s="973" t="s">
        <v>1998</v>
      </c>
      <c r="I2489" s="973" t="s">
        <v>1999</v>
      </c>
      <c r="J2489" s="973" t="s">
        <v>697</v>
      </c>
      <c r="K2489" s="973" t="s">
        <v>995</v>
      </c>
      <c r="L2489" s="973" t="s">
        <v>996</v>
      </c>
      <c r="M2489" s="973" t="s">
        <v>2000</v>
      </c>
      <c r="N2489" s="973" t="s">
        <v>2001</v>
      </c>
      <c r="O2489" s="973" t="s">
        <v>1971</v>
      </c>
      <c r="P2489" s="973" t="s">
        <v>999</v>
      </c>
      <c r="Q2489" s="973" t="s">
        <v>1000</v>
      </c>
      <c r="R2489" s="973" t="s">
        <v>1001</v>
      </c>
      <c r="S2489" s="973" t="s">
        <v>1002</v>
      </c>
      <c r="AE2489" s="423" t="str">
        <f t="shared" si="38"/>
        <v/>
      </c>
    </row>
    <row r="2490" spans="4:31" x14ac:dyDescent="0.25">
      <c r="D2490" s="973" t="s">
        <v>990</v>
      </c>
      <c r="E2490" s="973" t="s">
        <v>991</v>
      </c>
      <c r="F2490" s="973" t="s">
        <v>992</v>
      </c>
      <c r="G2490" s="973" t="s">
        <v>1997</v>
      </c>
      <c r="H2490" s="973" t="s">
        <v>1998</v>
      </c>
      <c r="I2490" s="973" t="s">
        <v>1999</v>
      </c>
      <c r="J2490" s="973" t="s">
        <v>697</v>
      </c>
      <c r="K2490" s="973" t="s">
        <v>995</v>
      </c>
      <c r="L2490" s="973" t="s">
        <v>996</v>
      </c>
      <c r="M2490" s="973" t="s">
        <v>2000</v>
      </c>
      <c r="N2490" s="973" t="s">
        <v>2001</v>
      </c>
      <c r="O2490" s="973" t="s">
        <v>1971</v>
      </c>
      <c r="P2490" s="973" t="s">
        <v>999</v>
      </c>
      <c r="Q2490" s="973" t="s">
        <v>1000</v>
      </c>
      <c r="R2490" s="973" t="s">
        <v>1001</v>
      </c>
      <c r="S2490" s="973" t="s">
        <v>1002</v>
      </c>
      <c r="AE2490" s="423" t="str">
        <f t="shared" si="38"/>
        <v/>
      </c>
    </row>
    <row r="2491" spans="4:31" x14ac:dyDescent="0.25">
      <c r="D2491" s="973" t="s">
        <v>990</v>
      </c>
      <c r="E2491" s="973" t="s">
        <v>991</v>
      </c>
      <c r="F2491" s="973" t="s">
        <v>992</v>
      </c>
      <c r="G2491" s="973" t="s">
        <v>1997</v>
      </c>
      <c r="H2491" s="973" t="s">
        <v>1998</v>
      </c>
      <c r="I2491" s="973" t="s">
        <v>1999</v>
      </c>
      <c r="J2491" s="973" t="s">
        <v>697</v>
      </c>
      <c r="K2491" s="973" t="s">
        <v>995</v>
      </c>
      <c r="L2491" s="973" t="s">
        <v>996</v>
      </c>
      <c r="M2491" s="973" t="s">
        <v>2000</v>
      </c>
      <c r="N2491" s="973" t="s">
        <v>2001</v>
      </c>
      <c r="O2491" s="973" t="s">
        <v>1971</v>
      </c>
      <c r="P2491" s="973" t="s">
        <v>999</v>
      </c>
      <c r="Q2491" s="973" t="s">
        <v>1000</v>
      </c>
      <c r="R2491" s="973" t="s">
        <v>1001</v>
      </c>
      <c r="S2491" s="973" t="s">
        <v>1002</v>
      </c>
      <c r="AE2491" s="423" t="str">
        <f t="shared" si="38"/>
        <v/>
      </c>
    </row>
    <row r="2492" spans="4:31" x14ac:dyDescent="0.25">
      <c r="D2492" s="973" t="s">
        <v>990</v>
      </c>
      <c r="E2492" s="973" t="s">
        <v>991</v>
      </c>
      <c r="F2492" s="973" t="s">
        <v>992</v>
      </c>
      <c r="G2492" s="973" t="s">
        <v>1997</v>
      </c>
      <c r="H2492" s="973" t="s">
        <v>1998</v>
      </c>
      <c r="I2492" s="973" t="s">
        <v>1999</v>
      </c>
      <c r="J2492" s="973" t="s">
        <v>697</v>
      </c>
      <c r="K2492" s="973" t="s">
        <v>995</v>
      </c>
      <c r="L2492" s="973" t="s">
        <v>996</v>
      </c>
      <c r="M2492" s="973" t="s">
        <v>2000</v>
      </c>
      <c r="N2492" s="973" t="s">
        <v>2001</v>
      </c>
      <c r="O2492" s="973" t="s">
        <v>1971</v>
      </c>
      <c r="P2492" s="973" t="s">
        <v>999</v>
      </c>
      <c r="Q2492" s="973" t="s">
        <v>1000</v>
      </c>
      <c r="R2492" s="973" t="s">
        <v>1001</v>
      </c>
      <c r="S2492" s="973" t="s">
        <v>1002</v>
      </c>
      <c r="AE2492" s="423" t="str">
        <f t="shared" si="38"/>
        <v/>
      </c>
    </row>
    <row r="2493" spans="4:31" x14ac:dyDescent="0.25">
      <c r="D2493" s="973" t="s">
        <v>990</v>
      </c>
      <c r="E2493" s="973" t="s">
        <v>991</v>
      </c>
      <c r="F2493" s="973" t="s">
        <v>992</v>
      </c>
      <c r="G2493" s="973" t="s">
        <v>1997</v>
      </c>
      <c r="H2493" s="973" t="s">
        <v>1998</v>
      </c>
      <c r="I2493" s="973" t="s">
        <v>1999</v>
      </c>
      <c r="J2493" s="973" t="s">
        <v>697</v>
      </c>
      <c r="K2493" s="973" t="s">
        <v>995</v>
      </c>
      <c r="L2493" s="973" t="s">
        <v>996</v>
      </c>
      <c r="M2493" s="973" t="s">
        <v>2000</v>
      </c>
      <c r="N2493" s="973" t="s">
        <v>2001</v>
      </c>
      <c r="O2493" s="973" t="s">
        <v>1971</v>
      </c>
      <c r="P2493" s="973" t="s">
        <v>999</v>
      </c>
      <c r="Q2493" s="973" t="s">
        <v>1000</v>
      </c>
      <c r="R2493" s="973" t="s">
        <v>1001</v>
      </c>
      <c r="S2493" s="973" t="s">
        <v>1002</v>
      </c>
      <c r="AE2493" s="423" t="str">
        <f t="shared" si="38"/>
        <v/>
      </c>
    </row>
    <row r="2494" spans="4:31" x14ac:dyDescent="0.25">
      <c r="D2494" s="973" t="s">
        <v>990</v>
      </c>
      <c r="E2494" s="973" t="s">
        <v>991</v>
      </c>
      <c r="F2494" s="973" t="s">
        <v>992</v>
      </c>
      <c r="G2494" s="973" t="s">
        <v>1997</v>
      </c>
      <c r="H2494" s="973" t="s">
        <v>1998</v>
      </c>
      <c r="I2494" s="973" t="s">
        <v>1999</v>
      </c>
      <c r="J2494" s="973" t="s">
        <v>697</v>
      </c>
      <c r="K2494" s="973" t="s">
        <v>995</v>
      </c>
      <c r="L2494" s="973" t="s">
        <v>996</v>
      </c>
      <c r="M2494" s="973" t="s">
        <v>2000</v>
      </c>
      <c r="N2494" s="973" t="s">
        <v>2001</v>
      </c>
      <c r="O2494" s="973" t="s">
        <v>1971</v>
      </c>
      <c r="P2494" s="973" t="s">
        <v>999</v>
      </c>
      <c r="Q2494" s="973" t="s">
        <v>1000</v>
      </c>
      <c r="R2494" s="973" t="s">
        <v>1001</v>
      </c>
      <c r="S2494" s="973" t="s">
        <v>1002</v>
      </c>
      <c r="AE2494" s="423" t="str">
        <f t="shared" si="38"/>
        <v/>
      </c>
    </row>
    <row r="2495" spans="4:31" x14ac:dyDescent="0.25">
      <c r="D2495" s="973" t="s">
        <v>990</v>
      </c>
      <c r="E2495" s="973" t="s">
        <v>991</v>
      </c>
      <c r="F2495" s="973" t="s">
        <v>992</v>
      </c>
      <c r="G2495" s="973" t="s">
        <v>1997</v>
      </c>
      <c r="H2495" s="973" t="s">
        <v>1998</v>
      </c>
      <c r="I2495" s="973" t="s">
        <v>1999</v>
      </c>
      <c r="J2495" s="973" t="s">
        <v>697</v>
      </c>
      <c r="K2495" s="973" t="s">
        <v>995</v>
      </c>
      <c r="L2495" s="973" t="s">
        <v>996</v>
      </c>
      <c r="M2495" s="973" t="s">
        <v>2000</v>
      </c>
      <c r="N2495" s="973" t="s">
        <v>2001</v>
      </c>
      <c r="O2495" s="973" t="s">
        <v>1971</v>
      </c>
      <c r="P2495" s="973" t="s">
        <v>999</v>
      </c>
      <c r="Q2495" s="973" t="s">
        <v>1000</v>
      </c>
      <c r="R2495" s="973" t="s">
        <v>1001</v>
      </c>
      <c r="S2495" s="973" t="s">
        <v>1002</v>
      </c>
      <c r="AE2495" s="423" t="str">
        <f t="shared" si="38"/>
        <v/>
      </c>
    </row>
    <row r="2496" spans="4:31" x14ac:dyDescent="0.25">
      <c r="D2496" s="973" t="s">
        <v>990</v>
      </c>
      <c r="E2496" s="973" t="s">
        <v>991</v>
      </c>
      <c r="F2496" s="973" t="s">
        <v>992</v>
      </c>
      <c r="G2496" s="973" t="s">
        <v>1997</v>
      </c>
      <c r="H2496" s="973" t="s">
        <v>1998</v>
      </c>
      <c r="I2496" s="973" t="s">
        <v>1999</v>
      </c>
      <c r="J2496" s="973" t="s">
        <v>697</v>
      </c>
      <c r="K2496" s="973" t="s">
        <v>995</v>
      </c>
      <c r="L2496" s="973" t="s">
        <v>996</v>
      </c>
      <c r="M2496" s="973" t="s">
        <v>2000</v>
      </c>
      <c r="N2496" s="973" t="s">
        <v>2001</v>
      </c>
      <c r="O2496" s="973" t="s">
        <v>1971</v>
      </c>
      <c r="P2496" s="973" t="s">
        <v>999</v>
      </c>
      <c r="Q2496" s="973" t="s">
        <v>1000</v>
      </c>
      <c r="R2496" s="973" t="s">
        <v>1001</v>
      </c>
      <c r="S2496" s="973" t="s">
        <v>1002</v>
      </c>
      <c r="AE2496" s="423" t="str">
        <f t="shared" si="38"/>
        <v/>
      </c>
    </row>
    <row r="2497" spans="4:31" x14ac:dyDescent="0.25">
      <c r="D2497" s="973" t="s">
        <v>990</v>
      </c>
      <c r="E2497" s="973" t="s">
        <v>991</v>
      </c>
      <c r="F2497" s="973" t="s">
        <v>992</v>
      </c>
      <c r="G2497" s="973" t="s">
        <v>1997</v>
      </c>
      <c r="H2497" s="973" t="s">
        <v>1998</v>
      </c>
      <c r="I2497" s="973" t="s">
        <v>1999</v>
      </c>
      <c r="J2497" s="973" t="s">
        <v>697</v>
      </c>
      <c r="K2497" s="973" t="s">
        <v>995</v>
      </c>
      <c r="L2497" s="973" t="s">
        <v>996</v>
      </c>
      <c r="M2497" s="973" t="s">
        <v>2000</v>
      </c>
      <c r="N2497" s="973" t="s">
        <v>2001</v>
      </c>
      <c r="O2497" s="973" t="s">
        <v>1971</v>
      </c>
      <c r="P2497" s="973" t="s">
        <v>999</v>
      </c>
      <c r="Q2497" s="973" t="s">
        <v>1000</v>
      </c>
      <c r="R2497" s="973" t="s">
        <v>1001</v>
      </c>
      <c r="S2497" s="973" t="s">
        <v>1002</v>
      </c>
      <c r="AE2497" s="423" t="str">
        <f t="shared" si="38"/>
        <v/>
      </c>
    </row>
    <row r="2498" spans="4:31" x14ac:dyDescent="0.25">
      <c r="D2498" s="973" t="s">
        <v>990</v>
      </c>
      <c r="E2498" s="973" t="s">
        <v>991</v>
      </c>
      <c r="F2498" s="973" t="s">
        <v>992</v>
      </c>
      <c r="G2498" s="973" t="s">
        <v>1997</v>
      </c>
      <c r="H2498" s="973" t="s">
        <v>1998</v>
      </c>
      <c r="I2498" s="973" t="s">
        <v>1999</v>
      </c>
      <c r="J2498" s="973" t="s">
        <v>697</v>
      </c>
      <c r="K2498" s="973" t="s">
        <v>995</v>
      </c>
      <c r="L2498" s="973" t="s">
        <v>996</v>
      </c>
      <c r="M2498" s="973" t="s">
        <v>2000</v>
      </c>
      <c r="N2498" s="973" t="s">
        <v>2001</v>
      </c>
      <c r="O2498" s="973" t="s">
        <v>1971</v>
      </c>
      <c r="P2498" s="973" t="s">
        <v>999</v>
      </c>
      <c r="Q2498" s="973" t="s">
        <v>1000</v>
      </c>
      <c r="R2498" s="973" t="s">
        <v>1001</v>
      </c>
      <c r="S2498" s="973" t="s">
        <v>1002</v>
      </c>
      <c r="AE2498" s="423" t="str">
        <f t="shared" si="38"/>
        <v/>
      </c>
    </row>
    <row r="2499" spans="4:31" x14ac:dyDescent="0.25">
      <c r="D2499" s="973" t="s">
        <v>990</v>
      </c>
      <c r="E2499" s="973" t="s">
        <v>991</v>
      </c>
      <c r="F2499" s="973" t="s">
        <v>992</v>
      </c>
      <c r="G2499" s="973" t="s">
        <v>1997</v>
      </c>
      <c r="H2499" s="973" t="s">
        <v>1998</v>
      </c>
      <c r="I2499" s="973" t="s">
        <v>1999</v>
      </c>
      <c r="J2499" s="973" t="s">
        <v>697</v>
      </c>
      <c r="K2499" s="973" t="s">
        <v>995</v>
      </c>
      <c r="L2499" s="973" t="s">
        <v>996</v>
      </c>
      <c r="M2499" s="973" t="s">
        <v>2000</v>
      </c>
      <c r="N2499" s="973" t="s">
        <v>2001</v>
      </c>
      <c r="O2499" s="973" t="s">
        <v>1971</v>
      </c>
      <c r="P2499" s="973" t="s">
        <v>999</v>
      </c>
      <c r="Q2499" s="973" t="s">
        <v>1000</v>
      </c>
      <c r="R2499" s="973" t="s">
        <v>1001</v>
      </c>
      <c r="S2499" s="973" t="s">
        <v>1002</v>
      </c>
      <c r="AE2499" s="423" t="str">
        <f t="shared" ref="AE2499:AE2562" si="39">B2499&amp;C2499</f>
        <v/>
      </c>
    </row>
    <row r="2500" spans="4:31" x14ac:dyDescent="0.25">
      <c r="D2500" s="973" t="s">
        <v>990</v>
      </c>
      <c r="E2500" s="973" t="s">
        <v>991</v>
      </c>
      <c r="F2500" s="973" t="s">
        <v>992</v>
      </c>
      <c r="G2500" s="973" t="s">
        <v>1997</v>
      </c>
      <c r="H2500" s="973" t="s">
        <v>1998</v>
      </c>
      <c r="I2500" s="973" t="s">
        <v>1999</v>
      </c>
      <c r="J2500" s="973" t="s">
        <v>697</v>
      </c>
      <c r="K2500" s="973" t="s">
        <v>995</v>
      </c>
      <c r="L2500" s="973" t="s">
        <v>996</v>
      </c>
      <c r="M2500" s="973" t="s">
        <v>2000</v>
      </c>
      <c r="N2500" s="973" t="s">
        <v>2001</v>
      </c>
      <c r="O2500" s="973" t="s">
        <v>1971</v>
      </c>
      <c r="P2500" s="973" t="s">
        <v>999</v>
      </c>
      <c r="Q2500" s="973" t="s">
        <v>1000</v>
      </c>
      <c r="R2500" s="973" t="s">
        <v>1001</v>
      </c>
      <c r="S2500" s="973" t="s">
        <v>1002</v>
      </c>
      <c r="AE2500" s="423" t="str">
        <f t="shared" si="39"/>
        <v/>
      </c>
    </row>
    <row r="2501" spans="4:31" x14ac:dyDescent="0.25">
      <c r="D2501" s="973" t="s">
        <v>990</v>
      </c>
      <c r="E2501" s="973" t="s">
        <v>991</v>
      </c>
      <c r="F2501" s="973" t="s">
        <v>992</v>
      </c>
      <c r="G2501" s="973" t="s">
        <v>1997</v>
      </c>
      <c r="H2501" s="973" t="s">
        <v>1998</v>
      </c>
      <c r="I2501" s="973" t="s">
        <v>1999</v>
      </c>
      <c r="J2501" s="973" t="s">
        <v>697</v>
      </c>
      <c r="K2501" s="973" t="s">
        <v>995</v>
      </c>
      <c r="L2501" s="973" t="s">
        <v>996</v>
      </c>
      <c r="M2501" s="973" t="s">
        <v>2000</v>
      </c>
      <c r="N2501" s="973" t="s">
        <v>2001</v>
      </c>
      <c r="O2501" s="973" t="s">
        <v>1971</v>
      </c>
      <c r="P2501" s="973" t="s">
        <v>999</v>
      </c>
      <c r="Q2501" s="973" t="s">
        <v>1000</v>
      </c>
      <c r="R2501" s="973" t="s">
        <v>1001</v>
      </c>
      <c r="S2501" s="973" t="s">
        <v>1002</v>
      </c>
      <c r="AE2501" s="423" t="str">
        <f t="shared" si="39"/>
        <v/>
      </c>
    </row>
    <row r="2502" spans="4:31" x14ac:dyDescent="0.25">
      <c r="D2502" s="973" t="s">
        <v>990</v>
      </c>
      <c r="E2502" s="973" t="s">
        <v>991</v>
      </c>
      <c r="F2502" s="973" t="s">
        <v>992</v>
      </c>
      <c r="G2502" s="973" t="s">
        <v>1997</v>
      </c>
      <c r="H2502" s="973" t="s">
        <v>1998</v>
      </c>
      <c r="I2502" s="973" t="s">
        <v>1999</v>
      </c>
      <c r="J2502" s="973" t="s">
        <v>697</v>
      </c>
      <c r="K2502" s="973" t="s">
        <v>995</v>
      </c>
      <c r="L2502" s="973" t="s">
        <v>996</v>
      </c>
      <c r="M2502" s="973" t="s">
        <v>2000</v>
      </c>
      <c r="N2502" s="973" t="s">
        <v>2001</v>
      </c>
      <c r="O2502" s="973" t="s">
        <v>1971</v>
      </c>
      <c r="P2502" s="973" t="s">
        <v>999</v>
      </c>
      <c r="Q2502" s="973" t="s">
        <v>1000</v>
      </c>
      <c r="R2502" s="973" t="s">
        <v>1001</v>
      </c>
      <c r="S2502" s="973" t="s">
        <v>1002</v>
      </c>
      <c r="AE2502" s="423" t="str">
        <f t="shared" si="39"/>
        <v/>
      </c>
    </row>
    <row r="2503" spans="4:31" x14ac:dyDescent="0.25">
      <c r="D2503" s="973" t="s">
        <v>990</v>
      </c>
      <c r="E2503" s="973" t="s">
        <v>991</v>
      </c>
      <c r="F2503" s="973" t="s">
        <v>992</v>
      </c>
      <c r="G2503" s="973" t="s">
        <v>1997</v>
      </c>
      <c r="H2503" s="973" t="s">
        <v>1998</v>
      </c>
      <c r="I2503" s="973" t="s">
        <v>1999</v>
      </c>
      <c r="J2503" s="973" t="s">
        <v>697</v>
      </c>
      <c r="K2503" s="973" t="s">
        <v>995</v>
      </c>
      <c r="L2503" s="973" t="s">
        <v>996</v>
      </c>
      <c r="M2503" s="973" t="s">
        <v>2000</v>
      </c>
      <c r="N2503" s="973" t="s">
        <v>2001</v>
      </c>
      <c r="O2503" s="973" t="s">
        <v>1971</v>
      </c>
      <c r="P2503" s="973" t="s">
        <v>999</v>
      </c>
      <c r="Q2503" s="973" t="s">
        <v>1000</v>
      </c>
      <c r="R2503" s="973" t="s">
        <v>1001</v>
      </c>
      <c r="S2503" s="973" t="s">
        <v>1002</v>
      </c>
      <c r="AE2503" s="423" t="str">
        <f t="shared" si="39"/>
        <v/>
      </c>
    </row>
    <row r="2504" spans="4:31" x14ac:dyDescent="0.25">
      <c r="D2504" s="973" t="s">
        <v>990</v>
      </c>
      <c r="E2504" s="973" t="s">
        <v>991</v>
      </c>
      <c r="F2504" s="973" t="s">
        <v>992</v>
      </c>
      <c r="G2504" s="973" t="s">
        <v>1997</v>
      </c>
      <c r="H2504" s="973" t="s">
        <v>1998</v>
      </c>
      <c r="I2504" s="973" t="s">
        <v>1999</v>
      </c>
      <c r="J2504" s="973" t="s">
        <v>697</v>
      </c>
      <c r="K2504" s="973" t="s">
        <v>995</v>
      </c>
      <c r="L2504" s="973" t="s">
        <v>996</v>
      </c>
      <c r="M2504" s="973" t="s">
        <v>2000</v>
      </c>
      <c r="N2504" s="973" t="s">
        <v>2001</v>
      </c>
      <c r="O2504" s="973" t="s">
        <v>1971</v>
      </c>
      <c r="P2504" s="973" t="s">
        <v>999</v>
      </c>
      <c r="Q2504" s="973" t="s">
        <v>1000</v>
      </c>
      <c r="R2504" s="973" t="s">
        <v>1001</v>
      </c>
      <c r="S2504" s="973" t="s">
        <v>1002</v>
      </c>
      <c r="AE2504" s="423" t="str">
        <f t="shared" si="39"/>
        <v/>
      </c>
    </row>
    <row r="2505" spans="4:31" x14ac:dyDescent="0.25">
      <c r="D2505" s="973" t="s">
        <v>990</v>
      </c>
      <c r="E2505" s="973" t="s">
        <v>991</v>
      </c>
      <c r="F2505" s="973" t="s">
        <v>992</v>
      </c>
      <c r="G2505" s="973" t="s">
        <v>1997</v>
      </c>
      <c r="H2505" s="973" t="s">
        <v>1998</v>
      </c>
      <c r="I2505" s="973" t="s">
        <v>1999</v>
      </c>
      <c r="J2505" s="973" t="s">
        <v>697</v>
      </c>
      <c r="K2505" s="973" t="s">
        <v>995</v>
      </c>
      <c r="L2505" s="973" t="s">
        <v>996</v>
      </c>
      <c r="M2505" s="973" t="s">
        <v>2000</v>
      </c>
      <c r="N2505" s="973" t="s">
        <v>2001</v>
      </c>
      <c r="O2505" s="973" t="s">
        <v>1971</v>
      </c>
      <c r="P2505" s="973" t="s">
        <v>999</v>
      </c>
      <c r="Q2505" s="973" t="s">
        <v>1000</v>
      </c>
      <c r="R2505" s="973" t="s">
        <v>1001</v>
      </c>
      <c r="S2505" s="973" t="s">
        <v>1002</v>
      </c>
      <c r="AE2505" s="423" t="str">
        <f t="shared" si="39"/>
        <v/>
      </c>
    </row>
    <row r="2506" spans="4:31" x14ac:dyDescent="0.25">
      <c r="D2506" s="973" t="s">
        <v>990</v>
      </c>
      <c r="E2506" s="973" t="s">
        <v>991</v>
      </c>
      <c r="F2506" s="973" t="s">
        <v>992</v>
      </c>
      <c r="G2506" s="973" t="s">
        <v>1997</v>
      </c>
      <c r="H2506" s="973" t="s">
        <v>1998</v>
      </c>
      <c r="I2506" s="973" t="s">
        <v>1999</v>
      </c>
      <c r="J2506" s="973" t="s">
        <v>697</v>
      </c>
      <c r="K2506" s="973" t="s">
        <v>995</v>
      </c>
      <c r="L2506" s="973" t="s">
        <v>996</v>
      </c>
      <c r="M2506" s="973" t="s">
        <v>2000</v>
      </c>
      <c r="N2506" s="973" t="s">
        <v>2001</v>
      </c>
      <c r="O2506" s="973" t="s">
        <v>1971</v>
      </c>
      <c r="P2506" s="973" t="s">
        <v>999</v>
      </c>
      <c r="Q2506" s="973" t="s">
        <v>1000</v>
      </c>
      <c r="R2506" s="973" t="s">
        <v>1001</v>
      </c>
      <c r="S2506" s="973" t="s">
        <v>1002</v>
      </c>
      <c r="AE2506" s="423" t="str">
        <f t="shared" si="39"/>
        <v/>
      </c>
    </row>
    <row r="2507" spans="4:31" x14ac:dyDescent="0.25">
      <c r="D2507" s="973" t="s">
        <v>990</v>
      </c>
      <c r="E2507" s="973" t="s">
        <v>991</v>
      </c>
      <c r="F2507" s="973" t="s">
        <v>992</v>
      </c>
      <c r="G2507" s="973" t="s">
        <v>1997</v>
      </c>
      <c r="H2507" s="973" t="s">
        <v>1998</v>
      </c>
      <c r="I2507" s="973" t="s">
        <v>1999</v>
      </c>
      <c r="J2507" s="973" t="s">
        <v>697</v>
      </c>
      <c r="K2507" s="973" t="s">
        <v>995</v>
      </c>
      <c r="L2507" s="973" t="s">
        <v>996</v>
      </c>
      <c r="M2507" s="973" t="s">
        <v>2000</v>
      </c>
      <c r="N2507" s="973" t="s">
        <v>2001</v>
      </c>
      <c r="O2507" s="973" t="s">
        <v>1971</v>
      </c>
      <c r="P2507" s="973" t="s">
        <v>999</v>
      </c>
      <c r="Q2507" s="973" t="s">
        <v>1000</v>
      </c>
      <c r="R2507" s="973" t="s">
        <v>1001</v>
      </c>
      <c r="S2507" s="973" t="s">
        <v>1002</v>
      </c>
      <c r="AE2507" s="423" t="str">
        <f t="shared" si="39"/>
        <v/>
      </c>
    </row>
    <row r="2508" spans="4:31" x14ac:dyDescent="0.25">
      <c r="D2508" s="973" t="s">
        <v>990</v>
      </c>
      <c r="E2508" s="973" t="s">
        <v>991</v>
      </c>
      <c r="F2508" s="973" t="s">
        <v>992</v>
      </c>
      <c r="G2508" s="973" t="s">
        <v>1997</v>
      </c>
      <c r="H2508" s="973" t="s">
        <v>1998</v>
      </c>
      <c r="I2508" s="973" t="s">
        <v>1999</v>
      </c>
      <c r="J2508" s="973" t="s">
        <v>697</v>
      </c>
      <c r="K2508" s="973" t="s">
        <v>995</v>
      </c>
      <c r="L2508" s="973" t="s">
        <v>996</v>
      </c>
      <c r="M2508" s="973" t="s">
        <v>2000</v>
      </c>
      <c r="N2508" s="973" t="s">
        <v>2001</v>
      </c>
      <c r="O2508" s="973" t="s">
        <v>1971</v>
      </c>
      <c r="P2508" s="973" t="s">
        <v>999</v>
      </c>
      <c r="Q2508" s="973" t="s">
        <v>1000</v>
      </c>
      <c r="R2508" s="973" t="s">
        <v>1001</v>
      </c>
      <c r="S2508" s="973" t="s">
        <v>1002</v>
      </c>
      <c r="AE2508" s="423" t="str">
        <f t="shared" si="39"/>
        <v/>
      </c>
    </row>
    <row r="2509" spans="4:31" x14ac:dyDescent="0.25">
      <c r="D2509" s="973" t="s">
        <v>990</v>
      </c>
      <c r="E2509" s="973" t="s">
        <v>991</v>
      </c>
      <c r="F2509" s="973" t="s">
        <v>992</v>
      </c>
      <c r="G2509" s="973" t="s">
        <v>1997</v>
      </c>
      <c r="H2509" s="973" t="s">
        <v>1998</v>
      </c>
      <c r="I2509" s="973" t="s">
        <v>1999</v>
      </c>
      <c r="J2509" s="973" t="s">
        <v>697</v>
      </c>
      <c r="K2509" s="973" t="s">
        <v>995</v>
      </c>
      <c r="L2509" s="973" t="s">
        <v>996</v>
      </c>
      <c r="M2509" s="973" t="s">
        <v>2000</v>
      </c>
      <c r="N2509" s="973" t="s">
        <v>2001</v>
      </c>
      <c r="O2509" s="973" t="s">
        <v>1971</v>
      </c>
      <c r="P2509" s="973" t="s">
        <v>999</v>
      </c>
      <c r="Q2509" s="973" t="s">
        <v>1000</v>
      </c>
      <c r="R2509" s="973" t="s">
        <v>1001</v>
      </c>
      <c r="S2509" s="973" t="s">
        <v>1002</v>
      </c>
      <c r="AE2509" s="423" t="str">
        <f t="shared" si="39"/>
        <v/>
      </c>
    </row>
    <row r="2510" spans="4:31" x14ac:dyDescent="0.25">
      <c r="D2510" s="973" t="s">
        <v>990</v>
      </c>
      <c r="E2510" s="973" t="s">
        <v>991</v>
      </c>
      <c r="F2510" s="973" t="s">
        <v>992</v>
      </c>
      <c r="G2510" s="973" t="s">
        <v>1997</v>
      </c>
      <c r="H2510" s="973" t="s">
        <v>1998</v>
      </c>
      <c r="I2510" s="973" t="s">
        <v>1999</v>
      </c>
      <c r="J2510" s="973" t="s">
        <v>697</v>
      </c>
      <c r="K2510" s="973" t="s">
        <v>995</v>
      </c>
      <c r="L2510" s="973" t="s">
        <v>996</v>
      </c>
      <c r="M2510" s="973" t="s">
        <v>2000</v>
      </c>
      <c r="N2510" s="973" t="s">
        <v>2001</v>
      </c>
      <c r="O2510" s="973" t="s">
        <v>1971</v>
      </c>
      <c r="P2510" s="973" t="s">
        <v>999</v>
      </c>
      <c r="Q2510" s="973" t="s">
        <v>1000</v>
      </c>
      <c r="R2510" s="973" t="s">
        <v>1001</v>
      </c>
      <c r="S2510" s="973" t="s">
        <v>1002</v>
      </c>
      <c r="AE2510" s="423" t="str">
        <f t="shared" si="39"/>
        <v/>
      </c>
    </row>
    <row r="2511" spans="4:31" x14ac:dyDescent="0.25">
      <c r="D2511" s="973" t="s">
        <v>990</v>
      </c>
      <c r="E2511" s="973" t="s">
        <v>991</v>
      </c>
      <c r="F2511" s="973" t="s">
        <v>992</v>
      </c>
      <c r="G2511" s="973" t="s">
        <v>1997</v>
      </c>
      <c r="H2511" s="973" t="s">
        <v>1998</v>
      </c>
      <c r="I2511" s="973" t="s">
        <v>1999</v>
      </c>
      <c r="J2511" s="973" t="s">
        <v>697</v>
      </c>
      <c r="K2511" s="973" t="s">
        <v>995</v>
      </c>
      <c r="L2511" s="973" t="s">
        <v>996</v>
      </c>
      <c r="M2511" s="973" t="s">
        <v>2000</v>
      </c>
      <c r="N2511" s="973" t="s">
        <v>2001</v>
      </c>
      <c r="O2511" s="973" t="s">
        <v>1971</v>
      </c>
      <c r="P2511" s="973" t="s">
        <v>999</v>
      </c>
      <c r="Q2511" s="973" t="s">
        <v>1000</v>
      </c>
      <c r="R2511" s="973" t="s">
        <v>1001</v>
      </c>
      <c r="S2511" s="973" t="s">
        <v>1002</v>
      </c>
      <c r="AE2511" s="423" t="str">
        <f t="shared" si="39"/>
        <v/>
      </c>
    </row>
    <row r="2512" spans="4:31" x14ac:dyDescent="0.25">
      <c r="D2512" s="973" t="s">
        <v>990</v>
      </c>
      <c r="E2512" s="973" t="s">
        <v>991</v>
      </c>
      <c r="F2512" s="973" t="s">
        <v>992</v>
      </c>
      <c r="G2512" s="973" t="s">
        <v>1997</v>
      </c>
      <c r="H2512" s="973" t="s">
        <v>1998</v>
      </c>
      <c r="I2512" s="973" t="s">
        <v>1999</v>
      </c>
      <c r="J2512" s="973" t="s">
        <v>697</v>
      </c>
      <c r="K2512" s="973" t="s">
        <v>995</v>
      </c>
      <c r="L2512" s="973" t="s">
        <v>996</v>
      </c>
      <c r="M2512" s="973" t="s">
        <v>2000</v>
      </c>
      <c r="N2512" s="973" t="s">
        <v>2001</v>
      </c>
      <c r="O2512" s="973" t="s">
        <v>1971</v>
      </c>
      <c r="P2512" s="973" t="s">
        <v>999</v>
      </c>
      <c r="Q2512" s="973" t="s">
        <v>1000</v>
      </c>
      <c r="R2512" s="973" t="s">
        <v>1001</v>
      </c>
      <c r="S2512" s="973" t="s">
        <v>1002</v>
      </c>
      <c r="AE2512" s="423" t="str">
        <f t="shared" si="39"/>
        <v/>
      </c>
    </row>
    <row r="2513" spans="4:31" x14ac:dyDescent="0.25">
      <c r="D2513" s="973" t="s">
        <v>990</v>
      </c>
      <c r="E2513" s="973" t="s">
        <v>991</v>
      </c>
      <c r="F2513" s="973" t="s">
        <v>992</v>
      </c>
      <c r="G2513" s="973" t="s">
        <v>1997</v>
      </c>
      <c r="H2513" s="973" t="s">
        <v>1998</v>
      </c>
      <c r="I2513" s="973" t="s">
        <v>1999</v>
      </c>
      <c r="J2513" s="973" t="s">
        <v>697</v>
      </c>
      <c r="K2513" s="973" t="s">
        <v>995</v>
      </c>
      <c r="L2513" s="973" t="s">
        <v>996</v>
      </c>
      <c r="M2513" s="973" t="s">
        <v>2000</v>
      </c>
      <c r="N2513" s="973" t="s">
        <v>2001</v>
      </c>
      <c r="O2513" s="973" t="s">
        <v>1971</v>
      </c>
      <c r="P2513" s="973" t="s">
        <v>999</v>
      </c>
      <c r="Q2513" s="973" t="s">
        <v>1000</v>
      </c>
      <c r="R2513" s="973" t="s">
        <v>1001</v>
      </c>
      <c r="S2513" s="973" t="s">
        <v>1002</v>
      </c>
      <c r="AE2513" s="423" t="str">
        <f t="shared" si="39"/>
        <v/>
      </c>
    </row>
    <row r="2514" spans="4:31" x14ac:dyDescent="0.25">
      <c r="D2514" s="973" t="s">
        <v>990</v>
      </c>
      <c r="E2514" s="973" t="s">
        <v>991</v>
      </c>
      <c r="F2514" s="973" t="s">
        <v>992</v>
      </c>
      <c r="G2514" s="973" t="s">
        <v>1997</v>
      </c>
      <c r="H2514" s="973" t="s">
        <v>1998</v>
      </c>
      <c r="I2514" s="973" t="s">
        <v>1999</v>
      </c>
      <c r="J2514" s="973" t="s">
        <v>697</v>
      </c>
      <c r="K2514" s="973" t="s">
        <v>995</v>
      </c>
      <c r="L2514" s="973" t="s">
        <v>996</v>
      </c>
      <c r="M2514" s="973" t="s">
        <v>2000</v>
      </c>
      <c r="N2514" s="973" t="s">
        <v>2001</v>
      </c>
      <c r="O2514" s="973" t="s">
        <v>1971</v>
      </c>
      <c r="P2514" s="973" t="s">
        <v>999</v>
      </c>
      <c r="Q2514" s="973" t="s">
        <v>1000</v>
      </c>
      <c r="R2514" s="973" t="s">
        <v>1001</v>
      </c>
      <c r="S2514" s="973" t="s">
        <v>1002</v>
      </c>
      <c r="AE2514" s="423" t="str">
        <f t="shared" si="39"/>
        <v/>
      </c>
    </row>
    <row r="2515" spans="4:31" x14ac:dyDescent="0.25">
      <c r="D2515" s="973" t="s">
        <v>990</v>
      </c>
      <c r="E2515" s="973" t="s">
        <v>991</v>
      </c>
      <c r="F2515" s="973" t="s">
        <v>992</v>
      </c>
      <c r="G2515" s="973" t="s">
        <v>1997</v>
      </c>
      <c r="H2515" s="973" t="s">
        <v>1998</v>
      </c>
      <c r="I2515" s="973" t="s">
        <v>1999</v>
      </c>
      <c r="J2515" s="973" t="s">
        <v>697</v>
      </c>
      <c r="K2515" s="973" t="s">
        <v>995</v>
      </c>
      <c r="L2515" s="973" t="s">
        <v>996</v>
      </c>
      <c r="M2515" s="973" t="s">
        <v>2000</v>
      </c>
      <c r="N2515" s="973" t="s">
        <v>2001</v>
      </c>
      <c r="O2515" s="973" t="s">
        <v>1971</v>
      </c>
      <c r="P2515" s="973" t="s">
        <v>999</v>
      </c>
      <c r="Q2515" s="973" t="s">
        <v>1000</v>
      </c>
      <c r="R2515" s="973" t="s">
        <v>1001</v>
      </c>
      <c r="S2515" s="973" t="s">
        <v>1002</v>
      </c>
      <c r="AE2515" s="423" t="str">
        <f t="shared" si="39"/>
        <v/>
      </c>
    </row>
    <row r="2516" spans="4:31" x14ac:dyDescent="0.25">
      <c r="D2516" s="973" t="s">
        <v>990</v>
      </c>
      <c r="E2516" s="973" t="s">
        <v>991</v>
      </c>
      <c r="F2516" s="973" t="s">
        <v>992</v>
      </c>
      <c r="G2516" s="973" t="s">
        <v>1997</v>
      </c>
      <c r="H2516" s="973" t="s">
        <v>1998</v>
      </c>
      <c r="I2516" s="973" t="s">
        <v>1999</v>
      </c>
      <c r="J2516" s="973" t="s">
        <v>697</v>
      </c>
      <c r="K2516" s="973" t="s">
        <v>995</v>
      </c>
      <c r="L2516" s="973" t="s">
        <v>996</v>
      </c>
      <c r="M2516" s="973" t="s">
        <v>2000</v>
      </c>
      <c r="N2516" s="973" t="s">
        <v>2001</v>
      </c>
      <c r="O2516" s="973" t="s">
        <v>1971</v>
      </c>
      <c r="P2516" s="973" t="s">
        <v>999</v>
      </c>
      <c r="Q2516" s="973" t="s">
        <v>1000</v>
      </c>
      <c r="R2516" s="973" t="s">
        <v>1001</v>
      </c>
      <c r="S2516" s="973" t="s">
        <v>1002</v>
      </c>
      <c r="AE2516" s="423" t="str">
        <f t="shared" si="39"/>
        <v/>
      </c>
    </row>
    <row r="2517" spans="4:31" x14ac:dyDescent="0.25">
      <c r="D2517" s="973" t="s">
        <v>990</v>
      </c>
      <c r="E2517" s="973" t="s">
        <v>991</v>
      </c>
      <c r="F2517" s="973" t="s">
        <v>992</v>
      </c>
      <c r="G2517" s="973" t="s">
        <v>1997</v>
      </c>
      <c r="H2517" s="973" t="s">
        <v>1998</v>
      </c>
      <c r="I2517" s="973" t="s">
        <v>1999</v>
      </c>
      <c r="J2517" s="973" t="s">
        <v>697</v>
      </c>
      <c r="K2517" s="973" t="s">
        <v>995</v>
      </c>
      <c r="L2517" s="973" t="s">
        <v>996</v>
      </c>
      <c r="M2517" s="973" t="s">
        <v>2000</v>
      </c>
      <c r="N2517" s="973" t="s">
        <v>2001</v>
      </c>
      <c r="O2517" s="973" t="s">
        <v>1971</v>
      </c>
      <c r="P2517" s="973" t="s">
        <v>999</v>
      </c>
      <c r="Q2517" s="973" t="s">
        <v>1000</v>
      </c>
      <c r="R2517" s="973" t="s">
        <v>1001</v>
      </c>
      <c r="S2517" s="973" t="s">
        <v>1002</v>
      </c>
      <c r="AE2517" s="423" t="str">
        <f t="shared" si="39"/>
        <v/>
      </c>
    </row>
    <row r="2518" spans="4:31" x14ac:dyDescent="0.25">
      <c r="D2518" s="973" t="s">
        <v>990</v>
      </c>
      <c r="E2518" s="973" t="s">
        <v>991</v>
      </c>
      <c r="F2518" s="973" t="s">
        <v>992</v>
      </c>
      <c r="G2518" s="973" t="s">
        <v>1997</v>
      </c>
      <c r="H2518" s="973" t="s">
        <v>1998</v>
      </c>
      <c r="I2518" s="973" t="s">
        <v>1999</v>
      </c>
      <c r="J2518" s="973" t="s">
        <v>697</v>
      </c>
      <c r="K2518" s="973" t="s">
        <v>995</v>
      </c>
      <c r="L2518" s="973" t="s">
        <v>996</v>
      </c>
      <c r="M2518" s="973" t="s">
        <v>2000</v>
      </c>
      <c r="N2518" s="973" t="s">
        <v>2001</v>
      </c>
      <c r="O2518" s="973" t="s">
        <v>1971</v>
      </c>
      <c r="P2518" s="973" t="s">
        <v>999</v>
      </c>
      <c r="Q2518" s="973" t="s">
        <v>1000</v>
      </c>
      <c r="R2518" s="973" t="s">
        <v>1001</v>
      </c>
      <c r="S2518" s="973" t="s">
        <v>1002</v>
      </c>
      <c r="AE2518" s="423" t="str">
        <f t="shared" si="39"/>
        <v/>
      </c>
    </row>
    <row r="2519" spans="4:31" x14ac:dyDescent="0.25">
      <c r="D2519" s="973" t="s">
        <v>990</v>
      </c>
      <c r="E2519" s="973" t="s">
        <v>991</v>
      </c>
      <c r="F2519" s="973" t="s">
        <v>992</v>
      </c>
      <c r="G2519" s="973" t="s">
        <v>1997</v>
      </c>
      <c r="H2519" s="973" t="s">
        <v>1998</v>
      </c>
      <c r="I2519" s="973" t="s">
        <v>1999</v>
      </c>
      <c r="J2519" s="973" t="s">
        <v>697</v>
      </c>
      <c r="K2519" s="973" t="s">
        <v>995</v>
      </c>
      <c r="L2519" s="973" t="s">
        <v>996</v>
      </c>
      <c r="M2519" s="973" t="s">
        <v>2000</v>
      </c>
      <c r="N2519" s="973" t="s">
        <v>2001</v>
      </c>
      <c r="O2519" s="973" t="s">
        <v>1971</v>
      </c>
      <c r="P2519" s="973" t="s">
        <v>999</v>
      </c>
      <c r="Q2519" s="973" t="s">
        <v>1000</v>
      </c>
      <c r="R2519" s="973" t="s">
        <v>1001</v>
      </c>
      <c r="S2519" s="973" t="s">
        <v>1002</v>
      </c>
      <c r="AE2519" s="423" t="str">
        <f t="shared" si="39"/>
        <v/>
      </c>
    </row>
    <row r="2520" spans="4:31" x14ac:dyDescent="0.25">
      <c r="D2520" s="973" t="s">
        <v>990</v>
      </c>
      <c r="E2520" s="973" t="s">
        <v>991</v>
      </c>
      <c r="F2520" s="973" t="s">
        <v>992</v>
      </c>
      <c r="G2520" s="973" t="s">
        <v>1997</v>
      </c>
      <c r="H2520" s="973" t="s">
        <v>1998</v>
      </c>
      <c r="I2520" s="973" t="s">
        <v>1999</v>
      </c>
      <c r="J2520" s="973" t="s">
        <v>697</v>
      </c>
      <c r="K2520" s="973" t="s">
        <v>995</v>
      </c>
      <c r="L2520" s="973" t="s">
        <v>996</v>
      </c>
      <c r="M2520" s="973" t="s">
        <v>2000</v>
      </c>
      <c r="N2520" s="973" t="s">
        <v>2001</v>
      </c>
      <c r="O2520" s="973" t="s">
        <v>1971</v>
      </c>
      <c r="P2520" s="973" t="s">
        <v>999</v>
      </c>
      <c r="Q2520" s="973" t="s">
        <v>1000</v>
      </c>
      <c r="R2520" s="973" t="s">
        <v>1001</v>
      </c>
      <c r="S2520" s="973" t="s">
        <v>1002</v>
      </c>
      <c r="AE2520" s="423" t="str">
        <f t="shared" si="39"/>
        <v/>
      </c>
    </row>
    <row r="2521" spans="4:31" x14ac:dyDescent="0.25">
      <c r="D2521" s="973" t="s">
        <v>990</v>
      </c>
      <c r="E2521" s="973" t="s">
        <v>991</v>
      </c>
      <c r="F2521" s="973" t="s">
        <v>992</v>
      </c>
      <c r="G2521" s="973" t="s">
        <v>1997</v>
      </c>
      <c r="H2521" s="973" t="s">
        <v>1998</v>
      </c>
      <c r="I2521" s="973" t="s">
        <v>1999</v>
      </c>
      <c r="J2521" s="973" t="s">
        <v>697</v>
      </c>
      <c r="K2521" s="973" t="s">
        <v>995</v>
      </c>
      <c r="L2521" s="973" t="s">
        <v>996</v>
      </c>
      <c r="M2521" s="973" t="s">
        <v>2000</v>
      </c>
      <c r="N2521" s="973" t="s">
        <v>2001</v>
      </c>
      <c r="O2521" s="973" t="s">
        <v>1971</v>
      </c>
      <c r="P2521" s="973" t="s">
        <v>999</v>
      </c>
      <c r="Q2521" s="973" t="s">
        <v>1000</v>
      </c>
      <c r="R2521" s="973" t="s">
        <v>1001</v>
      </c>
      <c r="S2521" s="973" t="s">
        <v>1002</v>
      </c>
      <c r="AE2521" s="423" t="str">
        <f t="shared" si="39"/>
        <v/>
      </c>
    </row>
    <row r="2522" spans="4:31" x14ac:dyDescent="0.25">
      <c r="D2522" s="973" t="s">
        <v>990</v>
      </c>
      <c r="E2522" s="973" t="s">
        <v>991</v>
      </c>
      <c r="F2522" s="973" t="s">
        <v>992</v>
      </c>
      <c r="G2522" s="973" t="s">
        <v>1997</v>
      </c>
      <c r="H2522" s="973" t="s">
        <v>1998</v>
      </c>
      <c r="I2522" s="973" t="s">
        <v>1999</v>
      </c>
      <c r="J2522" s="973" t="s">
        <v>697</v>
      </c>
      <c r="K2522" s="973" t="s">
        <v>995</v>
      </c>
      <c r="L2522" s="973" t="s">
        <v>996</v>
      </c>
      <c r="M2522" s="973" t="s">
        <v>2000</v>
      </c>
      <c r="N2522" s="973" t="s">
        <v>2001</v>
      </c>
      <c r="O2522" s="973" t="s">
        <v>1971</v>
      </c>
      <c r="P2522" s="973" t="s">
        <v>999</v>
      </c>
      <c r="Q2522" s="973" t="s">
        <v>1000</v>
      </c>
      <c r="R2522" s="973" t="s">
        <v>1001</v>
      </c>
      <c r="S2522" s="973" t="s">
        <v>1002</v>
      </c>
      <c r="AE2522" s="423" t="str">
        <f t="shared" si="39"/>
        <v/>
      </c>
    </row>
    <row r="2523" spans="4:31" x14ac:dyDescent="0.25">
      <c r="D2523" s="973" t="s">
        <v>990</v>
      </c>
      <c r="E2523" s="973" t="s">
        <v>991</v>
      </c>
      <c r="F2523" s="973" t="s">
        <v>992</v>
      </c>
      <c r="G2523" s="973" t="s">
        <v>1997</v>
      </c>
      <c r="H2523" s="973" t="s">
        <v>1998</v>
      </c>
      <c r="I2523" s="973" t="s">
        <v>1999</v>
      </c>
      <c r="J2523" s="973" t="s">
        <v>697</v>
      </c>
      <c r="K2523" s="973" t="s">
        <v>995</v>
      </c>
      <c r="L2523" s="973" t="s">
        <v>996</v>
      </c>
      <c r="M2523" s="973" t="s">
        <v>2000</v>
      </c>
      <c r="N2523" s="973" t="s">
        <v>2001</v>
      </c>
      <c r="O2523" s="973" t="s">
        <v>1971</v>
      </c>
      <c r="P2523" s="973" t="s">
        <v>999</v>
      </c>
      <c r="Q2523" s="973" t="s">
        <v>1000</v>
      </c>
      <c r="R2523" s="973" t="s">
        <v>1001</v>
      </c>
      <c r="S2523" s="973" t="s">
        <v>1002</v>
      </c>
      <c r="AE2523" s="423" t="str">
        <f t="shared" si="39"/>
        <v/>
      </c>
    </row>
    <row r="2524" spans="4:31" x14ac:dyDescent="0.25">
      <c r="D2524" s="973" t="s">
        <v>990</v>
      </c>
      <c r="E2524" s="973" t="s">
        <v>991</v>
      </c>
      <c r="F2524" s="973" t="s">
        <v>992</v>
      </c>
      <c r="G2524" s="973" t="s">
        <v>1997</v>
      </c>
      <c r="H2524" s="973" t="s">
        <v>1998</v>
      </c>
      <c r="I2524" s="973" t="s">
        <v>1999</v>
      </c>
      <c r="J2524" s="973" t="s">
        <v>697</v>
      </c>
      <c r="K2524" s="973" t="s">
        <v>995</v>
      </c>
      <c r="L2524" s="973" t="s">
        <v>996</v>
      </c>
      <c r="M2524" s="973" t="s">
        <v>2000</v>
      </c>
      <c r="N2524" s="973" t="s">
        <v>2001</v>
      </c>
      <c r="O2524" s="973" t="s">
        <v>1971</v>
      </c>
      <c r="P2524" s="973" t="s">
        <v>999</v>
      </c>
      <c r="Q2524" s="973" t="s">
        <v>1000</v>
      </c>
      <c r="R2524" s="973" t="s">
        <v>1001</v>
      </c>
      <c r="S2524" s="973" t="s">
        <v>1002</v>
      </c>
      <c r="AE2524" s="423" t="str">
        <f t="shared" si="39"/>
        <v/>
      </c>
    </row>
    <row r="2525" spans="4:31" x14ac:dyDescent="0.25">
      <c r="D2525" s="973" t="s">
        <v>990</v>
      </c>
      <c r="E2525" s="973" t="s">
        <v>991</v>
      </c>
      <c r="F2525" s="973" t="s">
        <v>992</v>
      </c>
      <c r="G2525" s="973" t="s">
        <v>1997</v>
      </c>
      <c r="H2525" s="973" t="s">
        <v>1998</v>
      </c>
      <c r="I2525" s="973" t="s">
        <v>1999</v>
      </c>
      <c r="J2525" s="973" t="s">
        <v>697</v>
      </c>
      <c r="K2525" s="973" t="s">
        <v>995</v>
      </c>
      <c r="L2525" s="973" t="s">
        <v>996</v>
      </c>
      <c r="M2525" s="973" t="s">
        <v>2000</v>
      </c>
      <c r="N2525" s="973" t="s">
        <v>2001</v>
      </c>
      <c r="O2525" s="973" t="s">
        <v>1971</v>
      </c>
      <c r="P2525" s="973" t="s">
        <v>999</v>
      </c>
      <c r="Q2525" s="973" t="s">
        <v>1000</v>
      </c>
      <c r="R2525" s="973" t="s">
        <v>1001</v>
      </c>
      <c r="S2525" s="973" t="s">
        <v>1002</v>
      </c>
      <c r="AE2525" s="423" t="str">
        <f t="shared" si="39"/>
        <v/>
      </c>
    </row>
    <row r="2526" spans="4:31" x14ac:dyDescent="0.25">
      <c r="D2526" s="973" t="s">
        <v>990</v>
      </c>
      <c r="E2526" s="973" t="s">
        <v>991</v>
      </c>
      <c r="F2526" s="973" t="s">
        <v>992</v>
      </c>
      <c r="G2526" s="973" t="s">
        <v>1997</v>
      </c>
      <c r="H2526" s="973" t="s">
        <v>1998</v>
      </c>
      <c r="I2526" s="973" t="s">
        <v>1999</v>
      </c>
      <c r="J2526" s="973" t="s">
        <v>697</v>
      </c>
      <c r="K2526" s="973" t="s">
        <v>995</v>
      </c>
      <c r="L2526" s="973" t="s">
        <v>996</v>
      </c>
      <c r="M2526" s="973" t="s">
        <v>2000</v>
      </c>
      <c r="N2526" s="973" t="s">
        <v>2001</v>
      </c>
      <c r="O2526" s="973" t="s">
        <v>1971</v>
      </c>
      <c r="P2526" s="973" t="s">
        <v>999</v>
      </c>
      <c r="Q2526" s="973" t="s">
        <v>1000</v>
      </c>
      <c r="R2526" s="973" t="s">
        <v>1001</v>
      </c>
      <c r="S2526" s="973" t="s">
        <v>1002</v>
      </c>
      <c r="AE2526" s="423" t="str">
        <f t="shared" si="39"/>
        <v/>
      </c>
    </row>
    <row r="2527" spans="4:31" x14ac:dyDescent="0.25">
      <c r="D2527" s="973" t="s">
        <v>990</v>
      </c>
      <c r="E2527" s="973" t="s">
        <v>991</v>
      </c>
      <c r="F2527" s="973" t="s">
        <v>992</v>
      </c>
      <c r="G2527" s="973" t="s">
        <v>1997</v>
      </c>
      <c r="H2527" s="973" t="s">
        <v>1998</v>
      </c>
      <c r="I2527" s="973" t="s">
        <v>1999</v>
      </c>
      <c r="J2527" s="973" t="s">
        <v>697</v>
      </c>
      <c r="K2527" s="973" t="s">
        <v>995</v>
      </c>
      <c r="L2527" s="973" t="s">
        <v>996</v>
      </c>
      <c r="M2527" s="973" t="s">
        <v>2000</v>
      </c>
      <c r="N2527" s="973" t="s">
        <v>2001</v>
      </c>
      <c r="O2527" s="973" t="s">
        <v>1971</v>
      </c>
      <c r="P2527" s="973" t="s">
        <v>999</v>
      </c>
      <c r="Q2527" s="973" t="s">
        <v>1000</v>
      </c>
      <c r="R2527" s="973" t="s">
        <v>1001</v>
      </c>
      <c r="S2527" s="973" t="s">
        <v>1002</v>
      </c>
      <c r="AE2527" s="423" t="str">
        <f t="shared" si="39"/>
        <v/>
      </c>
    </row>
    <row r="2528" spans="4:31" x14ac:dyDescent="0.25">
      <c r="D2528" s="973" t="s">
        <v>990</v>
      </c>
      <c r="E2528" s="973" t="s">
        <v>991</v>
      </c>
      <c r="F2528" s="973" t="s">
        <v>992</v>
      </c>
      <c r="G2528" s="973" t="s">
        <v>1997</v>
      </c>
      <c r="H2528" s="973" t="s">
        <v>1998</v>
      </c>
      <c r="I2528" s="973" t="s">
        <v>1999</v>
      </c>
      <c r="J2528" s="973" t="s">
        <v>697</v>
      </c>
      <c r="K2528" s="973" t="s">
        <v>995</v>
      </c>
      <c r="L2528" s="973" t="s">
        <v>996</v>
      </c>
      <c r="M2528" s="973" t="s">
        <v>2000</v>
      </c>
      <c r="N2528" s="973" t="s">
        <v>2001</v>
      </c>
      <c r="O2528" s="973" t="s">
        <v>1971</v>
      </c>
      <c r="P2528" s="973" t="s">
        <v>999</v>
      </c>
      <c r="Q2528" s="973" t="s">
        <v>1000</v>
      </c>
      <c r="R2528" s="973" t="s">
        <v>1001</v>
      </c>
      <c r="S2528" s="973" t="s">
        <v>1002</v>
      </c>
      <c r="AE2528" s="423" t="str">
        <f t="shared" si="39"/>
        <v/>
      </c>
    </row>
    <row r="2529" spans="4:31" x14ac:dyDescent="0.25">
      <c r="D2529" s="973" t="s">
        <v>990</v>
      </c>
      <c r="E2529" s="973" t="s">
        <v>991</v>
      </c>
      <c r="F2529" s="973" t="s">
        <v>992</v>
      </c>
      <c r="G2529" s="973" t="s">
        <v>1997</v>
      </c>
      <c r="H2529" s="973" t="s">
        <v>1998</v>
      </c>
      <c r="I2529" s="973" t="s">
        <v>1999</v>
      </c>
      <c r="J2529" s="973" t="s">
        <v>697</v>
      </c>
      <c r="K2529" s="973" t="s">
        <v>995</v>
      </c>
      <c r="L2529" s="973" t="s">
        <v>996</v>
      </c>
      <c r="M2529" s="973" t="s">
        <v>2000</v>
      </c>
      <c r="N2529" s="973" t="s">
        <v>2001</v>
      </c>
      <c r="O2529" s="973" t="s">
        <v>1971</v>
      </c>
      <c r="P2529" s="973" t="s">
        <v>999</v>
      </c>
      <c r="Q2529" s="973" t="s">
        <v>1000</v>
      </c>
      <c r="R2529" s="973" t="s">
        <v>1001</v>
      </c>
      <c r="S2529" s="973" t="s">
        <v>1002</v>
      </c>
      <c r="AE2529" s="423" t="str">
        <f t="shared" si="39"/>
        <v/>
      </c>
    </row>
    <row r="2530" spans="4:31" x14ac:dyDescent="0.25">
      <c r="D2530" s="973" t="s">
        <v>990</v>
      </c>
      <c r="E2530" s="973" t="s">
        <v>991</v>
      </c>
      <c r="F2530" s="973" t="s">
        <v>992</v>
      </c>
      <c r="G2530" s="973" t="s">
        <v>1997</v>
      </c>
      <c r="H2530" s="973" t="s">
        <v>1998</v>
      </c>
      <c r="I2530" s="973" t="s">
        <v>1999</v>
      </c>
      <c r="J2530" s="973" t="s">
        <v>697</v>
      </c>
      <c r="K2530" s="973" t="s">
        <v>995</v>
      </c>
      <c r="L2530" s="973" t="s">
        <v>996</v>
      </c>
      <c r="M2530" s="973" t="s">
        <v>2000</v>
      </c>
      <c r="N2530" s="973" t="s">
        <v>2001</v>
      </c>
      <c r="O2530" s="973" t="s">
        <v>1971</v>
      </c>
      <c r="P2530" s="973" t="s">
        <v>999</v>
      </c>
      <c r="Q2530" s="973" t="s">
        <v>1000</v>
      </c>
      <c r="R2530" s="973" t="s">
        <v>1001</v>
      </c>
      <c r="S2530" s="973" t="s">
        <v>1002</v>
      </c>
      <c r="AE2530" s="423" t="str">
        <f t="shared" si="39"/>
        <v/>
      </c>
    </row>
    <row r="2531" spans="4:31" x14ac:dyDescent="0.25">
      <c r="D2531" s="973" t="s">
        <v>990</v>
      </c>
      <c r="E2531" s="973" t="s">
        <v>991</v>
      </c>
      <c r="F2531" s="973" t="s">
        <v>992</v>
      </c>
      <c r="G2531" s="973" t="s">
        <v>1997</v>
      </c>
      <c r="H2531" s="973" t="s">
        <v>1998</v>
      </c>
      <c r="I2531" s="973" t="s">
        <v>1999</v>
      </c>
      <c r="J2531" s="973" t="s">
        <v>697</v>
      </c>
      <c r="K2531" s="973" t="s">
        <v>995</v>
      </c>
      <c r="L2531" s="973" t="s">
        <v>996</v>
      </c>
      <c r="M2531" s="973" t="s">
        <v>2000</v>
      </c>
      <c r="N2531" s="973" t="s">
        <v>2001</v>
      </c>
      <c r="O2531" s="973" t="s">
        <v>1971</v>
      </c>
      <c r="P2531" s="973" t="s">
        <v>999</v>
      </c>
      <c r="Q2531" s="973" t="s">
        <v>1000</v>
      </c>
      <c r="R2531" s="973" t="s">
        <v>1001</v>
      </c>
      <c r="S2531" s="973" t="s">
        <v>1002</v>
      </c>
      <c r="AE2531" s="423" t="str">
        <f t="shared" si="39"/>
        <v/>
      </c>
    </row>
    <row r="2532" spans="4:31" x14ac:dyDescent="0.25">
      <c r="D2532" s="973" t="s">
        <v>990</v>
      </c>
      <c r="E2532" s="973" t="s">
        <v>991</v>
      </c>
      <c r="F2532" s="973" t="s">
        <v>992</v>
      </c>
      <c r="G2532" s="973" t="s">
        <v>1997</v>
      </c>
      <c r="H2532" s="973" t="s">
        <v>1998</v>
      </c>
      <c r="I2532" s="973" t="s">
        <v>1999</v>
      </c>
      <c r="J2532" s="973" t="s">
        <v>697</v>
      </c>
      <c r="K2532" s="973" t="s">
        <v>995</v>
      </c>
      <c r="L2532" s="973" t="s">
        <v>996</v>
      </c>
      <c r="M2532" s="973" t="s">
        <v>2000</v>
      </c>
      <c r="N2532" s="973" t="s">
        <v>2001</v>
      </c>
      <c r="O2532" s="973" t="s">
        <v>1971</v>
      </c>
      <c r="P2532" s="973" t="s">
        <v>999</v>
      </c>
      <c r="Q2532" s="973" t="s">
        <v>1000</v>
      </c>
      <c r="R2532" s="973" t="s">
        <v>1001</v>
      </c>
      <c r="S2532" s="973" t="s">
        <v>1002</v>
      </c>
      <c r="AE2532" s="423" t="str">
        <f t="shared" si="39"/>
        <v/>
      </c>
    </row>
    <row r="2533" spans="4:31" x14ac:dyDescent="0.25">
      <c r="D2533" s="973" t="s">
        <v>990</v>
      </c>
      <c r="E2533" s="973" t="s">
        <v>991</v>
      </c>
      <c r="F2533" s="973" t="s">
        <v>992</v>
      </c>
      <c r="G2533" s="973" t="s">
        <v>1997</v>
      </c>
      <c r="H2533" s="973" t="s">
        <v>1998</v>
      </c>
      <c r="I2533" s="973" t="s">
        <v>1999</v>
      </c>
      <c r="J2533" s="973" t="s">
        <v>697</v>
      </c>
      <c r="K2533" s="973" t="s">
        <v>995</v>
      </c>
      <c r="L2533" s="973" t="s">
        <v>996</v>
      </c>
      <c r="M2533" s="973" t="s">
        <v>2000</v>
      </c>
      <c r="N2533" s="973" t="s">
        <v>2001</v>
      </c>
      <c r="O2533" s="973" t="s">
        <v>1971</v>
      </c>
      <c r="P2533" s="973" t="s">
        <v>999</v>
      </c>
      <c r="Q2533" s="973" t="s">
        <v>1000</v>
      </c>
      <c r="R2533" s="973" t="s">
        <v>1001</v>
      </c>
      <c r="S2533" s="973" t="s">
        <v>1002</v>
      </c>
      <c r="AE2533" s="423" t="str">
        <f t="shared" si="39"/>
        <v/>
      </c>
    </row>
    <row r="2534" spans="4:31" x14ac:dyDescent="0.25">
      <c r="D2534" s="973" t="s">
        <v>990</v>
      </c>
      <c r="E2534" s="973" t="s">
        <v>991</v>
      </c>
      <c r="F2534" s="973" t="s">
        <v>992</v>
      </c>
      <c r="G2534" s="973" t="s">
        <v>1997</v>
      </c>
      <c r="H2534" s="973" t="s">
        <v>1998</v>
      </c>
      <c r="I2534" s="973" t="s">
        <v>1999</v>
      </c>
      <c r="J2534" s="973" t="s">
        <v>697</v>
      </c>
      <c r="K2534" s="973" t="s">
        <v>995</v>
      </c>
      <c r="L2534" s="973" t="s">
        <v>996</v>
      </c>
      <c r="M2534" s="973" t="s">
        <v>2000</v>
      </c>
      <c r="N2534" s="973" t="s">
        <v>2001</v>
      </c>
      <c r="O2534" s="973" t="s">
        <v>1971</v>
      </c>
      <c r="P2534" s="973" t="s">
        <v>999</v>
      </c>
      <c r="Q2534" s="973" t="s">
        <v>1000</v>
      </c>
      <c r="R2534" s="973" t="s">
        <v>1001</v>
      </c>
      <c r="S2534" s="973" t="s">
        <v>1002</v>
      </c>
      <c r="AE2534" s="423" t="str">
        <f t="shared" si="39"/>
        <v/>
      </c>
    </row>
    <row r="2535" spans="4:31" x14ac:dyDescent="0.25">
      <c r="D2535" s="973" t="s">
        <v>990</v>
      </c>
      <c r="E2535" s="973" t="s">
        <v>991</v>
      </c>
      <c r="F2535" s="973" t="s">
        <v>992</v>
      </c>
      <c r="G2535" s="973" t="s">
        <v>1997</v>
      </c>
      <c r="H2535" s="973" t="s">
        <v>1998</v>
      </c>
      <c r="I2535" s="973" t="s">
        <v>1999</v>
      </c>
      <c r="J2535" s="973" t="s">
        <v>697</v>
      </c>
      <c r="K2535" s="973" t="s">
        <v>995</v>
      </c>
      <c r="L2535" s="973" t="s">
        <v>996</v>
      </c>
      <c r="M2535" s="973" t="s">
        <v>2000</v>
      </c>
      <c r="N2535" s="973" t="s">
        <v>2001</v>
      </c>
      <c r="O2535" s="973" t="s">
        <v>1971</v>
      </c>
      <c r="P2535" s="973" t="s">
        <v>999</v>
      </c>
      <c r="Q2535" s="973" t="s">
        <v>1000</v>
      </c>
      <c r="R2535" s="973" t="s">
        <v>1001</v>
      </c>
      <c r="S2535" s="973" t="s">
        <v>1002</v>
      </c>
      <c r="AE2535" s="423" t="str">
        <f t="shared" si="39"/>
        <v/>
      </c>
    </row>
    <row r="2536" spans="4:31" x14ac:dyDescent="0.25">
      <c r="D2536" s="973" t="s">
        <v>990</v>
      </c>
      <c r="E2536" s="973" t="s">
        <v>991</v>
      </c>
      <c r="F2536" s="973" t="s">
        <v>992</v>
      </c>
      <c r="G2536" s="973" t="s">
        <v>1997</v>
      </c>
      <c r="H2536" s="973" t="s">
        <v>1998</v>
      </c>
      <c r="I2536" s="973" t="s">
        <v>1999</v>
      </c>
      <c r="J2536" s="973" t="s">
        <v>697</v>
      </c>
      <c r="K2536" s="973" t="s">
        <v>995</v>
      </c>
      <c r="L2536" s="973" t="s">
        <v>996</v>
      </c>
      <c r="M2536" s="973" t="s">
        <v>2000</v>
      </c>
      <c r="N2536" s="973" t="s">
        <v>2001</v>
      </c>
      <c r="O2536" s="973" t="s">
        <v>1971</v>
      </c>
      <c r="P2536" s="973" t="s">
        <v>999</v>
      </c>
      <c r="Q2536" s="973" t="s">
        <v>1000</v>
      </c>
      <c r="R2536" s="973" t="s">
        <v>1001</v>
      </c>
      <c r="S2536" s="973" t="s">
        <v>1002</v>
      </c>
      <c r="AE2536" s="423" t="str">
        <f t="shared" si="39"/>
        <v/>
      </c>
    </row>
    <row r="2537" spans="4:31" x14ac:dyDescent="0.25">
      <c r="D2537" s="973" t="s">
        <v>990</v>
      </c>
      <c r="E2537" s="973" t="s">
        <v>991</v>
      </c>
      <c r="F2537" s="973" t="s">
        <v>992</v>
      </c>
      <c r="G2537" s="973" t="s">
        <v>1997</v>
      </c>
      <c r="H2537" s="973" t="s">
        <v>1998</v>
      </c>
      <c r="I2537" s="973" t="s">
        <v>1999</v>
      </c>
      <c r="J2537" s="973" t="s">
        <v>697</v>
      </c>
      <c r="K2537" s="973" t="s">
        <v>995</v>
      </c>
      <c r="L2537" s="973" t="s">
        <v>996</v>
      </c>
      <c r="M2537" s="973" t="s">
        <v>2000</v>
      </c>
      <c r="N2537" s="973" t="s">
        <v>2001</v>
      </c>
      <c r="O2537" s="973" t="s">
        <v>1971</v>
      </c>
      <c r="P2537" s="973" t="s">
        <v>999</v>
      </c>
      <c r="Q2537" s="973" t="s">
        <v>1000</v>
      </c>
      <c r="R2537" s="973" t="s">
        <v>1001</v>
      </c>
      <c r="S2537" s="973" t="s">
        <v>1002</v>
      </c>
      <c r="AE2537" s="423" t="str">
        <f t="shared" si="39"/>
        <v/>
      </c>
    </row>
    <row r="2538" spans="4:31" x14ac:dyDescent="0.25">
      <c r="D2538" s="973" t="s">
        <v>990</v>
      </c>
      <c r="E2538" s="973" t="s">
        <v>991</v>
      </c>
      <c r="F2538" s="973" t="s">
        <v>992</v>
      </c>
      <c r="G2538" s="973" t="s">
        <v>1997</v>
      </c>
      <c r="H2538" s="973" t="s">
        <v>1998</v>
      </c>
      <c r="I2538" s="973" t="s">
        <v>1999</v>
      </c>
      <c r="J2538" s="973" t="s">
        <v>697</v>
      </c>
      <c r="K2538" s="973" t="s">
        <v>995</v>
      </c>
      <c r="L2538" s="973" t="s">
        <v>996</v>
      </c>
      <c r="M2538" s="973" t="s">
        <v>2000</v>
      </c>
      <c r="N2538" s="973" t="s">
        <v>2001</v>
      </c>
      <c r="O2538" s="973" t="s">
        <v>1971</v>
      </c>
      <c r="P2538" s="973" t="s">
        <v>999</v>
      </c>
      <c r="Q2538" s="973" t="s">
        <v>1000</v>
      </c>
      <c r="R2538" s="973" t="s">
        <v>1001</v>
      </c>
      <c r="S2538" s="973" t="s">
        <v>1002</v>
      </c>
      <c r="AE2538" s="423" t="str">
        <f t="shared" si="39"/>
        <v/>
      </c>
    </row>
    <row r="2539" spans="4:31" x14ac:dyDescent="0.25">
      <c r="D2539" s="973" t="s">
        <v>990</v>
      </c>
      <c r="E2539" s="973" t="s">
        <v>991</v>
      </c>
      <c r="F2539" s="973" t="s">
        <v>992</v>
      </c>
      <c r="G2539" s="973" t="s">
        <v>1997</v>
      </c>
      <c r="H2539" s="973" t="s">
        <v>1998</v>
      </c>
      <c r="I2539" s="973" t="s">
        <v>1999</v>
      </c>
      <c r="J2539" s="973" t="s">
        <v>697</v>
      </c>
      <c r="K2539" s="973" t="s">
        <v>995</v>
      </c>
      <c r="L2539" s="973" t="s">
        <v>996</v>
      </c>
      <c r="M2539" s="973" t="s">
        <v>2000</v>
      </c>
      <c r="N2539" s="973" t="s">
        <v>2001</v>
      </c>
      <c r="O2539" s="973" t="s">
        <v>1971</v>
      </c>
      <c r="P2539" s="973" t="s">
        <v>999</v>
      </c>
      <c r="Q2539" s="973" t="s">
        <v>1000</v>
      </c>
      <c r="R2539" s="973" t="s">
        <v>1001</v>
      </c>
      <c r="S2539" s="973" t="s">
        <v>1002</v>
      </c>
      <c r="AE2539" s="423" t="str">
        <f t="shared" si="39"/>
        <v/>
      </c>
    </row>
    <row r="2540" spans="4:31" x14ac:dyDescent="0.25">
      <c r="D2540" s="973" t="s">
        <v>990</v>
      </c>
      <c r="E2540" s="973" t="s">
        <v>991</v>
      </c>
      <c r="F2540" s="973" t="s">
        <v>992</v>
      </c>
      <c r="G2540" s="973" t="s">
        <v>1997</v>
      </c>
      <c r="H2540" s="973" t="s">
        <v>1998</v>
      </c>
      <c r="I2540" s="973" t="s">
        <v>1999</v>
      </c>
      <c r="J2540" s="973" t="s">
        <v>697</v>
      </c>
      <c r="K2540" s="973" t="s">
        <v>995</v>
      </c>
      <c r="L2540" s="973" t="s">
        <v>996</v>
      </c>
      <c r="M2540" s="973" t="s">
        <v>2000</v>
      </c>
      <c r="N2540" s="973" t="s">
        <v>2001</v>
      </c>
      <c r="O2540" s="973" t="s">
        <v>1971</v>
      </c>
      <c r="P2540" s="973" t="s">
        <v>999</v>
      </c>
      <c r="Q2540" s="973" t="s">
        <v>1000</v>
      </c>
      <c r="R2540" s="973" t="s">
        <v>1001</v>
      </c>
      <c r="S2540" s="973" t="s">
        <v>1002</v>
      </c>
      <c r="AE2540" s="423" t="str">
        <f t="shared" si="39"/>
        <v/>
      </c>
    </row>
    <row r="2541" spans="4:31" x14ac:dyDescent="0.25">
      <c r="D2541" s="973" t="s">
        <v>990</v>
      </c>
      <c r="E2541" s="973" t="s">
        <v>991</v>
      </c>
      <c r="F2541" s="973" t="s">
        <v>992</v>
      </c>
      <c r="G2541" s="973" t="s">
        <v>1997</v>
      </c>
      <c r="H2541" s="973" t="s">
        <v>1998</v>
      </c>
      <c r="I2541" s="973" t="s">
        <v>1999</v>
      </c>
      <c r="J2541" s="973" t="s">
        <v>697</v>
      </c>
      <c r="K2541" s="973" t="s">
        <v>995</v>
      </c>
      <c r="L2541" s="973" t="s">
        <v>996</v>
      </c>
      <c r="M2541" s="973" t="s">
        <v>2000</v>
      </c>
      <c r="N2541" s="973" t="s">
        <v>2001</v>
      </c>
      <c r="O2541" s="973" t="s">
        <v>1971</v>
      </c>
      <c r="P2541" s="973" t="s">
        <v>999</v>
      </c>
      <c r="Q2541" s="973" t="s">
        <v>1000</v>
      </c>
      <c r="R2541" s="973" t="s">
        <v>1001</v>
      </c>
      <c r="S2541" s="973" t="s">
        <v>1002</v>
      </c>
      <c r="AE2541" s="423" t="str">
        <f t="shared" si="39"/>
        <v/>
      </c>
    </row>
    <row r="2542" spans="4:31" x14ac:dyDescent="0.25">
      <c r="D2542" s="973" t="s">
        <v>990</v>
      </c>
      <c r="E2542" s="973" t="s">
        <v>991</v>
      </c>
      <c r="F2542" s="973" t="s">
        <v>992</v>
      </c>
      <c r="G2542" s="973" t="s">
        <v>1997</v>
      </c>
      <c r="H2542" s="973" t="s">
        <v>1998</v>
      </c>
      <c r="I2542" s="973" t="s">
        <v>1999</v>
      </c>
      <c r="J2542" s="973" t="s">
        <v>697</v>
      </c>
      <c r="K2542" s="973" t="s">
        <v>995</v>
      </c>
      <c r="L2542" s="973" t="s">
        <v>996</v>
      </c>
      <c r="M2542" s="973" t="s">
        <v>2000</v>
      </c>
      <c r="N2542" s="973" t="s">
        <v>2001</v>
      </c>
      <c r="O2542" s="973" t="s">
        <v>1971</v>
      </c>
      <c r="P2542" s="973" t="s">
        <v>999</v>
      </c>
      <c r="Q2542" s="973" t="s">
        <v>1000</v>
      </c>
      <c r="R2542" s="973" t="s">
        <v>1001</v>
      </c>
      <c r="S2542" s="973" t="s">
        <v>1002</v>
      </c>
      <c r="AE2542" s="423" t="str">
        <f t="shared" si="39"/>
        <v/>
      </c>
    </row>
    <row r="2543" spans="4:31" x14ac:dyDescent="0.25">
      <c r="D2543" s="973" t="s">
        <v>990</v>
      </c>
      <c r="E2543" s="973" t="s">
        <v>991</v>
      </c>
      <c r="F2543" s="973" t="s">
        <v>992</v>
      </c>
      <c r="G2543" s="973" t="s">
        <v>1997</v>
      </c>
      <c r="H2543" s="973" t="s">
        <v>1998</v>
      </c>
      <c r="I2543" s="973" t="s">
        <v>1999</v>
      </c>
      <c r="J2543" s="973" t="s">
        <v>697</v>
      </c>
      <c r="K2543" s="973" t="s">
        <v>995</v>
      </c>
      <c r="L2543" s="973" t="s">
        <v>996</v>
      </c>
      <c r="M2543" s="973" t="s">
        <v>2000</v>
      </c>
      <c r="N2543" s="973" t="s">
        <v>2001</v>
      </c>
      <c r="O2543" s="973" t="s">
        <v>1971</v>
      </c>
      <c r="P2543" s="973" t="s">
        <v>999</v>
      </c>
      <c r="Q2543" s="973" t="s">
        <v>1000</v>
      </c>
      <c r="R2543" s="973" t="s">
        <v>1001</v>
      </c>
      <c r="S2543" s="973" t="s">
        <v>1002</v>
      </c>
      <c r="AE2543" s="423" t="str">
        <f t="shared" si="39"/>
        <v/>
      </c>
    </row>
    <row r="2544" spans="4:31" x14ac:dyDescent="0.25">
      <c r="D2544" s="973" t="s">
        <v>990</v>
      </c>
      <c r="E2544" s="973" t="s">
        <v>991</v>
      </c>
      <c r="F2544" s="973" t="s">
        <v>992</v>
      </c>
      <c r="G2544" s="973" t="s">
        <v>1997</v>
      </c>
      <c r="H2544" s="973" t="s">
        <v>1998</v>
      </c>
      <c r="I2544" s="973" t="s">
        <v>1999</v>
      </c>
      <c r="J2544" s="973" t="s">
        <v>697</v>
      </c>
      <c r="K2544" s="973" t="s">
        <v>995</v>
      </c>
      <c r="L2544" s="973" t="s">
        <v>996</v>
      </c>
      <c r="M2544" s="973" t="s">
        <v>2000</v>
      </c>
      <c r="N2544" s="973" t="s">
        <v>2001</v>
      </c>
      <c r="O2544" s="973" t="s">
        <v>1971</v>
      </c>
      <c r="P2544" s="973" t="s">
        <v>999</v>
      </c>
      <c r="Q2544" s="973" t="s">
        <v>1000</v>
      </c>
      <c r="R2544" s="973" t="s">
        <v>1001</v>
      </c>
      <c r="S2544" s="973" t="s">
        <v>1002</v>
      </c>
      <c r="AE2544" s="423" t="str">
        <f t="shared" si="39"/>
        <v/>
      </c>
    </row>
    <row r="2545" spans="4:31" x14ac:dyDescent="0.25">
      <c r="D2545" s="973" t="s">
        <v>990</v>
      </c>
      <c r="E2545" s="973" t="s">
        <v>991</v>
      </c>
      <c r="F2545" s="973" t="s">
        <v>992</v>
      </c>
      <c r="G2545" s="973" t="s">
        <v>1997</v>
      </c>
      <c r="H2545" s="973" t="s">
        <v>1998</v>
      </c>
      <c r="I2545" s="973" t="s">
        <v>1999</v>
      </c>
      <c r="J2545" s="973" t="s">
        <v>697</v>
      </c>
      <c r="K2545" s="973" t="s">
        <v>995</v>
      </c>
      <c r="L2545" s="973" t="s">
        <v>996</v>
      </c>
      <c r="M2545" s="973" t="s">
        <v>2000</v>
      </c>
      <c r="N2545" s="973" t="s">
        <v>2001</v>
      </c>
      <c r="O2545" s="973" t="s">
        <v>1971</v>
      </c>
      <c r="P2545" s="973" t="s">
        <v>999</v>
      </c>
      <c r="Q2545" s="973" t="s">
        <v>1000</v>
      </c>
      <c r="R2545" s="973" t="s">
        <v>1001</v>
      </c>
      <c r="S2545" s="973" t="s">
        <v>1002</v>
      </c>
      <c r="AE2545" s="423" t="str">
        <f t="shared" si="39"/>
        <v/>
      </c>
    </row>
    <row r="2546" spans="4:31" x14ac:dyDescent="0.25">
      <c r="D2546" s="973" t="s">
        <v>990</v>
      </c>
      <c r="E2546" s="973" t="s">
        <v>991</v>
      </c>
      <c r="F2546" s="973" t="s">
        <v>992</v>
      </c>
      <c r="G2546" s="973" t="s">
        <v>1997</v>
      </c>
      <c r="H2546" s="973" t="s">
        <v>1998</v>
      </c>
      <c r="I2546" s="973" t="s">
        <v>1999</v>
      </c>
      <c r="J2546" s="973" t="s">
        <v>697</v>
      </c>
      <c r="K2546" s="973" t="s">
        <v>995</v>
      </c>
      <c r="L2546" s="973" t="s">
        <v>996</v>
      </c>
      <c r="M2546" s="973" t="s">
        <v>2000</v>
      </c>
      <c r="N2546" s="973" t="s">
        <v>2001</v>
      </c>
      <c r="O2546" s="973" t="s">
        <v>1971</v>
      </c>
      <c r="P2546" s="973" t="s">
        <v>999</v>
      </c>
      <c r="Q2546" s="973" t="s">
        <v>1000</v>
      </c>
      <c r="R2546" s="973" t="s">
        <v>1001</v>
      </c>
      <c r="S2546" s="973" t="s">
        <v>1002</v>
      </c>
      <c r="AE2546" s="423" t="str">
        <f t="shared" si="39"/>
        <v/>
      </c>
    </row>
    <row r="2547" spans="4:31" x14ac:dyDescent="0.25">
      <c r="D2547" s="973" t="s">
        <v>990</v>
      </c>
      <c r="E2547" s="973" t="s">
        <v>991</v>
      </c>
      <c r="F2547" s="973" t="s">
        <v>992</v>
      </c>
      <c r="G2547" s="973" t="s">
        <v>1997</v>
      </c>
      <c r="H2547" s="973" t="s">
        <v>1998</v>
      </c>
      <c r="I2547" s="973" t="s">
        <v>1999</v>
      </c>
      <c r="J2547" s="973" t="s">
        <v>697</v>
      </c>
      <c r="K2547" s="973" t="s">
        <v>995</v>
      </c>
      <c r="L2547" s="973" t="s">
        <v>996</v>
      </c>
      <c r="M2547" s="973" t="s">
        <v>2000</v>
      </c>
      <c r="N2547" s="973" t="s">
        <v>2001</v>
      </c>
      <c r="O2547" s="973" t="s">
        <v>1971</v>
      </c>
      <c r="P2547" s="973" t="s">
        <v>999</v>
      </c>
      <c r="Q2547" s="973" t="s">
        <v>1000</v>
      </c>
      <c r="R2547" s="973" t="s">
        <v>1001</v>
      </c>
      <c r="S2547" s="973" t="s">
        <v>1002</v>
      </c>
      <c r="AE2547" s="423" t="str">
        <f t="shared" si="39"/>
        <v/>
      </c>
    </row>
    <row r="2548" spans="4:31" x14ac:dyDescent="0.25">
      <c r="D2548" s="973" t="s">
        <v>990</v>
      </c>
      <c r="E2548" s="973" t="s">
        <v>991</v>
      </c>
      <c r="F2548" s="973" t="s">
        <v>992</v>
      </c>
      <c r="G2548" s="973" t="s">
        <v>1997</v>
      </c>
      <c r="H2548" s="973" t="s">
        <v>1998</v>
      </c>
      <c r="I2548" s="973" t="s">
        <v>1999</v>
      </c>
      <c r="J2548" s="973" t="s">
        <v>697</v>
      </c>
      <c r="K2548" s="973" t="s">
        <v>995</v>
      </c>
      <c r="L2548" s="973" t="s">
        <v>996</v>
      </c>
      <c r="M2548" s="973" t="s">
        <v>2000</v>
      </c>
      <c r="N2548" s="973" t="s">
        <v>2001</v>
      </c>
      <c r="O2548" s="973" t="s">
        <v>1971</v>
      </c>
      <c r="P2548" s="973" t="s">
        <v>999</v>
      </c>
      <c r="Q2548" s="973" t="s">
        <v>1000</v>
      </c>
      <c r="R2548" s="973" t="s">
        <v>1001</v>
      </c>
      <c r="S2548" s="973" t="s">
        <v>1002</v>
      </c>
      <c r="AE2548" s="423" t="str">
        <f t="shared" si="39"/>
        <v/>
      </c>
    </row>
    <row r="2549" spans="4:31" x14ac:dyDescent="0.25">
      <c r="D2549" s="973" t="s">
        <v>990</v>
      </c>
      <c r="E2549" s="973" t="s">
        <v>991</v>
      </c>
      <c r="F2549" s="973" t="s">
        <v>992</v>
      </c>
      <c r="G2549" s="973" t="s">
        <v>1997</v>
      </c>
      <c r="H2549" s="973" t="s">
        <v>1998</v>
      </c>
      <c r="I2549" s="973" t="s">
        <v>1999</v>
      </c>
      <c r="J2549" s="973" t="s">
        <v>697</v>
      </c>
      <c r="K2549" s="973" t="s">
        <v>995</v>
      </c>
      <c r="L2549" s="973" t="s">
        <v>996</v>
      </c>
      <c r="M2549" s="973" t="s">
        <v>2000</v>
      </c>
      <c r="N2549" s="973" t="s">
        <v>2001</v>
      </c>
      <c r="O2549" s="973" t="s">
        <v>1971</v>
      </c>
      <c r="P2549" s="973" t="s">
        <v>999</v>
      </c>
      <c r="Q2549" s="973" t="s">
        <v>1000</v>
      </c>
      <c r="R2549" s="973" t="s">
        <v>1001</v>
      </c>
      <c r="S2549" s="973" t="s">
        <v>1002</v>
      </c>
      <c r="AE2549" s="423" t="str">
        <f t="shared" si="39"/>
        <v/>
      </c>
    </row>
    <row r="2550" spans="4:31" x14ac:dyDescent="0.25">
      <c r="D2550" s="973" t="s">
        <v>990</v>
      </c>
      <c r="E2550" s="973" t="s">
        <v>991</v>
      </c>
      <c r="F2550" s="973" t="s">
        <v>992</v>
      </c>
      <c r="G2550" s="973" t="s">
        <v>1997</v>
      </c>
      <c r="H2550" s="973" t="s">
        <v>1998</v>
      </c>
      <c r="I2550" s="973" t="s">
        <v>1999</v>
      </c>
      <c r="J2550" s="973" t="s">
        <v>697</v>
      </c>
      <c r="K2550" s="973" t="s">
        <v>995</v>
      </c>
      <c r="L2550" s="973" t="s">
        <v>996</v>
      </c>
      <c r="M2550" s="973" t="s">
        <v>2000</v>
      </c>
      <c r="N2550" s="973" t="s">
        <v>2001</v>
      </c>
      <c r="O2550" s="973" t="s">
        <v>1971</v>
      </c>
      <c r="P2550" s="973" t="s">
        <v>999</v>
      </c>
      <c r="Q2550" s="973" t="s">
        <v>1000</v>
      </c>
      <c r="R2550" s="973" t="s">
        <v>1001</v>
      </c>
      <c r="S2550" s="973" t="s">
        <v>1002</v>
      </c>
      <c r="AE2550" s="423" t="str">
        <f t="shared" si="39"/>
        <v/>
      </c>
    </row>
    <row r="2551" spans="4:31" x14ac:dyDescent="0.25">
      <c r="D2551" s="973" t="s">
        <v>990</v>
      </c>
      <c r="E2551" s="973" t="s">
        <v>991</v>
      </c>
      <c r="F2551" s="973" t="s">
        <v>992</v>
      </c>
      <c r="G2551" s="973" t="s">
        <v>1997</v>
      </c>
      <c r="H2551" s="973" t="s">
        <v>1998</v>
      </c>
      <c r="I2551" s="973" t="s">
        <v>1999</v>
      </c>
      <c r="J2551" s="973" t="s">
        <v>697</v>
      </c>
      <c r="K2551" s="973" t="s">
        <v>995</v>
      </c>
      <c r="L2551" s="973" t="s">
        <v>996</v>
      </c>
      <c r="M2551" s="973" t="s">
        <v>2000</v>
      </c>
      <c r="N2551" s="973" t="s">
        <v>2001</v>
      </c>
      <c r="O2551" s="973" t="s">
        <v>1971</v>
      </c>
      <c r="P2551" s="973" t="s">
        <v>999</v>
      </c>
      <c r="Q2551" s="973" t="s">
        <v>1000</v>
      </c>
      <c r="R2551" s="973" t="s">
        <v>1001</v>
      </c>
      <c r="S2551" s="973" t="s">
        <v>1002</v>
      </c>
      <c r="AE2551" s="423" t="str">
        <f t="shared" si="39"/>
        <v/>
      </c>
    </row>
    <row r="2552" spans="4:31" x14ac:dyDescent="0.25">
      <c r="D2552" s="973" t="s">
        <v>990</v>
      </c>
      <c r="E2552" s="973" t="s">
        <v>991</v>
      </c>
      <c r="F2552" s="973" t="s">
        <v>992</v>
      </c>
      <c r="G2552" s="973" t="s">
        <v>1997</v>
      </c>
      <c r="H2552" s="973" t="s">
        <v>1998</v>
      </c>
      <c r="I2552" s="973" t="s">
        <v>1999</v>
      </c>
      <c r="J2552" s="973" t="s">
        <v>697</v>
      </c>
      <c r="K2552" s="973" t="s">
        <v>995</v>
      </c>
      <c r="L2552" s="973" t="s">
        <v>996</v>
      </c>
      <c r="M2552" s="973" t="s">
        <v>2000</v>
      </c>
      <c r="N2552" s="973" t="s">
        <v>2001</v>
      </c>
      <c r="O2552" s="973" t="s">
        <v>1971</v>
      </c>
      <c r="P2552" s="973" t="s">
        <v>999</v>
      </c>
      <c r="Q2552" s="973" t="s">
        <v>1000</v>
      </c>
      <c r="R2552" s="973" t="s">
        <v>1001</v>
      </c>
      <c r="S2552" s="973" t="s">
        <v>1002</v>
      </c>
      <c r="AE2552" s="423" t="str">
        <f t="shared" si="39"/>
        <v/>
      </c>
    </row>
    <row r="2553" spans="4:31" x14ac:dyDescent="0.25">
      <c r="D2553" s="973" t="s">
        <v>990</v>
      </c>
      <c r="E2553" s="973" t="s">
        <v>991</v>
      </c>
      <c r="F2553" s="973" t="s">
        <v>992</v>
      </c>
      <c r="G2553" s="973" t="s">
        <v>1997</v>
      </c>
      <c r="H2553" s="973" t="s">
        <v>1998</v>
      </c>
      <c r="I2553" s="973" t="s">
        <v>1999</v>
      </c>
      <c r="J2553" s="973" t="s">
        <v>697</v>
      </c>
      <c r="K2553" s="973" t="s">
        <v>995</v>
      </c>
      <c r="L2553" s="973" t="s">
        <v>996</v>
      </c>
      <c r="M2553" s="973" t="s">
        <v>2000</v>
      </c>
      <c r="N2553" s="973" t="s">
        <v>2001</v>
      </c>
      <c r="O2553" s="973" t="s">
        <v>1971</v>
      </c>
      <c r="P2553" s="973" t="s">
        <v>999</v>
      </c>
      <c r="Q2553" s="973" t="s">
        <v>1000</v>
      </c>
      <c r="R2553" s="973" t="s">
        <v>1001</v>
      </c>
      <c r="S2553" s="973" t="s">
        <v>1002</v>
      </c>
      <c r="AE2553" s="423" t="str">
        <f t="shared" si="39"/>
        <v/>
      </c>
    </row>
    <row r="2554" spans="4:31" x14ac:dyDescent="0.25">
      <c r="D2554" s="973" t="s">
        <v>990</v>
      </c>
      <c r="E2554" s="973" t="s">
        <v>991</v>
      </c>
      <c r="F2554" s="973" t="s">
        <v>992</v>
      </c>
      <c r="G2554" s="973" t="s">
        <v>1997</v>
      </c>
      <c r="H2554" s="973" t="s">
        <v>1998</v>
      </c>
      <c r="I2554" s="973" t="s">
        <v>1999</v>
      </c>
      <c r="J2554" s="973" t="s">
        <v>697</v>
      </c>
      <c r="K2554" s="973" t="s">
        <v>995</v>
      </c>
      <c r="L2554" s="973" t="s">
        <v>996</v>
      </c>
      <c r="M2554" s="973" t="s">
        <v>2000</v>
      </c>
      <c r="N2554" s="973" t="s">
        <v>2001</v>
      </c>
      <c r="O2554" s="973" t="s">
        <v>1971</v>
      </c>
      <c r="P2554" s="973" t="s">
        <v>999</v>
      </c>
      <c r="Q2554" s="973" t="s">
        <v>1000</v>
      </c>
      <c r="R2554" s="973" t="s">
        <v>1001</v>
      </c>
      <c r="S2554" s="973" t="s">
        <v>1002</v>
      </c>
      <c r="AE2554" s="423" t="str">
        <f t="shared" si="39"/>
        <v/>
      </c>
    </row>
    <row r="2555" spans="4:31" x14ac:dyDescent="0.25">
      <c r="D2555" s="973" t="s">
        <v>990</v>
      </c>
      <c r="E2555" s="973" t="s">
        <v>991</v>
      </c>
      <c r="F2555" s="973" t="s">
        <v>992</v>
      </c>
      <c r="G2555" s="973" t="s">
        <v>1997</v>
      </c>
      <c r="H2555" s="973" t="s">
        <v>1998</v>
      </c>
      <c r="I2555" s="973" t="s">
        <v>1999</v>
      </c>
      <c r="J2555" s="973" t="s">
        <v>697</v>
      </c>
      <c r="K2555" s="973" t="s">
        <v>995</v>
      </c>
      <c r="L2555" s="973" t="s">
        <v>996</v>
      </c>
      <c r="M2555" s="973" t="s">
        <v>2000</v>
      </c>
      <c r="N2555" s="973" t="s">
        <v>2001</v>
      </c>
      <c r="O2555" s="973" t="s">
        <v>1971</v>
      </c>
      <c r="P2555" s="973" t="s">
        <v>999</v>
      </c>
      <c r="Q2555" s="973" t="s">
        <v>1000</v>
      </c>
      <c r="R2555" s="973" t="s">
        <v>1001</v>
      </c>
      <c r="S2555" s="973" t="s">
        <v>1002</v>
      </c>
      <c r="AE2555" s="423" t="str">
        <f t="shared" si="39"/>
        <v/>
      </c>
    </row>
    <row r="2556" spans="4:31" x14ac:dyDescent="0.25">
      <c r="D2556" s="973" t="s">
        <v>990</v>
      </c>
      <c r="E2556" s="973" t="s">
        <v>991</v>
      </c>
      <c r="F2556" s="973" t="s">
        <v>992</v>
      </c>
      <c r="G2556" s="973" t="s">
        <v>1997</v>
      </c>
      <c r="H2556" s="973" t="s">
        <v>1998</v>
      </c>
      <c r="I2556" s="973" t="s">
        <v>1999</v>
      </c>
      <c r="J2556" s="973" t="s">
        <v>697</v>
      </c>
      <c r="K2556" s="973" t="s">
        <v>995</v>
      </c>
      <c r="L2556" s="973" t="s">
        <v>996</v>
      </c>
      <c r="M2556" s="973" t="s">
        <v>2000</v>
      </c>
      <c r="N2556" s="973" t="s">
        <v>2001</v>
      </c>
      <c r="O2556" s="973" t="s">
        <v>1971</v>
      </c>
      <c r="P2556" s="973" t="s">
        <v>999</v>
      </c>
      <c r="Q2556" s="973" t="s">
        <v>1000</v>
      </c>
      <c r="R2556" s="973" t="s">
        <v>1001</v>
      </c>
      <c r="S2556" s="973" t="s">
        <v>1002</v>
      </c>
      <c r="AE2556" s="423" t="str">
        <f t="shared" si="39"/>
        <v/>
      </c>
    </row>
    <row r="2557" spans="4:31" x14ac:dyDescent="0.25">
      <c r="D2557" s="973" t="s">
        <v>990</v>
      </c>
      <c r="E2557" s="973" t="s">
        <v>991</v>
      </c>
      <c r="F2557" s="973" t="s">
        <v>992</v>
      </c>
      <c r="G2557" s="973" t="s">
        <v>1997</v>
      </c>
      <c r="H2557" s="973" t="s">
        <v>1998</v>
      </c>
      <c r="I2557" s="973" t="s">
        <v>1999</v>
      </c>
      <c r="J2557" s="973" t="s">
        <v>697</v>
      </c>
      <c r="K2557" s="973" t="s">
        <v>995</v>
      </c>
      <c r="L2557" s="973" t="s">
        <v>996</v>
      </c>
      <c r="M2557" s="973" t="s">
        <v>2000</v>
      </c>
      <c r="N2557" s="973" t="s">
        <v>2001</v>
      </c>
      <c r="O2557" s="973" t="s">
        <v>1971</v>
      </c>
      <c r="P2557" s="973" t="s">
        <v>999</v>
      </c>
      <c r="Q2557" s="973" t="s">
        <v>1000</v>
      </c>
      <c r="R2557" s="973" t="s">
        <v>1001</v>
      </c>
      <c r="S2557" s="973" t="s">
        <v>1002</v>
      </c>
      <c r="AE2557" s="423" t="str">
        <f t="shared" si="39"/>
        <v/>
      </c>
    </row>
    <row r="2558" spans="4:31" x14ac:dyDescent="0.25">
      <c r="D2558" s="973" t="s">
        <v>990</v>
      </c>
      <c r="E2558" s="973" t="s">
        <v>991</v>
      </c>
      <c r="F2558" s="973" t="s">
        <v>992</v>
      </c>
      <c r="G2558" s="973" t="s">
        <v>1997</v>
      </c>
      <c r="H2558" s="973" t="s">
        <v>1998</v>
      </c>
      <c r="I2558" s="973" t="s">
        <v>1999</v>
      </c>
      <c r="J2558" s="973" t="s">
        <v>697</v>
      </c>
      <c r="K2558" s="973" t="s">
        <v>995</v>
      </c>
      <c r="L2558" s="973" t="s">
        <v>996</v>
      </c>
      <c r="M2558" s="973" t="s">
        <v>2000</v>
      </c>
      <c r="N2558" s="973" t="s">
        <v>2001</v>
      </c>
      <c r="O2558" s="973" t="s">
        <v>1971</v>
      </c>
      <c r="P2558" s="973" t="s">
        <v>999</v>
      </c>
      <c r="Q2558" s="973" t="s">
        <v>1000</v>
      </c>
      <c r="R2558" s="973" t="s">
        <v>1001</v>
      </c>
      <c r="S2558" s="973" t="s">
        <v>1002</v>
      </c>
      <c r="AE2558" s="423" t="str">
        <f t="shared" si="39"/>
        <v/>
      </c>
    </row>
    <row r="2559" spans="4:31" x14ac:dyDescent="0.25">
      <c r="D2559" s="973" t="s">
        <v>990</v>
      </c>
      <c r="E2559" s="973" t="s">
        <v>991</v>
      </c>
      <c r="F2559" s="973" t="s">
        <v>992</v>
      </c>
      <c r="G2559" s="973" t="s">
        <v>1997</v>
      </c>
      <c r="H2559" s="973" t="s">
        <v>1998</v>
      </c>
      <c r="I2559" s="973" t="s">
        <v>1999</v>
      </c>
      <c r="J2559" s="973" t="s">
        <v>697</v>
      </c>
      <c r="K2559" s="973" t="s">
        <v>995</v>
      </c>
      <c r="L2559" s="973" t="s">
        <v>996</v>
      </c>
      <c r="M2559" s="973" t="s">
        <v>2000</v>
      </c>
      <c r="N2559" s="973" t="s">
        <v>2001</v>
      </c>
      <c r="O2559" s="973" t="s">
        <v>1971</v>
      </c>
      <c r="P2559" s="973" t="s">
        <v>999</v>
      </c>
      <c r="Q2559" s="973" t="s">
        <v>1000</v>
      </c>
      <c r="R2559" s="973" t="s">
        <v>1001</v>
      </c>
      <c r="S2559" s="973" t="s">
        <v>1002</v>
      </c>
      <c r="AE2559" s="423" t="str">
        <f t="shared" si="39"/>
        <v/>
      </c>
    </row>
    <row r="2560" spans="4:31" x14ac:dyDescent="0.25">
      <c r="D2560" s="973" t="s">
        <v>990</v>
      </c>
      <c r="E2560" s="973" t="s">
        <v>991</v>
      </c>
      <c r="F2560" s="973" t="s">
        <v>992</v>
      </c>
      <c r="G2560" s="973" t="s">
        <v>1997</v>
      </c>
      <c r="H2560" s="973" t="s">
        <v>1998</v>
      </c>
      <c r="I2560" s="973" t="s">
        <v>1999</v>
      </c>
      <c r="J2560" s="973" t="s">
        <v>697</v>
      </c>
      <c r="K2560" s="973" t="s">
        <v>995</v>
      </c>
      <c r="L2560" s="973" t="s">
        <v>996</v>
      </c>
      <c r="M2560" s="973" t="s">
        <v>2000</v>
      </c>
      <c r="N2560" s="973" t="s">
        <v>2001</v>
      </c>
      <c r="O2560" s="973" t="s">
        <v>1971</v>
      </c>
      <c r="P2560" s="973" t="s">
        <v>999</v>
      </c>
      <c r="Q2560" s="973" t="s">
        <v>1000</v>
      </c>
      <c r="R2560" s="973" t="s">
        <v>1001</v>
      </c>
      <c r="S2560" s="973" t="s">
        <v>1002</v>
      </c>
      <c r="AE2560" s="423" t="str">
        <f t="shared" si="39"/>
        <v/>
      </c>
    </row>
    <row r="2561" spans="4:31" x14ac:dyDescent="0.25">
      <c r="D2561" s="973" t="s">
        <v>990</v>
      </c>
      <c r="E2561" s="973" t="s">
        <v>991</v>
      </c>
      <c r="F2561" s="973" t="s">
        <v>992</v>
      </c>
      <c r="G2561" s="973" t="s">
        <v>1997</v>
      </c>
      <c r="H2561" s="973" t="s">
        <v>1998</v>
      </c>
      <c r="I2561" s="973" t="s">
        <v>1999</v>
      </c>
      <c r="J2561" s="973" t="s">
        <v>697</v>
      </c>
      <c r="K2561" s="973" t="s">
        <v>995</v>
      </c>
      <c r="L2561" s="973" t="s">
        <v>996</v>
      </c>
      <c r="M2561" s="973" t="s">
        <v>2000</v>
      </c>
      <c r="N2561" s="973" t="s">
        <v>2001</v>
      </c>
      <c r="O2561" s="973" t="s">
        <v>1971</v>
      </c>
      <c r="P2561" s="973" t="s">
        <v>999</v>
      </c>
      <c r="Q2561" s="973" t="s">
        <v>1000</v>
      </c>
      <c r="R2561" s="973" t="s">
        <v>1001</v>
      </c>
      <c r="S2561" s="973" t="s">
        <v>1002</v>
      </c>
      <c r="AE2561" s="423" t="str">
        <f t="shared" si="39"/>
        <v/>
      </c>
    </row>
    <row r="2562" spans="4:31" x14ac:dyDescent="0.25">
      <c r="D2562" s="973" t="s">
        <v>990</v>
      </c>
      <c r="E2562" s="973" t="s">
        <v>991</v>
      </c>
      <c r="F2562" s="973" t="s">
        <v>992</v>
      </c>
      <c r="G2562" s="973" t="s">
        <v>1997</v>
      </c>
      <c r="H2562" s="973" t="s">
        <v>1998</v>
      </c>
      <c r="I2562" s="973" t="s">
        <v>1999</v>
      </c>
      <c r="J2562" s="973" t="s">
        <v>697</v>
      </c>
      <c r="K2562" s="973" t="s">
        <v>995</v>
      </c>
      <c r="L2562" s="973" t="s">
        <v>996</v>
      </c>
      <c r="M2562" s="973" t="s">
        <v>2000</v>
      </c>
      <c r="N2562" s="973" t="s">
        <v>2001</v>
      </c>
      <c r="O2562" s="973" t="s">
        <v>1971</v>
      </c>
      <c r="P2562" s="973" t="s">
        <v>999</v>
      </c>
      <c r="Q2562" s="973" t="s">
        <v>1000</v>
      </c>
      <c r="R2562" s="973" t="s">
        <v>1001</v>
      </c>
      <c r="S2562" s="973" t="s">
        <v>1002</v>
      </c>
      <c r="AE2562" s="423" t="str">
        <f t="shared" si="39"/>
        <v/>
      </c>
    </row>
    <row r="2563" spans="4:31" x14ac:dyDescent="0.25">
      <c r="D2563" s="973" t="s">
        <v>990</v>
      </c>
      <c r="E2563" s="973" t="s">
        <v>991</v>
      </c>
      <c r="F2563" s="973" t="s">
        <v>992</v>
      </c>
      <c r="G2563" s="973" t="s">
        <v>1997</v>
      </c>
      <c r="H2563" s="973" t="s">
        <v>1998</v>
      </c>
      <c r="I2563" s="973" t="s">
        <v>1999</v>
      </c>
      <c r="J2563" s="973" t="s">
        <v>697</v>
      </c>
      <c r="K2563" s="973" t="s">
        <v>995</v>
      </c>
      <c r="L2563" s="973" t="s">
        <v>996</v>
      </c>
      <c r="M2563" s="973" t="s">
        <v>2000</v>
      </c>
      <c r="N2563" s="973" t="s">
        <v>2001</v>
      </c>
      <c r="O2563" s="973" t="s">
        <v>1971</v>
      </c>
      <c r="P2563" s="973" t="s">
        <v>999</v>
      </c>
      <c r="Q2563" s="973" t="s">
        <v>1000</v>
      </c>
      <c r="R2563" s="973" t="s">
        <v>1001</v>
      </c>
      <c r="S2563" s="973" t="s">
        <v>1002</v>
      </c>
      <c r="AE2563" s="423" t="str">
        <f t="shared" ref="AE2563:AE2626" si="40">B2563&amp;C2563</f>
        <v/>
      </c>
    </row>
    <row r="2564" spans="4:31" x14ac:dyDescent="0.25">
      <c r="D2564" s="973" t="s">
        <v>990</v>
      </c>
      <c r="E2564" s="973" t="s">
        <v>991</v>
      </c>
      <c r="F2564" s="973" t="s">
        <v>992</v>
      </c>
      <c r="G2564" s="973" t="s">
        <v>1997</v>
      </c>
      <c r="H2564" s="973" t="s">
        <v>1998</v>
      </c>
      <c r="I2564" s="973" t="s">
        <v>1999</v>
      </c>
      <c r="J2564" s="973" t="s">
        <v>697</v>
      </c>
      <c r="K2564" s="973" t="s">
        <v>995</v>
      </c>
      <c r="L2564" s="973" t="s">
        <v>996</v>
      </c>
      <c r="M2564" s="973" t="s">
        <v>2000</v>
      </c>
      <c r="N2564" s="973" t="s">
        <v>2001</v>
      </c>
      <c r="O2564" s="973" t="s">
        <v>1971</v>
      </c>
      <c r="P2564" s="973" t="s">
        <v>999</v>
      </c>
      <c r="Q2564" s="973" t="s">
        <v>1000</v>
      </c>
      <c r="R2564" s="973" t="s">
        <v>1001</v>
      </c>
      <c r="S2564" s="973" t="s">
        <v>1002</v>
      </c>
      <c r="AE2564" s="423" t="str">
        <f t="shared" si="40"/>
        <v/>
      </c>
    </row>
    <row r="2565" spans="4:31" x14ac:dyDescent="0.25">
      <c r="D2565" s="973" t="s">
        <v>990</v>
      </c>
      <c r="E2565" s="973" t="s">
        <v>991</v>
      </c>
      <c r="F2565" s="973" t="s">
        <v>992</v>
      </c>
      <c r="G2565" s="973" t="s">
        <v>1997</v>
      </c>
      <c r="H2565" s="973" t="s">
        <v>1998</v>
      </c>
      <c r="I2565" s="973" t="s">
        <v>1999</v>
      </c>
      <c r="J2565" s="973" t="s">
        <v>697</v>
      </c>
      <c r="K2565" s="973" t="s">
        <v>995</v>
      </c>
      <c r="L2565" s="973" t="s">
        <v>996</v>
      </c>
      <c r="M2565" s="973" t="s">
        <v>2000</v>
      </c>
      <c r="N2565" s="973" t="s">
        <v>2001</v>
      </c>
      <c r="O2565" s="973" t="s">
        <v>1971</v>
      </c>
      <c r="P2565" s="973" t="s">
        <v>999</v>
      </c>
      <c r="Q2565" s="973" t="s">
        <v>1000</v>
      </c>
      <c r="R2565" s="973" t="s">
        <v>1001</v>
      </c>
      <c r="S2565" s="973" t="s">
        <v>1002</v>
      </c>
      <c r="AE2565" s="423" t="str">
        <f t="shared" si="40"/>
        <v/>
      </c>
    </row>
    <row r="2566" spans="4:31" x14ac:dyDescent="0.25">
      <c r="D2566" s="973" t="s">
        <v>990</v>
      </c>
      <c r="E2566" s="973" t="s">
        <v>991</v>
      </c>
      <c r="F2566" s="973" t="s">
        <v>992</v>
      </c>
      <c r="G2566" s="973" t="s">
        <v>1997</v>
      </c>
      <c r="H2566" s="973" t="s">
        <v>1998</v>
      </c>
      <c r="I2566" s="973" t="s">
        <v>1999</v>
      </c>
      <c r="J2566" s="973" t="s">
        <v>697</v>
      </c>
      <c r="K2566" s="973" t="s">
        <v>995</v>
      </c>
      <c r="L2566" s="973" t="s">
        <v>996</v>
      </c>
      <c r="M2566" s="973" t="s">
        <v>2000</v>
      </c>
      <c r="N2566" s="973" t="s">
        <v>2001</v>
      </c>
      <c r="O2566" s="973" t="s">
        <v>1971</v>
      </c>
      <c r="P2566" s="973" t="s">
        <v>999</v>
      </c>
      <c r="Q2566" s="973" t="s">
        <v>1000</v>
      </c>
      <c r="R2566" s="973" t="s">
        <v>1001</v>
      </c>
      <c r="S2566" s="973" t="s">
        <v>1002</v>
      </c>
      <c r="AE2566" s="423" t="str">
        <f t="shared" si="40"/>
        <v/>
      </c>
    </row>
    <row r="2567" spans="4:31" x14ac:dyDescent="0.25">
      <c r="D2567" s="973" t="s">
        <v>990</v>
      </c>
      <c r="E2567" s="973" t="s">
        <v>991</v>
      </c>
      <c r="F2567" s="973" t="s">
        <v>992</v>
      </c>
      <c r="G2567" s="973" t="s">
        <v>1997</v>
      </c>
      <c r="H2567" s="973" t="s">
        <v>1998</v>
      </c>
      <c r="I2567" s="973" t="s">
        <v>1999</v>
      </c>
      <c r="J2567" s="973" t="s">
        <v>697</v>
      </c>
      <c r="K2567" s="973" t="s">
        <v>995</v>
      </c>
      <c r="L2567" s="973" t="s">
        <v>996</v>
      </c>
      <c r="M2567" s="973" t="s">
        <v>2000</v>
      </c>
      <c r="N2567" s="973" t="s">
        <v>2001</v>
      </c>
      <c r="O2567" s="973" t="s">
        <v>1971</v>
      </c>
      <c r="P2567" s="973" t="s">
        <v>999</v>
      </c>
      <c r="Q2567" s="973" t="s">
        <v>1000</v>
      </c>
      <c r="R2567" s="973" t="s">
        <v>1001</v>
      </c>
      <c r="S2567" s="973" t="s">
        <v>1002</v>
      </c>
      <c r="AE2567" s="423" t="str">
        <f t="shared" si="40"/>
        <v/>
      </c>
    </row>
    <row r="2568" spans="4:31" x14ac:dyDescent="0.25">
      <c r="D2568" s="973" t="s">
        <v>990</v>
      </c>
      <c r="E2568" s="973" t="s">
        <v>991</v>
      </c>
      <c r="F2568" s="973" t="s">
        <v>992</v>
      </c>
      <c r="G2568" s="973" t="s">
        <v>1997</v>
      </c>
      <c r="H2568" s="973" t="s">
        <v>1998</v>
      </c>
      <c r="I2568" s="973" t="s">
        <v>1999</v>
      </c>
      <c r="J2568" s="973" t="s">
        <v>697</v>
      </c>
      <c r="K2568" s="973" t="s">
        <v>995</v>
      </c>
      <c r="L2568" s="973" t="s">
        <v>996</v>
      </c>
      <c r="M2568" s="973" t="s">
        <v>2000</v>
      </c>
      <c r="N2568" s="973" t="s">
        <v>2001</v>
      </c>
      <c r="O2568" s="973" t="s">
        <v>1971</v>
      </c>
      <c r="P2568" s="973" t="s">
        <v>999</v>
      </c>
      <c r="Q2568" s="973" t="s">
        <v>1000</v>
      </c>
      <c r="R2568" s="973" t="s">
        <v>1001</v>
      </c>
      <c r="S2568" s="973" t="s">
        <v>1002</v>
      </c>
      <c r="AE2568" s="423" t="str">
        <f t="shared" si="40"/>
        <v/>
      </c>
    </row>
    <row r="2569" spans="4:31" x14ac:dyDescent="0.25">
      <c r="D2569" s="973" t="s">
        <v>990</v>
      </c>
      <c r="E2569" s="973" t="s">
        <v>991</v>
      </c>
      <c r="F2569" s="973" t="s">
        <v>992</v>
      </c>
      <c r="G2569" s="973" t="s">
        <v>1997</v>
      </c>
      <c r="H2569" s="973" t="s">
        <v>1998</v>
      </c>
      <c r="I2569" s="973" t="s">
        <v>1999</v>
      </c>
      <c r="J2569" s="973" t="s">
        <v>697</v>
      </c>
      <c r="K2569" s="973" t="s">
        <v>995</v>
      </c>
      <c r="L2569" s="973" t="s">
        <v>996</v>
      </c>
      <c r="M2569" s="973" t="s">
        <v>2000</v>
      </c>
      <c r="N2569" s="973" t="s">
        <v>2001</v>
      </c>
      <c r="O2569" s="973" t="s">
        <v>1971</v>
      </c>
      <c r="P2569" s="973" t="s">
        <v>999</v>
      </c>
      <c r="Q2569" s="973" t="s">
        <v>1000</v>
      </c>
      <c r="R2569" s="973" t="s">
        <v>1001</v>
      </c>
      <c r="S2569" s="973" t="s">
        <v>1002</v>
      </c>
      <c r="AE2569" s="423" t="str">
        <f t="shared" si="40"/>
        <v/>
      </c>
    </row>
    <row r="2570" spans="4:31" x14ac:dyDescent="0.25">
      <c r="D2570" s="973" t="s">
        <v>990</v>
      </c>
      <c r="E2570" s="973" t="s">
        <v>991</v>
      </c>
      <c r="F2570" s="973" t="s">
        <v>992</v>
      </c>
      <c r="G2570" s="973" t="s">
        <v>1997</v>
      </c>
      <c r="H2570" s="973" t="s">
        <v>1998</v>
      </c>
      <c r="I2570" s="973" t="s">
        <v>1999</v>
      </c>
      <c r="J2570" s="973" t="s">
        <v>697</v>
      </c>
      <c r="K2570" s="973" t="s">
        <v>995</v>
      </c>
      <c r="L2570" s="973" t="s">
        <v>996</v>
      </c>
      <c r="M2570" s="973" t="s">
        <v>2000</v>
      </c>
      <c r="N2570" s="973" t="s">
        <v>2001</v>
      </c>
      <c r="O2570" s="973" t="s">
        <v>1971</v>
      </c>
      <c r="P2570" s="973" t="s">
        <v>999</v>
      </c>
      <c r="Q2570" s="973" t="s">
        <v>1000</v>
      </c>
      <c r="R2570" s="973" t="s">
        <v>1001</v>
      </c>
      <c r="S2570" s="973" t="s">
        <v>1002</v>
      </c>
      <c r="AE2570" s="423" t="str">
        <f t="shared" si="40"/>
        <v/>
      </c>
    </row>
    <row r="2571" spans="4:31" x14ac:dyDescent="0.25">
      <c r="D2571" s="973" t="s">
        <v>990</v>
      </c>
      <c r="E2571" s="973" t="s">
        <v>991</v>
      </c>
      <c r="F2571" s="973" t="s">
        <v>992</v>
      </c>
      <c r="G2571" s="973" t="s">
        <v>1997</v>
      </c>
      <c r="H2571" s="973" t="s">
        <v>1998</v>
      </c>
      <c r="I2571" s="973" t="s">
        <v>1999</v>
      </c>
      <c r="J2571" s="973" t="s">
        <v>697</v>
      </c>
      <c r="K2571" s="973" t="s">
        <v>995</v>
      </c>
      <c r="L2571" s="973" t="s">
        <v>996</v>
      </c>
      <c r="M2571" s="973" t="s">
        <v>2000</v>
      </c>
      <c r="N2571" s="973" t="s">
        <v>2001</v>
      </c>
      <c r="O2571" s="973" t="s">
        <v>1971</v>
      </c>
      <c r="P2571" s="973" t="s">
        <v>999</v>
      </c>
      <c r="Q2571" s="973" t="s">
        <v>1000</v>
      </c>
      <c r="R2571" s="973" t="s">
        <v>1001</v>
      </c>
      <c r="S2571" s="973" t="s">
        <v>1002</v>
      </c>
      <c r="AE2571" s="423" t="str">
        <f t="shared" si="40"/>
        <v/>
      </c>
    </row>
    <row r="2572" spans="4:31" x14ac:dyDescent="0.25">
      <c r="D2572" s="973" t="s">
        <v>990</v>
      </c>
      <c r="E2572" s="973" t="s">
        <v>991</v>
      </c>
      <c r="F2572" s="973" t="s">
        <v>992</v>
      </c>
      <c r="G2572" s="973" t="s">
        <v>1997</v>
      </c>
      <c r="H2572" s="973" t="s">
        <v>1998</v>
      </c>
      <c r="I2572" s="973" t="s">
        <v>1999</v>
      </c>
      <c r="J2572" s="973" t="s">
        <v>697</v>
      </c>
      <c r="K2572" s="973" t="s">
        <v>995</v>
      </c>
      <c r="L2572" s="973" t="s">
        <v>996</v>
      </c>
      <c r="M2572" s="973" t="s">
        <v>2000</v>
      </c>
      <c r="N2572" s="973" t="s">
        <v>2001</v>
      </c>
      <c r="O2572" s="973" t="s">
        <v>1971</v>
      </c>
      <c r="P2572" s="973" t="s">
        <v>999</v>
      </c>
      <c r="Q2572" s="973" t="s">
        <v>1000</v>
      </c>
      <c r="R2572" s="973" t="s">
        <v>1001</v>
      </c>
      <c r="S2572" s="973" t="s">
        <v>1002</v>
      </c>
      <c r="AE2572" s="423" t="str">
        <f t="shared" si="40"/>
        <v/>
      </c>
    </row>
    <row r="2573" spans="4:31" x14ac:dyDescent="0.25">
      <c r="D2573" s="973" t="s">
        <v>990</v>
      </c>
      <c r="E2573" s="973" t="s">
        <v>991</v>
      </c>
      <c r="F2573" s="973" t="s">
        <v>992</v>
      </c>
      <c r="G2573" s="973" t="s">
        <v>1997</v>
      </c>
      <c r="H2573" s="973" t="s">
        <v>1998</v>
      </c>
      <c r="I2573" s="973" t="s">
        <v>1999</v>
      </c>
      <c r="J2573" s="973" t="s">
        <v>697</v>
      </c>
      <c r="K2573" s="973" t="s">
        <v>995</v>
      </c>
      <c r="L2573" s="973" t="s">
        <v>996</v>
      </c>
      <c r="M2573" s="973" t="s">
        <v>2000</v>
      </c>
      <c r="N2573" s="973" t="s">
        <v>2001</v>
      </c>
      <c r="O2573" s="973" t="s">
        <v>1971</v>
      </c>
      <c r="P2573" s="973" t="s">
        <v>999</v>
      </c>
      <c r="Q2573" s="973" t="s">
        <v>1000</v>
      </c>
      <c r="R2573" s="973" t="s">
        <v>1001</v>
      </c>
      <c r="S2573" s="973" t="s">
        <v>1002</v>
      </c>
      <c r="AE2573" s="423" t="str">
        <f t="shared" si="40"/>
        <v/>
      </c>
    </row>
    <row r="2574" spans="4:31" x14ac:dyDescent="0.25">
      <c r="D2574" s="973" t="s">
        <v>990</v>
      </c>
      <c r="E2574" s="973" t="s">
        <v>991</v>
      </c>
      <c r="F2574" s="973" t="s">
        <v>992</v>
      </c>
      <c r="G2574" s="973" t="s">
        <v>1997</v>
      </c>
      <c r="H2574" s="973" t="s">
        <v>1998</v>
      </c>
      <c r="I2574" s="973" t="s">
        <v>1999</v>
      </c>
      <c r="J2574" s="973" t="s">
        <v>697</v>
      </c>
      <c r="K2574" s="973" t="s">
        <v>995</v>
      </c>
      <c r="L2574" s="973" t="s">
        <v>996</v>
      </c>
      <c r="M2574" s="973" t="s">
        <v>2000</v>
      </c>
      <c r="N2574" s="973" t="s">
        <v>2001</v>
      </c>
      <c r="O2574" s="973" t="s">
        <v>1971</v>
      </c>
      <c r="P2574" s="973" t="s">
        <v>999</v>
      </c>
      <c r="Q2574" s="973" t="s">
        <v>1000</v>
      </c>
      <c r="R2574" s="973" t="s">
        <v>1001</v>
      </c>
      <c r="S2574" s="973" t="s">
        <v>1002</v>
      </c>
      <c r="AE2574" s="423" t="str">
        <f t="shared" si="40"/>
        <v/>
      </c>
    </row>
    <row r="2575" spans="4:31" x14ac:dyDescent="0.25">
      <c r="D2575" s="973" t="s">
        <v>990</v>
      </c>
      <c r="E2575" s="973" t="s">
        <v>991</v>
      </c>
      <c r="F2575" s="973" t="s">
        <v>992</v>
      </c>
      <c r="G2575" s="973" t="s">
        <v>1997</v>
      </c>
      <c r="H2575" s="973" t="s">
        <v>1998</v>
      </c>
      <c r="I2575" s="973" t="s">
        <v>1999</v>
      </c>
      <c r="J2575" s="973" t="s">
        <v>697</v>
      </c>
      <c r="K2575" s="973" t="s">
        <v>995</v>
      </c>
      <c r="L2575" s="973" t="s">
        <v>996</v>
      </c>
      <c r="M2575" s="973" t="s">
        <v>2000</v>
      </c>
      <c r="N2575" s="973" t="s">
        <v>2001</v>
      </c>
      <c r="O2575" s="973" t="s">
        <v>1971</v>
      </c>
      <c r="P2575" s="973" t="s">
        <v>999</v>
      </c>
      <c r="Q2575" s="973" t="s">
        <v>1000</v>
      </c>
      <c r="R2575" s="973" t="s">
        <v>1001</v>
      </c>
      <c r="S2575" s="973" t="s">
        <v>1002</v>
      </c>
      <c r="AE2575" s="423" t="str">
        <f t="shared" si="40"/>
        <v/>
      </c>
    </row>
    <row r="2576" spans="4:31" x14ac:dyDescent="0.25">
      <c r="D2576" s="973" t="s">
        <v>990</v>
      </c>
      <c r="E2576" s="973" t="s">
        <v>991</v>
      </c>
      <c r="F2576" s="973" t="s">
        <v>992</v>
      </c>
      <c r="G2576" s="973" t="s">
        <v>1997</v>
      </c>
      <c r="H2576" s="973" t="s">
        <v>1998</v>
      </c>
      <c r="I2576" s="973" t="s">
        <v>1999</v>
      </c>
      <c r="J2576" s="973" t="s">
        <v>697</v>
      </c>
      <c r="K2576" s="973" t="s">
        <v>995</v>
      </c>
      <c r="L2576" s="973" t="s">
        <v>996</v>
      </c>
      <c r="M2576" s="973" t="s">
        <v>2000</v>
      </c>
      <c r="N2576" s="973" t="s">
        <v>2001</v>
      </c>
      <c r="O2576" s="973" t="s">
        <v>1971</v>
      </c>
      <c r="P2576" s="973" t="s">
        <v>999</v>
      </c>
      <c r="Q2576" s="973" t="s">
        <v>1000</v>
      </c>
      <c r="R2576" s="973" t="s">
        <v>1001</v>
      </c>
      <c r="S2576" s="973" t="s">
        <v>1002</v>
      </c>
      <c r="AE2576" s="423" t="str">
        <f t="shared" si="40"/>
        <v/>
      </c>
    </row>
    <row r="2577" spans="4:31" x14ac:dyDescent="0.25">
      <c r="D2577" s="973" t="s">
        <v>990</v>
      </c>
      <c r="E2577" s="973" t="s">
        <v>991</v>
      </c>
      <c r="F2577" s="973" t="s">
        <v>992</v>
      </c>
      <c r="G2577" s="973" t="s">
        <v>1997</v>
      </c>
      <c r="H2577" s="973" t="s">
        <v>1998</v>
      </c>
      <c r="I2577" s="973" t="s">
        <v>1999</v>
      </c>
      <c r="J2577" s="973" t="s">
        <v>697</v>
      </c>
      <c r="K2577" s="973" t="s">
        <v>995</v>
      </c>
      <c r="L2577" s="973" t="s">
        <v>996</v>
      </c>
      <c r="M2577" s="973" t="s">
        <v>2000</v>
      </c>
      <c r="N2577" s="973" t="s">
        <v>2001</v>
      </c>
      <c r="O2577" s="973" t="s">
        <v>1971</v>
      </c>
      <c r="P2577" s="973" t="s">
        <v>999</v>
      </c>
      <c r="Q2577" s="973" t="s">
        <v>1000</v>
      </c>
      <c r="R2577" s="973" t="s">
        <v>1001</v>
      </c>
      <c r="S2577" s="973" t="s">
        <v>1002</v>
      </c>
      <c r="AE2577" s="423" t="str">
        <f t="shared" si="40"/>
        <v/>
      </c>
    </row>
    <row r="2578" spans="4:31" x14ac:dyDescent="0.25">
      <c r="D2578" s="973" t="s">
        <v>990</v>
      </c>
      <c r="E2578" s="973" t="s">
        <v>991</v>
      </c>
      <c r="F2578" s="973" t="s">
        <v>992</v>
      </c>
      <c r="G2578" s="973" t="s">
        <v>1997</v>
      </c>
      <c r="H2578" s="973" t="s">
        <v>1998</v>
      </c>
      <c r="I2578" s="973" t="s">
        <v>1999</v>
      </c>
      <c r="J2578" s="973" t="s">
        <v>697</v>
      </c>
      <c r="K2578" s="973" t="s">
        <v>995</v>
      </c>
      <c r="L2578" s="973" t="s">
        <v>996</v>
      </c>
      <c r="M2578" s="973" t="s">
        <v>2000</v>
      </c>
      <c r="N2578" s="973" t="s">
        <v>2001</v>
      </c>
      <c r="O2578" s="973" t="s">
        <v>1971</v>
      </c>
      <c r="P2578" s="973" t="s">
        <v>999</v>
      </c>
      <c r="Q2578" s="973" t="s">
        <v>1000</v>
      </c>
      <c r="R2578" s="973" t="s">
        <v>1001</v>
      </c>
      <c r="S2578" s="973" t="s">
        <v>1002</v>
      </c>
      <c r="AE2578" s="423" t="str">
        <f t="shared" si="40"/>
        <v/>
      </c>
    </row>
    <row r="2579" spans="4:31" x14ac:dyDescent="0.25">
      <c r="D2579" s="973" t="s">
        <v>990</v>
      </c>
      <c r="E2579" s="973" t="s">
        <v>991</v>
      </c>
      <c r="F2579" s="973" t="s">
        <v>992</v>
      </c>
      <c r="G2579" s="973" t="s">
        <v>1997</v>
      </c>
      <c r="H2579" s="973" t="s">
        <v>1998</v>
      </c>
      <c r="I2579" s="973" t="s">
        <v>1999</v>
      </c>
      <c r="J2579" s="973" t="s">
        <v>697</v>
      </c>
      <c r="K2579" s="973" t="s">
        <v>995</v>
      </c>
      <c r="L2579" s="973" t="s">
        <v>996</v>
      </c>
      <c r="M2579" s="973" t="s">
        <v>2000</v>
      </c>
      <c r="N2579" s="973" t="s">
        <v>2001</v>
      </c>
      <c r="O2579" s="973" t="s">
        <v>1971</v>
      </c>
      <c r="P2579" s="973" t="s">
        <v>999</v>
      </c>
      <c r="Q2579" s="973" t="s">
        <v>1000</v>
      </c>
      <c r="R2579" s="973" t="s">
        <v>1001</v>
      </c>
      <c r="S2579" s="973" t="s">
        <v>1002</v>
      </c>
      <c r="AE2579" s="423" t="str">
        <f t="shared" si="40"/>
        <v/>
      </c>
    </row>
    <row r="2580" spans="4:31" x14ac:dyDescent="0.25">
      <c r="D2580" s="973" t="s">
        <v>990</v>
      </c>
      <c r="E2580" s="973" t="s">
        <v>991</v>
      </c>
      <c r="F2580" s="973" t="s">
        <v>992</v>
      </c>
      <c r="G2580" s="973" t="s">
        <v>1997</v>
      </c>
      <c r="H2580" s="973" t="s">
        <v>1998</v>
      </c>
      <c r="I2580" s="973" t="s">
        <v>1999</v>
      </c>
      <c r="J2580" s="973" t="s">
        <v>697</v>
      </c>
      <c r="K2580" s="973" t="s">
        <v>995</v>
      </c>
      <c r="L2580" s="973" t="s">
        <v>996</v>
      </c>
      <c r="M2580" s="973" t="s">
        <v>2000</v>
      </c>
      <c r="N2580" s="973" t="s">
        <v>2001</v>
      </c>
      <c r="O2580" s="973" t="s">
        <v>1971</v>
      </c>
      <c r="P2580" s="973" t="s">
        <v>999</v>
      </c>
      <c r="Q2580" s="973" t="s">
        <v>1000</v>
      </c>
      <c r="R2580" s="973" t="s">
        <v>1001</v>
      </c>
      <c r="S2580" s="973" t="s">
        <v>1002</v>
      </c>
      <c r="AE2580" s="423" t="str">
        <f t="shared" si="40"/>
        <v/>
      </c>
    </row>
    <row r="2581" spans="4:31" x14ac:dyDescent="0.25">
      <c r="D2581" s="973" t="s">
        <v>990</v>
      </c>
      <c r="E2581" s="973" t="s">
        <v>991</v>
      </c>
      <c r="F2581" s="973" t="s">
        <v>992</v>
      </c>
      <c r="G2581" s="973" t="s">
        <v>1997</v>
      </c>
      <c r="H2581" s="973" t="s">
        <v>1998</v>
      </c>
      <c r="I2581" s="973" t="s">
        <v>1999</v>
      </c>
      <c r="J2581" s="973" t="s">
        <v>697</v>
      </c>
      <c r="K2581" s="973" t="s">
        <v>995</v>
      </c>
      <c r="L2581" s="973" t="s">
        <v>996</v>
      </c>
      <c r="M2581" s="973" t="s">
        <v>2000</v>
      </c>
      <c r="N2581" s="973" t="s">
        <v>2001</v>
      </c>
      <c r="O2581" s="973" t="s">
        <v>1971</v>
      </c>
      <c r="P2581" s="973" t="s">
        <v>999</v>
      </c>
      <c r="Q2581" s="973" t="s">
        <v>1000</v>
      </c>
      <c r="R2581" s="973" t="s">
        <v>1001</v>
      </c>
      <c r="S2581" s="973" t="s">
        <v>1002</v>
      </c>
      <c r="AE2581" s="423" t="str">
        <f t="shared" si="40"/>
        <v/>
      </c>
    </row>
    <row r="2582" spans="4:31" x14ac:dyDescent="0.25">
      <c r="D2582" s="973" t="s">
        <v>990</v>
      </c>
      <c r="E2582" s="973" t="s">
        <v>991</v>
      </c>
      <c r="F2582" s="973" t="s">
        <v>992</v>
      </c>
      <c r="G2582" s="973" t="s">
        <v>1997</v>
      </c>
      <c r="H2582" s="973" t="s">
        <v>1998</v>
      </c>
      <c r="I2582" s="973" t="s">
        <v>1999</v>
      </c>
      <c r="J2582" s="973" t="s">
        <v>697</v>
      </c>
      <c r="K2582" s="973" t="s">
        <v>995</v>
      </c>
      <c r="L2582" s="973" t="s">
        <v>996</v>
      </c>
      <c r="M2582" s="973" t="s">
        <v>2000</v>
      </c>
      <c r="N2582" s="973" t="s">
        <v>2001</v>
      </c>
      <c r="O2582" s="973" t="s">
        <v>1971</v>
      </c>
      <c r="P2582" s="973" t="s">
        <v>999</v>
      </c>
      <c r="Q2582" s="973" t="s">
        <v>1000</v>
      </c>
      <c r="R2582" s="973" t="s">
        <v>1001</v>
      </c>
      <c r="S2582" s="973" t="s">
        <v>1002</v>
      </c>
      <c r="AE2582" s="423" t="str">
        <f t="shared" si="40"/>
        <v/>
      </c>
    </row>
    <row r="2583" spans="4:31" x14ac:dyDescent="0.25">
      <c r="D2583" s="973" t="s">
        <v>990</v>
      </c>
      <c r="E2583" s="973" t="s">
        <v>991</v>
      </c>
      <c r="F2583" s="973" t="s">
        <v>992</v>
      </c>
      <c r="G2583" s="973" t="s">
        <v>1997</v>
      </c>
      <c r="H2583" s="973" t="s">
        <v>1998</v>
      </c>
      <c r="I2583" s="973" t="s">
        <v>1999</v>
      </c>
      <c r="J2583" s="973" t="s">
        <v>697</v>
      </c>
      <c r="K2583" s="973" t="s">
        <v>995</v>
      </c>
      <c r="L2583" s="973" t="s">
        <v>996</v>
      </c>
      <c r="M2583" s="973" t="s">
        <v>2000</v>
      </c>
      <c r="N2583" s="973" t="s">
        <v>2001</v>
      </c>
      <c r="O2583" s="973" t="s">
        <v>1971</v>
      </c>
      <c r="P2583" s="973" t="s">
        <v>999</v>
      </c>
      <c r="Q2583" s="973" t="s">
        <v>1000</v>
      </c>
      <c r="R2583" s="973" t="s">
        <v>1001</v>
      </c>
      <c r="S2583" s="973" t="s">
        <v>1002</v>
      </c>
      <c r="AE2583" s="423" t="str">
        <f t="shared" si="40"/>
        <v/>
      </c>
    </row>
    <row r="2584" spans="4:31" x14ac:dyDescent="0.25">
      <c r="D2584" s="973" t="s">
        <v>990</v>
      </c>
      <c r="E2584" s="973" t="s">
        <v>991</v>
      </c>
      <c r="F2584" s="973" t="s">
        <v>992</v>
      </c>
      <c r="G2584" s="973" t="s">
        <v>1997</v>
      </c>
      <c r="H2584" s="973" t="s">
        <v>1998</v>
      </c>
      <c r="I2584" s="973" t="s">
        <v>1999</v>
      </c>
      <c r="J2584" s="973" t="s">
        <v>697</v>
      </c>
      <c r="K2584" s="973" t="s">
        <v>995</v>
      </c>
      <c r="L2584" s="973" t="s">
        <v>996</v>
      </c>
      <c r="M2584" s="973" t="s">
        <v>2000</v>
      </c>
      <c r="N2584" s="973" t="s">
        <v>2001</v>
      </c>
      <c r="O2584" s="973" t="s">
        <v>1971</v>
      </c>
      <c r="P2584" s="973" t="s">
        <v>999</v>
      </c>
      <c r="Q2584" s="973" t="s">
        <v>1000</v>
      </c>
      <c r="R2584" s="973" t="s">
        <v>1001</v>
      </c>
      <c r="S2584" s="973" t="s">
        <v>1002</v>
      </c>
      <c r="AE2584" s="423" t="str">
        <f t="shared" si="40"/>
        <v/>
      </c>
    </row>
    <row r="2585" spans="4:31" x14ac:dyDescent="0.25">
      <c r="D2585" s="973" t="s">
        <v>990</v>
      </c>
      <c r="E2585" s="973" t="s">
        <v>991</v>
      </c>
      <c r="F2585" s="973" t="s">
        <v>992</v>
      </c>
      <c r="G2585" s="973" t="s">
        <v>1997</v>
      </c>
      <c r="H2585" s="973" t="s">
        <v>1998</v>
      </c>
      <c r="I2585" s="973" t="s">
        <v>1999</v>
      </c>
      <c r="J2585" s="973" t="s">
        <v>697</v>
      </c>
      <c r="K2585" s="973" t="s">
        <v>995</v>
      </c>
      <c r="L2585" s="973" t="s">
        <v>996</v>
      </c>
      <c r="M2585" s="973" t="s">
        <v>2000</v>
      </c>
      <c r="N2585" s="973" t="s">
        <v>2001</v>
      </c>
      <c r="O2585" s="973" t="s">
        <v>1971</v>
      </c>
      <c r="P2585" s="973" t="s">
        <v>999</v>
      </c>
      <c r="Q2585" s="973" t="s">
        <v>1000</v>
      </c>
      <c r="R2585" s="973" t="s">
        <v>1001</v>
      </c>
      <c r="S2585" s="973" t="s">
        <v>1002</v>
      </c>
      <c r="AE2585" s="423" t="str">
        <f t="shared" si="40"/>
        <v/>
      </c>
    </row>
    <row r="2586" spans="4:31" x14ac:dyDescent="0.25">
      <c r="D2586" s="973" t="s">
        <v>990</v>
      </c>
      <c r="E2586" s="973" t="s">
        <v>991</v>
      </c>
      <c r="F2586" s="973" t="s">
        <v>992</v>
      </c>
      <c r="G2586" s="973" t="s">
        <v>1997</v>
      </c>
      <c r="H2586" s="973" t="s">
        <v>1998</v>
      </c>
      <c r="I2586" s="973" t="s">
        <v>1999</v>
      </c>
      <c r="J2586" s="973" t="s">
        <v>697</v>
      </c>
      <c r="K2586" s="973" t="s">
        <v>995</v>
      </c>
      <c r="L2586" s="973" t="s">
        <v>996</v>
      </c>
      <c r="M2586" s="973" t="s">
        <v>2000</v>
      </c>
      <c r="N2586" s="973" t="s">
        <v>2001</v>
      </c>
      <c r="O2586" s="973" t="s">
        <v>1971</v>
      </c>
      <c r="P2586" s="973" t="s">
        <v>999</v>
      </c>
      <c r="Q2586" s="973" t="s">
        <v>1000</v>
      </c>
      <c r="R2586" s="973" t="s">
        <v>1001</v>
      </c>
      <c r="S2586" s="973" t="s">
        <v>1002</v>
      </c>
      <c r="AE2586" s="423" t="str">
        <f t="shared" si="40"/>
        <v/>
      </c>
    </row>
    <row r="2587" spans="4:31" x14ac:dyDescent="0.25">
      <c r="D2587" s="973" t="s">
        <v>990</v>
      </c>
      <c r="E2587" s="973" t="s">
        <v>991</v>
      </c>
      <c r="F2587" s="973" t="s">
        <v>992</v>
      </c>
      <c r="G2587" s="973" t="s">
        <v>1997</v>
      </c>
      <c r="H2587" s="973" t="s">
        <v>1998</v>
      </c>
      <c r="I2587" s="973" t="s">
        <v>1999</v>
      </c>
      <c r="J2587" s="973" t="s">
        <v>697</v>
      </c>
      <c r="K2587" s="973" t="s">
        <v>995</v>
      </c>
      <c r="L2587" s="973" t="s">
        <v>996</v>
      </c>
      <c r="M2587" s="973" t="s">
        <v>2000</v>
      </c>
      <c r="N2587" s="973" t="s">
        <v>2001</v>
      </c>
      <c r="O2587" s="973" t="s">
        <v>1971</v>
      </c>
      <c r="P2587" s="973" t="s">
        <v>999</v>
      </c>
      <c r="Q2587" s="973" t="s">
        <v>1000</v>
      </c>
      <c r="R2587" s="973" t="s">
        <v>1001</v>
      </c>
      <c r="S2587" s="973" t="s">
        <v>1002</v>
      </c>
      <c r="AE2587" s="423" t="str">
        <f t="shared" si="40"/>
        <v/>
      </c>
    </row>
    <row r="2588" spans="4:31" x14ac:dyDescent="0.25">
      <c r="D2588" s="973" t="s">
        <v>990</v>
      </c>
      <c r="E2588" s="973" t="s">
        <v>991</v>
      </c>
      <c r="F2588" s="973" t="s">
        <v>992</v>
      </c>
      <c r="G2588" s="973" t="s">
        <v>1997</v>
      </c>
      <c r="H2588" s="973" t="s">
        <v>1998</v>
      </c>
      <c r="I2588" s="973" t="s">
        <v>1999</v>
      </c>
      <c r="J2588" s="973" t="s">
        <v>697</v>
      </c>
      <c r="K2588" s="973" t="s">
        <v>995</v>
      </c>
      <c r="L2588" s="973" t="s">
        <v>996</v>
      </c>
      <c r="M2588" s="973" t="s">
        <v>2000</v>
      </c>
      <c r="N2588" s="973" t="s">
        <v>2001</v>
      </c>
      <c r="O2588" s="973" t="s">
        <v>1971</v>
      </c>
      <c r="P2588" s="973" t="s">
        <v>999</v>
      </c>
      <c r="Q2588" s="973" t="s">
        <v>1000</v>
      </c>
      <c r="R2588" s="973" t="s">
        <v>1001</v>
      </c>
      <c r="S2588" s="973" t="s">
        <v>1002</v>
      </c>
      <c r="AE2588" s="423" t="str">
        <f t="shared" si="40"/>
        <v/>
      </c>
    </row>
    <row r="2589" spans="4:31" x14ac:dyDescent="0.25">
      <c r="D2589" s="973" t="s">
        <v>990</v>
      </c>
      <c r="E2589" s="973" t="s">
        <v>991</v>
      </c>
      <c r="F2589" s="973" t="s">
        <v>992</v>
      </c>
      <c r="G2589" s="973" t="s">
        <v>1997</v>
      </c>
      <c r="H2589" s="973" t="s">
        <v>1998</v>
      </c>
      <c r="I2589" s="973" t="s">
        <v>1999</v>
      </c>
      <c r="J2589" s="973" t="s">
        <v>697</v>
      </c>
      <c r="K2589" s="973" t="s">
        <v>995</v>
      </c>
      <c r="L2589" s="973" t="s">
        <v>996</v>
      </c>
      <c r="M2589" s="973" t="s">
        <v>2000</v>
      </c>
      <c r="N2589" s="973" t="s">
        <v>2001</v>
      </c>
      <c r="O2589" s="973" t="s">
        <v>1971</v>
      </c>
      <c r="P2589" s="973" t="s">
        <v>999</v>
      </c>
      <c r="Q2589" s="973" t="s">
        <v>1000</v>
      </c>
      <c r="R2589" s="973" t="s">
        <v>1001</v>
      </c>
      <c r="S2589" s="973" t="s">
        <v>1002</v>
      </c>
      <c r="AE2589" s="423" t="str">
        <f t="shared" si="40"/>
        <v/>
      </c>
    </row>
    <row r="2590" spans="4:31" x14ac:dyDescent="0.25">
      <c r="D2590" s="973" t="s">
        <v>990</v>
      </c>
      <c r="E2590" s="973" t="s">
        <v>991</v>
      </c>
      <c r="F2590" s="973" t="s">
        <v>992</v>
      </c>
      <c r="G2590" s="973" t="s">
        <v>1997</v>
      </c>
      <c r="H2590" s="973" t="s">
        <v>1998</v>
      </c>
      <c r="I2590" s="973" t="s">
        <v>1999</v>
      </c>
      <c r="J2590" s="973" t="s">
        <v>697</v>
      </c>
      <c r="K2590" s="973" t="s">
        <v>995</v>
      </c>
      <c r="L2590" s="973" t="s">
        <v>996</v>
      </c>
      <c r="M2590" s="973" t="s">
        <v>2000</v>
      </c>
      <c r="N2590" s="973" t="s">
        <v>2001</v>
      </c>
      <c r="O2590" s="973" t="s">
        <v>1971</v>
      </c>
      <c r="P2590" s="973" t="s">
        <v>999</v>
      </c>
      <c r="Q2590" s="973" t="s">
        <v>1000</v>
      </c>
      <c r="R2590" s="973" t="s">
        <v>1001</v>
      </c>
      <c r="S2590" s="973" t="s">
        <v>1002</v>
      </c>
      <c r="AE2590" s="423" t="str">
        <f t="shared" si="40"/>
        <v/>
      </c>
    </row>
    <row r="2591" spans="4:31" x14ac:dyDescent="0.25">
      <c r="D2591" s="973" t="s">
        <v>990</v>
      </c>
      <c r="E2591" s="973" t="s">
        <v>991</v>
      </c>
      <c r="F2591" s="973" t="s">
        <v>992</v>
      </c>
      <c r="G2591" s="973" t="s">
        <v>1997</v>
      </c>
      <c r="H2591" s="973" t="s">
        <v>1998</v>
      </c>
      <c r="I2591" s="973" t="s">
        <v>1999</v>
      </c>
      <c r="J2591" s="973" t="s">
        <v>697</v>
      </c>
      <c r="K2591" s="973" t="s">
        <v>995</v>
      </c>
      <c r="L2591" s="973" t="s">
        <v>996</v>
      </c>
      <c r="M2591" s="973" t="s">
        <v>2000</v>
      </c>
      <c r="N2591" s="973" t="s">
        <v>2001</v>
      </c>
      <c r="O2591" s="973" t="s">
        <v>1971</v>
      </c>
      <c r="P2591" s="973" t="s">
        <v>999</v>
      </c>
      <c r="Q2591" s="973" t="s">
        <v>1000</v>
      </c>
      <c r="R2591" s="973" t="s">
        <v>1001</v>
      </c>
      <c r="S2591" s="973" t="s">
        <v>1002</v>
      </c>
      <c r="AE2591" s="423" t="str">
        <f t="shared" si="40"/>
        <v/>
      </c>
    </row>
    <row r="2592" spans="4:31" x14ac:dyDescent="0.25">
      <c r="D2592" s="973" t="s">
        <v>990</v>
      </c>
      <c r="E2592" s="973" t="s">
        <v>991</v>
      </c>
      <c r="F2592" s="973" t="s">
        <v>992</v>
      </c>
      <c r="G2592" s="973" t="s">
        <v>1997</v>
      </c>
      <c r="H2592" s="973" t="s">
        <v>1998</v>
      </c>
      <c r="I2592" s="973" t="s">
        <v>1999</v>
      </c>
      <c r="J2592" s="973" t="s">
        <v>697</v>
      </c>
      <c r="K2592" s="973" t="s">
        <v>995</v>
      </c>
      <c r="L2592" s="973" t="s">
        <v>996</v>
      </c>
      <c r="M2592" s="973" t="s">
        <v>2000</v>
      </c>
      <c r="N2592" s="973" t="s">
        <v>2001</v>
      </c>
      <c r="O2592" s="973" t="s">
        <v>1971</v>
      </c>
      <c r="P2592" s="973" t="s">
        <v>999</v>
      </c>
      <c r="Q2592" s="973" t="s">
        <v>1000</v>
      </c>
      <c r="R2592" s="973" t="s">
        <v>1001</v>
      </c>
      <c r="S2592" s="973" t="s">
        <v>1002</v>
      </c>
      <c r="AE2592" s="423" t="str">
        <f t="shared" si="40"/>
        <v/>
      </c>
    </row>
    <row r="2593" spans="4:31" x14ac:dyDescent="0.25">
      <c r="D2593" s="973" t="s">
        <v>990</v>
      </c>
      <c r="E2593" s="973" t="s">
        <v>991</v>
      </c>
      <c r="F2593" s="973" t="s">
        <v>992</v>
      </c>
      <c r="G2593" s="973" t="s">
        <v>1997</v>
      </c>
      <c r="H2593" s="973" t="s">
        <v>1998</v>
      </c>
      <c r="I2593" s="973" t="s">
        <v>1999</v>
      </c>
      <c r="J2593" s="973" t="s">
        <v>697</v>
      </c>
      <c r="K2593" s="973" t="s">
        <v>995</v>
      </c>
      <c r="L2593" s="973" t="s">
        <v>996</v>
      </c>
      <c r="M2593" s="973" t="s">
        <v>2000</v>
      </c>
      <c r="N2593" s="973" t="s">
        <v>2001</v>
      </c>
      <c r="O2593" s="973" t="s">
        <v>1971</v>
      </c>
      <c r="P2593" s="973" t="s">
        <v>999</v>
      </c>
      <c r="Q2593" s="973" t="s">
        <v>1000</v>
      </c>
      <c r="R2593" s="973" t="s">
        <v>1001</v>
      </c>
      <c r="S2593" s="973" t="s">
        <v>1002</v>
      </c>
      <c r="AE2593" s="423" t="str">
        <f t="shared" si="40"/>
        <v/>
      </c>
    </row>
    <row r="2594" spans="4:31" x14ac:dyDescent="0.25">
      <c r="D2594" s="973" t="s">
        <v>990</v>
      </c>
      <c r="E2594" s="973" t="s">
        <v>991</v>
      </c>
      <c r="F2594" s="973" t="s">
        <v>992</v>
      </c>
      <c r="G2594" s="973" t="s">
        <v>1997</v>
      </c>
      <c r="H2594" s="973" t="s">
        <v>1998</v>
      </c>
      <c r="I2594" s="973" t="s">
        <v>1999</v>
      </c>
      <c r="J2594" s="973" t="s">
        <v>697</v>
      </c>
      <c r="K2594" s="973" t="s">
        <v>995</v>
      </c>
      <c r="L2594" s="973" t="s">
        <v>996</v>
      </c>
      <c r="M2594" s="973" t="s">
        <v>2000</v>
      </c>
      <c r="N2594" s="973" t="s">
        <v>2001</v>
      </c>
      <c r="O2594" s="973" t="s">
        <v>1971</v>
      </c>
      <c r="P2594" s="973" t="s">
        <v>999</v>
      </c>
      <c r="Q2594" s="973" t="s">
        <v>1000</v>
      </c>
      <c r="R2594" s="973" t="s">
        <v>1001</v>
      </c>
      <c r="S2594" s="973" t="s">
        <v>1002</v>
      </c>
      <c r="AE2594" s="423" t="str">
        <f t="shared" si="40"/>
        <v/>
      </c>
    </row>
    <row r="2595" spans="4:31" x14ac:dyDescent="0.25">
      <c r="D2595" s="973" t="s">
        <v>990</v>
      </c>
      <c r="E2595" s="973" t="s">
        <v>991</v>
      </c>
      <c r="F2595" s="973" t="s">
        <v>992</v>
      </c>
      <c r="G2595" s="973" t="s">
        <v>1997</v>
      </c>
      <c r="H2595" s="973" t="s">
        <v>1998</v>
      </c>
      <c r="I2595" s="973" t="s">
        <v>1999</v>
      </c>
      <c r="J2595" s="973" t="s">
        <v>697</v>
      </c>
      <c r="K2595" s="973" t="s">
        <v>995</v>
      </c>
      <c r="L2595" s="973" t="s">
        <v>996</v>
      </c>
      <c r="M2595" s="973" t="s">
        <v>2000</v>
      </c>
      <c r="N2595" s="973" t="s">
        <v>2001</v>
      </c>
      <c r="O2595" s="973" t="s">
        <v>1971</v>
      </c>
      <c r="P2595" s="973" t="s">
        <v>999</v>
      </c>
      <c r="Q2595" s="973" t="s">
        <v>1000</v>
      </c>
      <c r="R2595" s="973" t="s">
        <v>1001</v>
      </c>
      <c r="S2595" s="973" t="s">
        <v>1002</v>
      </c>
      <c r="AE2595" s="423" t="str">
        <f t="shared" si="40"/>
        <v/>
      </c>
    </row>
    <row r="2596" spans="4:31" x14ac:dyDescent="0.25">
      <c r="D2596" s="973" t="s">
        <v>990</v>
      </c>
      <c r="E2596" s="973" t="s">
        <v>991</v>
      </c>
      <c r="F2596" s="973" t="s">
        <v>992</v>
      </c>
      <c r="G2596" s="973" t="s">
        <v>1997</v>
      </c>
      <c r="H2596" s="973" t="s">
        <v>1998</v>
      </c>
      <c r="I2596" s="973" t="s">
        <v>1999</v>
      </c>
      <c r="J2596" s="973" t="s">
        <v>697</v>
      </c>
      <c r="K2596" s="973" t="s">
        <v>995</v>
      </c>
      <c r="L2596" s="973" t="s">
        <v>996</v>
      </c>
      <c r="M2596" s="973" t="s">
        <v>2000</v>
      </c>
      <c r="N2596" s="973" t="s">
        <v>2001</v>
      </c>
      <c r="O2596" s="973" t="s">
        <v>1971</v>
      </c>
      <c r="P2596" s="973" t="s">
        <v>999</v>
      </c>
      <c r="Q2596" s="973" t="s">
        <v>1000</v>
      </c>
      <c r="R2596" s="973" t="s">
        <v>1001</v>
      </c>
      <c r="S2596" s="973" t="s">
        <v>1002</v>
      </c>
      <c r="AE2596" s="423" t="str">
        <f t="shared" si="40"/>
        <v/>
      </c>
    </row>
    <row r="2597" spans="4:31" x14ac:dyDescent="0.25">
      <c r="D2597" s="973" t="s">
        <v>990</v>
      </c>
      <c r="E2597" s="973" t="s">
        <v>991</v>
      </c>
      <c r="F2597" s="973" t="s">
        <v>992</v>
      </c>
      <c r="G2597" s="973" t="s">
        <v>1997</v>
      </c>
      <c r="H2597" s="973" t="s">
        <v>1998</v>
      </c>
      <c r="I2597" s="973" t="s">
        <v>1999</v>
      </c>
      <c r="J2597" s="973" t="s">
        <v>697</v>
      </c>
      <c r="K2597" s="973" t="s">
        <v>995</v>
      </c>
      <c r="L2597" s="973" t="s">
        <v>996</v>
      </c>
      <c r="M2597" s="973" t="s">
        <v>2000</v>
      </c>
      <c r="N2597" s="973" t="s">
        <v>2001</v>
      </c>
      <c r="O2597" s="973" t="s">
        <v>1971</v>
      </c>
      <c r="P2597" s="973" t="s">
        <v>999</v>
      </c>
      <c r="Q2597" s="973" t="s">
        <v>1000</v>
      </c>
      <c r="R2597" s="973" t="s">
        <v>1001</v>
      </c>
      <c r="S2597" s="973" t="s">
        <v>1002</v>
      </c>
      <c r="AE2597" s="423" t="str">
        <f t="shared" si="40"/>
        <v/>
      </c>
    </row>
    <row r="2598" spans="4:31" x14ac:dyDescent="0.25">
      <c r="D2598" s="973" t="s">
        <v>990</v>
      </c>
      <c r="E2598" s="973" t="s">
        <v>991</v>
      </c>
      <c r="F2598" s="973" t="s">
        <v>992</v>
      </c>
      <c r="G2598" s="973" t="s">
        <v>1997</v>
      </c>
      <c r="H2598" s="973" t="s">
        <v>1998</v>
      </c>
      <c r="I2598" s="973" t="s">
        <v>1999</v>
      </c>
      <c r="J2598" s="973" t="s">
        <v>697</v>
      </c>
      <c r="K2598" s="973" t="s">
        <v>995</v>
      </c>
      <c r="L2598" s="973" t="s">
        <v>996</v>
      </c>
      <c r="M2598" s="973" t="s">
        <v>2000</v>
      </c>
      <c r="N2598" s="973" t="s">
        <v>2001</v>
      </c>
      <c r="O2598" s="973" t="s">
        <v>1971</v>
      </c>
      <c r="P2598" s="973" t="s">
        <v>999</v>
      </c>
      <c r="Q2598" s="973" t="s">
        <v>1000</v>
      </c>
      <c r="R2598" s="973" t="s">
        <v>1001</v>
      </c>
      <c r="S2598" s="973" t="s">
        <v>1002</v>
      </c>
      <c r="AE2598" s="423" t="str">
        <f t="shared" si="40"/>
        <v/>
      </c>
    </row>
    <row r="2599" spans="4:31" x14ac:dyDescent="0.25">
      <c r="D2599" s="973" t="s">
        <v>990</v>
      </c>
      <c r="E2599" s="973" t="s">
        <v>991</v>
      </c>
      <c r="F2599" s="973" t="s">
        <v>992</v>
      </c>
      <c r="G2599" s="973" t="s">
        <v>1997</v>
      </c>
      <c r="H2599" s="973" t="s">
        <v>1998</v>
      </c>
      <c r="I2599" s="973" t="s">
        <v>1999</v>
      </c>
      <c r="J2599" s="973" t="s">
        <v>697</v>
      </c>
      <c r="K2599" s="973" t="s">
        <v>995</v>
      </c>
      <c r="L2599" s="973" t="s">
        <v>996</v>
      </c>
      <c r="M2599" s="973" t="s">
        <v>2000</v>
      </c>
      <c r="N2599" s="973" t="s">
        <v>2001</v>
      </c>
      <c r="O2599" s="973" t="s">
        <v>1971</v>
      </c>
      <c r="P2599" s="973" t="s">
        <v>999</v>
      </c>
      <c r="Q2599" s="973" t="s">
        <v>1000</v>
      </c>
      <c r="R2599" s="973" t="s">
        <v>1001</v>
      </c>
      <c r="S2599" s="973" t="s">
        <v>1002</v>
      </c>
      <c r="AE2599" s="423" t="str">
        <f t="shared" si="40"/>
        <v/>
      </c>
    </row>
    <row r="2600" spans="4:31" x14ac:dyDescent="0.25">
      <c r="D2600" s="973" t="s">
        <v>990</v>
      </c>
      <c r="E2600" s="973" t="s">
        <v>991</v>
      </c>
      <c r="F2600" s="973" t="s">
        <v>992</v>
      </c>
      <c r="G2600" s="973" t="s">
        <v>1997</v>
      </c>
      <c r="H2600" s="973" t="s">
        <v>1998</v>
      </c>
      <c r="I2600" s="973" t="s">
        <v>1999</v>
      </c>
      <c r="J2600" s="973" t="s">
        <v>697</v>
      </c>
      <c r="K2600" s="973" t="s">
        <v>995</v>
      </c>
      <c r="L2600" s="973" t="s">
        <v>996</v>
      </c>
      <c r="M2600" s="973" t="s">
        <v>2000</v>
      </c>
      <c r="N2600" s="973" t="s">
        <v>2001</v>
      </c>
      <c r="O2600" s="973" t="s">
        <v>1971</v>
      </c>
      <c r="P2600" s="973" t="s">
        <v>999</v>
      </c>
      <c r="Q2600" s="973" t="s">
        <v>1000</v>
      </c>
      <c r="R2600" s="973" t="s">
        <v>1001</v>
      </c>
      <c r="S2600" s="973" t="s">
        <v>1002</v>
      </c>
      <c r="AE2600" s="423" t="str">
        <f t="shared" si="40"/>
        <v/>
      </c>
    </row>
    <row r="2601" spans="4:31" x14ac:dyDescent="0.25">
      <c r="D2601" s="973" t="s">
        <v>990</v>
      </c>
      <c r="E2601" s="973" t="s">
        <v>991</v>
      </c>
      <c r="F2601" s="973" t="s">
        <v>992</v>
      </c>
      <c r="G2601" s="973" t="s">
        <v>1997</v>
      </c>
      <c r="H2601" s="973" t="s">
        <v>1998</v>
      </c>
      <c r="I2601" s="973" t="s">
        <v>1999</v>
      </c>
      <c r="J2601" s="973" t="s">
        <v>697</v>
      </c>
      <c r="K2601" s="973" t="s">
        <v>995</v>
      </c>
      <c r="L2601" s="973" t="s">
        <v>996</v>
      </c>
      <c r="M2601" s="973" t="s">
        <v>2000</v>
      </c>
      <c r="N2601" s="973" t="s">
        <v>2001</v>
      </c>
      <c r="O2601" s="973" t="s">
        <v>1971</v>
      </c>
      <c r="P2601" s="973" t="s">
        <v>999</v>
      </c>
      <c r="Q2601" s="973" t="s">
        <v>1000</v>
      </c>
      <c r="R2601" s="973" t="s">
        <v>1001</v>
      </c>
      <c r="S2601" s="973" t="s">
        <v>1002</v>
      </c>
      <c r="AE2601" s="423" t="str">
        <f t="shared" si="40"/>
        <v/>
      </c>
    </row>
    <row r="2602" spans="4:31" x14ac:dyDescent="0.25">
      <c r="D2602" s="973" t="s">
        <v>990</v>
      </c>
      <c r="E2602" s="973" t="s">
        <v>991</v>
      </c>
      <c r="F2602" s="973" t="s">
        <v>992</v>
      </c>
      <c r="G2602" s="973" t="s">
        <v>1997</v>
      </c>
      <c r="H2602" s="973" t="s">
        <v>1998</v>
      </c>
      <c r="I2602" s="973" t="s">
        <v>1999</v>
      </c>
      <c r="J2602" s="973" t="s">
        <v>697</v>
      </c>
      <c r="K2602" s="973" t="s">
        <v>995</v>
      </c>
      <c r="L2602" s="973" t="s">
        <v>996</v>
      </c>
      <c r="M2602" s="973" t="s">
        <v>2000</v>
      </c>
      <c r="N2602" s="973" t="s">
        <v>2001</v>
      </c>
      <c r="O2602" s="973" t="s">
        <v>1971</v>
      </c>
      <c r="P2602" s="973" t="s">
        <v>999</v>
      </c>
      <c r="Q2602" s="973" t="s">
        <v>1000</v>
      </c>
      <c r="R2602" s="973" t="s">
        <v>1001</v>
      </c>
      <c r="S2602" s="973" t="s">
        <v>1002</v>
      </c>
      <c r="AE2602" s="423" t="str">
        <f t="shared" si="40"/>
        <v/>
      </c>
    </row>
    <row r="2603" spans="4:31" x14ac:dyDescent="0.25">
      <c r="D2603" s="973" t="s">
        <v>990</v>
      </c>
      <c r="E2603" s="973" t="s">
        <v>991</v>
      </c>
      <c r="F2603" s="973" t="s">
        <v>992</v>
      </c>
      <c r="G2603" s="973" t="s">
        <v>1997</v>
      </c>
      <c r="H2603" s="973" t="s">
        <v>1998</v>
      </c>
      <c r="I2603" s="973" t="s">
        <v>1999</v>
      </c>
      <c r="J2603" s="973" t="s">
        <v>697</v>
      </c>
      <c r="K2603" s="973" t="s">
        <v>995</v>
      </c>
      <c r="L2603" s="973" t="s">
        <v>996</v>
      </c>
      <c r="M2603" s="973" t="s">
        <v>2000</v>
      </c>
      <c r="N2603" s="973" t="s">
        <v>2001</v>
      </c>
      <c r="O2603" s="973" t="s">
        <v>1971</v>
      </c>
      <c r="P2603" s="973" t="s">
        <v>999</v>
      </c>
      <c r="Q2603" s="973" t="s">
        <v>1000</v>
      </c>
      <c r="R2603" s="973" t="s">
        <v>1001</v>
      </c>
      <c r="S2603" s="973" t="s">
        <v>1002</v>
      </c>
      <c r="AE2603" s="423" t="str">
        <f t="shared" si="40"/>
        <v/>
      </c>
    </row>
    <row r="2604" spans="4:31" x14ac:dyDescent="0.25">
      <c r="D2604" s="973" t="s">
        <v>990</v>
      </c>
      <c r="E2604" s="973" t="s">
        <v>991</v>
      </c>
      <c r="F2604" s="973" t="s">
        <v>992</v>
      </c>
      <c r="G2604" s="973" t="s">
        <v>1997</v>
      </c>
      <c r="H2604" s="973" t="s">
        <v>1998</v>
      </c>
      <c r="I2604" s="973" t="s">
        <v>1999</v>
      </c>
      <c r="J2604" s="973" t="s">
        <v>697</v>
      </c>
      <c r="K2604" s="973" t="s">
        <v>995</v>
      </c>
      <c r="L2604" s="973" t="s">
        <v>996</v>
      </c>
      <c r="M2604" s="973" t="s">
        <v>2000</v>
      </c>
      <c r="N2604" s="973" t="s">
        <v>2001</v>
      </c>
      <c r="O2604" s="973" t="s">
        <v>1971</v>
      </c>
      <c r="P2604" s="973" t="s">
        <v>999</v>
      </c>
      <c r="Q2604" s="973" t="s">
        <v>1000</v>
      </c>
      <c r="R2604" s="973" t="s">
        <v>1001</v>
      </c>
      <c r="S2604" s="973" t="s">
        <v>1002</v>
      </c>
      <c r="AE2604" s="423" t="str">
        <f t="shared" si="40"/>
        <v/>
      </c>
    </row>
    <row r="2605" spans="4:31" x14ac:dyDescent="0.25">
      <c r="D2605" s="973" t="s">
        <v>990</v>
      </c>
      <c r="E2605" s="973" t="s">
        <v>991</v>
      </c>
      <c r="F2605" s="973" t="s">
        <v>992</v>
      </c>
      <c r="G2605" s="973" t="s">
        <v>1997</v>
      </c>
      <c r="H2605" s="973" t="s">
        <v>1998</v>
      </c>
      <c r="I2605" s="973" t="s">
        <v>1999</v>
      </c>
      <c r="J2605" s="973" t="s">
        <v>697</v>
      </c>
      <c r="K2605" s="973" t="s">
        <v>995</v>
      </c>
      <c r="L2605" s="973" t="s">
        <v>996</v>
      </c>
      <c r="M2605" s="973" t="s">
        <v>2000</v>
      </c>
      <c r="N2605" s="973" t="s">
        <v>2001</v>
      </c>
      <c r="O2605" s="973" t="s">
        <v>1971</v>
      </c>
      <c r="P2605" s="973" t="s">
        <v>999</v>
      </c>
      <c r="Q2605" s="973" t="s">
        <v>1000</v>
      </c>
      <c r="R2605" s="973" t="s">
        <v>1001</v>
      </c>
      <c r="S2605" s="973" t="s">
        <v>1002</v>
      </c>
      <c r="AE2605" s="423" t="str">
        <f t="shared" si="40"/>
        <v/>
      </c>
    </row>
    <row r="2606" spans="4:31" x14ac:dyDescent="0.25">
      <c r="D2606" s="973" t="s">
        <v>990</v>
      </c>
      <c r="E2606" s="973" t="s">
        <v>991</v>
      </c>
      <c r="F2606" s="973" t="s">
        <v>992</v>
      </c>
      <c r="G2606" s="973" t="s">
        <v>1997</v>
      </c>
      <c r="H2606" s="973" t="s">
        <v>1998</v>
      </c>
      <c r="I2606" s="973" t="s">
        <v>1999</v>
      </c>
      <c r="J2606" s="973" t="s">
        <v>697</v>
      </c>
      <c r="K2606" s="973" t="s">
        <v>995</v>
      </c>
      <c r="L2606" s="973" t="s">
        <v>996</v>
      </c>
      <c r="M2606" s="973" t="s">
        <v>2000</v>
      </c>
      <c r="N2606" s="973" t="s">
        <v>2001</v>
      </c>
      <c r="O2606" s="973" t="s">
        <v>1971</v>
      </c>
      <c r="P2606" s="973" t="s">
        <v>999</v>
      </c>
      <c r="Q2606" s="973" t="s">
        <v>1000</v>
      </c>
      <c r="R2606" s="973" t="s">
        <v>1001</v>
      </c>
      <c r="S2606" s="973" t="s">
        <v>1002</v>
      </c>
      <c r="AE2606" s="423" t="str">
        <f t="shared" si="40"/>
        <v/>
      </c>
    </row>
    <row r="2607" spans="4:31" x14ac:dyDescent="0.25">
      <c r="D2607" s="973" t="s">
        <v>990</v>
      </c>
      <c r="E2607" s="973" t="s">
        <v>991</v>
      </c>
      <c r="F2607" s="973" t="s">
        <v>992</v>
      </c>
      <c r="G2607" s="973" t="s">
        <v>1997</v>
      </c>
      <c r="H2607" s="973" t="s">
        <v>1998</v>
      </c>
      <c r="I2607" s="973" t="s">
        <v>1999</v>
      </c>
      <c r="J2607" s="973" t="s">
        <v>697</v>
      </c>
      <c r="K2607" s="973" t="s">
        <v>995</v>
      </c>
      <c r="L2607" s="973" t="s">
        <v>996</v>
      </c>
      <c r="M2607" s="973" t="s">
        <v>2000</v>
      </c>
      <c r="N2607" s="973" t="s">
        <v>2001</v>
      </c>
      <c r="O2607" s="973" t="s">
        <v>1971</v>
      </c>
      <c r="P2607" s="973" t="s">
        <v>999</v>
      </c>
      <c r="Q2607" s="973" t="s">
        <v>1000</v>
      </c>
      <c r="R2607" s="973" t="s">
        <v>1001</v>
      </c>
      <c r="S2607" s="973" t="s">
        <v>1002</v>
      </c>
      <c r="AE2607" s="423" t="str">
        <f t="shared" si="40"/>
        <v/>
      </c>
    </row>
    <row r="2608" spans="4:31" x14ac:dyDescent="0.25">
      <c r="D2608" s="973" t="s">
        <v>990</v>
      </c>
      <c r="E2608" s="973" t="s">
        <v>991</v>
      </c>
      <c r="F2608" s="973" t="s">
        <v>992</v>
      </c>
      <c r="G2608" s="973" t="s">
        <v>1997</v>
      </c>
      <c r="H2608" s="973" t="s">
        <v>1998</v>
      </c>
      <c r="I2608" s="973" t="s">
        <v>1999</v>
      </c>
      <c r="J2608" s="973" t="s">
        <v>697</v>
      </c>
      <c r="K2608" s="973" t="s">
        <v>995</v>
      </c>
      <c r="L2608" s="973" t="s">
        <v>996</v>
      </c>
      <c r="M2608" s="973" t="s">
        <v>2000</v>
      </c>
      <c r="N2608" s="973" t="s">
        <v>2001</v>
      </c>
      <c r="O2608" s="973" t="s">
        <v>1971</v>
      </c>
      <c r="P2608" s="973" t="s">
        <v>999</v>
      </c>
      <c r="Q2608" s="973" t="s">
        <v>1000</v>
      </c>
      <c r="R2608" s="973" t="s">
        <v>1001</v>
      </c>
      <c r="S2608" s="973" t="s">
        <v>1002</v>
      </c>
      <c r="AE2608" s="423" t="str">
        <f t="shared" si="40"/>
        <v/>
      </c>
    </row>
    <row r="2609" spans="4:31" x14ac:dyDescent="0.25">
      <c r="D2609" s="973" t="s">
        <v>990</v>
      </c>
      <c r="E2609" s="973" t="s">
        <v>991</v>
      </c>
      <c r="F2609" s="973" t="s">
        <v>992</v>
      </c>
      <c r="G2609" s="973" t="s">
        <v>1997</v>
      </c>
      <c r="H2609" s="973" t="s">
        <v>1998</v>
      </c>
      <c r="I2609" s="973" t="s">
        <v>1999</v>
      </c>
      <c r="J2609" s="973" t="s">
        <v>697</v>
      </c>
      <c r="K2609" s="973" t="s">
        <v>995</v>
      </c>
      <c r="L2609" s="973" t="s">
        <v>996</v>
      </c>
      <c r="M2609" s="973" t="s">
        <v>2000</v>
      </c>
      <c r="N2609" s="973" t="s">
        <v>2001</v>
      </c>
      <c r="O2609" s="973" t="s">
        <v>1971</v>
      </c>
      <c r="P2609" s="973" t="s">
        <v>999</v>
      </c>
      <c r="Q2609" s="973" t="s">
        <v>1000</v>
      </c>
      <c r="R2609" s="973" t="s">
        <v>1001</v>
      </c>
      <c r="S2609" s="973" t="s">
        <v>1002</v>
      </c>
      <c r="AE2609" s="423" t="str">
        <f t="shared" si="40"/>
        <v/>
      </c>
    </row>
    <row r="2610" spans="4:31" x14ac:dyDescent="0.25">
      <c r="D2610" s="973" t="s">
        <v>990</v>
      </c>
      <c r="E2610" s="973" t="s">
        <v>991</v>
      </c>
      <c r="F2610" s="973" t="s">
        <v>992</v>
      </c>
      <c r="G2610" s="973" t="s">
        <v>1997</v>
      </c>
      <c r="H2610" s="973" t="s">
        <v>1998</v>
      </c>
      <c r="I2610" s="973" t="s">
        <v>1999</v>
      </c>
      <c r="J2610" s="973" t="s">
        <v>697</v>
      </c>
      <c r="K2610" s="973" t="s">
        <v>995</v>
      </c>
      <c r="L2610" s="973" t="s">
        <v>996</v>
      </c>
      <c r="M2610" s="973" t="s">
        <v>2000</v>
      </c>
      <c r="N2610" s="973" t="s">
        <v>2001</v>
      </c>
      <c r="O2610" s="973" t="s">
        <v>1971</v>
      </c>
      <c r="P2610" s="973" t="s">
        <v>999</v>
      </c>
      <c r="Q2610" s="973" t="s">
        <v>1000</v>
      </c>
      <c r="R2610" s="973" t="s">
        <v>1001</v>
      </c>
      <c r="S2610" s="973" t="s">
        <v>1002</v>
      </c>
      <c r="AE2610" s="423" t="str">
        <f t="shared" si="40"/>
        <v/>
      </c>
    </row>
    <row r="2611" spans="4:31" x14ac:dyDescent="0.25">
      <c r="D2611" s="973" t="s">
        <v>990</v>
      </c>
      <c r="E2611" s="973" t="s">
        <v>991</v>
      </c>
      <c r="F2611" s="973" t="s">
        <v>992</v>
      </c>
      <c r="G2611" s="973" t="s">
        <v>1997</v>
      </c>
      <c r="H2611" s="973" t="s">
        <v>1998</v>
      </c>
      <c r="I2611" s="973" t="s">
        <v>1999</v>
      </c>
      <c r="J2611" s="973" t="s">
        <v>697</v>
      </c>
      <c r="K2611" s="973" t="s">
        <v>995</v>
      </c>
      <c r="L2611" s="973" t="s">
        <v>996</v>
      </c>
      <c r="M2611" s="973" t="s">
        <v>2000</v>
      </c>
      <c r="N2611" s="973" t="s">
        <v>2001</v>
      </c>
      <c r="O2611" s="973" t="s">
        <v>1971</v>
      </c>
      <c r="P2611" s="973" t="s">
        <v>999</v>
      </c>
      <c r="Q2611" s="973" t="s">
        <v>1000</v>
      </c>
      <c r="R2611" s="973" t="s">
        <v>1001</v>
      </c>
      <c r="S2611" s="973" t="s">
        <v>1002</v>
      </c>
      <c r="AE2611" s="423" t="str">
        <f t="shared" si="40"/>
        <v/>
      </c>
    </row>
    <row r="2612" spans="4:31" x14ac:dyDescent="0.25">
      <c r="D2612" s="973" t="s">
        <v>990</v>
      </c>
      <c r="E2612" s="973" t="s">
        <v>991</v>
      </c>
      <c r="F2612" s="973" t="s">
        <v>992</v>
      </c>
      <c r="G2612" s="973" t="s">
        <v>1997</v>
      </c>
      <c r="H2612" s="973" t="s">
        <v>1998</v>
      </c>
      <c r="I2612" s="973" t="s">
        <v>1999</v>
      </c>
      <c r="J2612" s="973" t="s">
        <v>697</v>
      </c>
      <c r="K2612" s="973" t="s">
        <v>995</v>
      </c>
      <c r="L2612" s="973" t="s">
        <v>996</v>
      </c>
      <c r="M2612" s="973" t="s">
        <v>2000</v>
      </c>
      <c r="N2612" s="973" t="s">
        <v>2001</v>
      </c>
      <c r="O2612" s="973" t="s">
        <v>1971</v>
      </c>
      <c r="P2612" s="973" t="s">
        <v>999</v>
      </c>
      <c r="Q2612" s="973" t="s">
        <v>1000</v>
      </c>
      <c r="R2612" s="973" t="s">
        <v>1001</v>
      </c>
      <c r="S2612" s="973" t="s">
        <v>1002</v>
      </c>
      <c r="AE2612" s="423" t="str">
        <f t="shared" si="40"/>
        <v/>
      </c>
    </row>
    <row r="2613" spans="4:31" x14ac:dyDescent="0.25">
      <c r="D2613" s="973" t="s">
        <v>990</v>
      </c>
      <c r="E2613" s="973" t="s">
        <v>991</v>
      </c>
      <c r="F2613" s="973" t="s">
        <v>992</v>
      </c>
      <c r="G2613" s="973" t="s">
        <v>1997</v>
      </c>
      <c r="H2613" s="973" t="s">
        <v>1998</v>
      </c>
      <c r="I2613" s="973" t="s">
        <v>1999</v>
      </c>
      <c r="J2613" s="973" t="s">
        <v>697</v>
      </c>
      <c r="K2613" s="973" t="s">
        <v>995</v>
      </c>
      <c r="L2613" s="973" t="s">
        <v>996</v>
      </c>
      <c r="M2613" s="973" t="s">
        <v>2000</v>
      </c>
      <c r="N2613" s="973" t="s">
        <v>2001</v>
      </c>
      <c r="O2613" s="973" t="s">
        <v>1971</v>
      </c>
      <c r="P2613" s="973" t="s">
        <v>999</v>
      </c>
      <c r="Q2613" s="973" t="s">
        <v>1000</v>
      </c>
      <c r="R2613" s="973" t="s">
        <v>1001</v>
      </c>
      <c r="S2613" s="973" t="s">
        <v>1002</v>
      </c>
      <c r="AE2613" s="423" t="str">
        <f t="shared" si="40"/>
        <v/>
      </c>
    </row>
    <row r="2614" spans="4:31" x14ac:dyDescent="0.25">
      <c r="D2614" s="973" t="s">
        <v>990</v>
      </c>
      <c r="E2614" s="973" t="s">
        <v>991</v>
      </c>
      <c r="F2614" s="973" t="s">
        <v>992</v>
      </c>
      <c r="G2614" s="973" t="s">
        <v>1997</v>
      </c>
      <c r="H2614" s="973" t="s">
        <v>1998</v>
      </c>
      <c r="I2614" s="973" t="s">
        <v>1999</v>
      </c>
      <c r="J2614" s="973" t="s">
        <v>697</v>
      </c>
      <c r="K2614" s="973" t="s">
        <v>995</v>
      </c>
      <c r="L2614" s="973" t="s">
        <v>996</v>
      </c>
      <c r="M2614" s="973" t="s">
        <v>2000</v>
      </c>
      <c r="N2614" s="973" t="s">
        <v>2001</v>
      </c>
      <c r="O2614" s="973" t="s">
        <v>1971</v>
      </c>
      <c r="P2614" s="973" t="s">
        <v>999</v>
      </c>
      <c r="Q2614" s="973" t="s">
        <v>1000</v>
      </c>
      <c r="R2614" s="973" t="s">
        <v>1001</v>
      </c>
      <c r="S2614" s="973" t="s">
        <v>1002</v>
      </c>
      <c r="AE2614" s="423" t="str">
        <f t="shared" si="40"/>
        <v/>
      </c>
    </row>
    <row r="2615" spans="4:31" x14ac:dyDescent="0.25">
      <c r="D2615" s="973" t="s">
        <v>990</v>
      </c>
      <c r="E2615" s="973" t="s">
        <v>991</v>
      </c>
      <c r="F2615" s="973" t="s">
        <v>992</v>
      </c>
      <c r="G2615" s="973" t="s">
        <v>1997</v>
      </c>
      <c r="H2615" s="973" t="s">
        <v>1998</v>
      </c>
      <c r="I2615" s="973" t="s">
        <v>1999</v>
      </c>
      <c r="J2615" s="973" t="s">
        <v>697</v>
      </c>
      <c r="K2615" s="973" t="s">
        <v>995</v>
      </c>
      <c r="L2615" s="973" t="s">
        <v>996</v>
      </c>
      <c r="M2615" s="973" t="s">
        <v>2000</v>
      </c>
      <c r="N2615" s="973" t="s">
        <v>2001</v>
      </c>
      <c r="O2615" s="973" t="s">
        <v>1971</v>
      </c>
      <c r="P2615" s="973" t="s">
        <v>999</v>
      </c>
      <c r="Q2615" s="973" t="s">
        <v>1000</v>
      </c>
      <c r="R2615" s="973" t="s">
        <v>1001</v>
      </c>
      <c r="S2615" s="973" t="s">
        <v>1002</v>
      </c>
      <c r="AE2615" s="423" t="str">
        <f t="shared" si="40"/>
        <v/>
      </c>
    </row>
    <row r="2616" spans="4:31" x14ac:dyDescent="0.25">
      <c r="D2616" s="973" t="s">
        <v>990</v>
      </c>
      <c r="E2616" s="973" t="s">
        <v>991</v>
      </c>
      <c r="F2616" s="973" t="s">
        <v>992</v>
      </c>
      <c r="G2616" s="973" t="s">
        <v>1997</v>
      </c>
      <c r="H2616" s="973" t="s">
        <v>1998</v>
      </c>
      <c r="I2616" s="973" t="s">
        <v>1999</v>
      </c>
      <c r="J2616" s="973" t="s">
        <v>697</v>
      </c>
      <c r="K2616" s="973" t="s">
        <v>995</v>
      </c>
      <c r="L2616" s="973" t="s">
        <v>996</v>
      </c>
      <c r="M2616" s="973" t="s">
        <v>2000</v>
      </c>
      <c r="N2616" s="973" t="s">
        <v>2001</v>
      </c>
      <c r="O2616" s="973" t="s">
        <v>1971</v>
      </c>
      <c r="P2616" s="973" t="s">
        <v>999</v>
      </c>
      <c r="Q2616" s="973" t="s">
        <v>1000</v>
      </c>
      <c r="R2616" s="973" t="s">
        <v>1001</v>
      </c>
      <c r="S2616" s="973" t="s">
        <v>1002</v>
      </c>
      <c r="AE2616" s="423" t="str">
        <f t="shared" si="40"/>
        <v/>
      </c>
    </row>
    <row r="2617" spans="4:31" x14ac:dyDescent="0.25">
      <c r="D2617" s="973" t="s">
        <v>990</v>
      </c>
      <c r="E2617" s="973" t="s">
        <v>991</v>
      </c>
      <c r="F2617" s="973" t="s">
        <v>992</v>
      </c>
      <c r="G2617" s="973" t="s">
        <v>1997</v>
      </c>
      <c r="H2617" s="973" t="s">
        <v>1998</v>
      </c>
      <c r="I2617" s="973" t="s">
        <v>1999</v>
      </c>
      <c r="J2617" s="973" t="s">
        <v>697</v>
      </c>
      <c r="K2617" s="973" t="s">
        <v>995</v>
      </c>
      <c r="L2617" s="973" t="s">
        <v>996</v>
      </c>
      <c r="M2617" s="973" t="s">
        <v>2000</v>
      </c>
      <c r="N2617" s="973" t="s">
        <v>2001</v>
      </c>
      <c r="O2617" s="973" t="s">
        <v>1971</v>
      </c>
      <c r="P2617" s="973" t="s">
        <v>999</v>
      </c>
      <c r="Q2617" s="973" t="s">
        <v>1000</v>
      </c>
      <c r="R2617" s="973" t="s">
        <v>1001</v>
      </c>
      <c r="S2617" s="973" t="s">
        <v>1002</v>
      </c>
      <c r="AE2617" s="423" t="str">
        <f t="shared" si="40"/>
        <v/>
      </c>
    </row>
    <row r="2618" spans="4:31" x14ac:dyDescent="0.25">
      <c r="D2618" s="973" t="s">
        <v>990</v>
      </c>
      <c r="E2618" s="973" t="s">
        <v>991</v>
      </c>
      <c r="F2618" s="973" t="s">
        <v>992</v>
      </c>
      <c r="G2618" s="973" t="s">
        <v>1997</v>
      </c>
      <c r="H2618" s="973" t="s">
        <v>1998</v>
      </c>
      <c r="I2618" s="973" t="s">
        <v>1999</v>
      </c>
      <c r="J2618" s="973" t="s">
        <v>697</v>
      </c>
      <c r="K2618" s="973" t="s">
        <v>995</v>
      </c>
      <c r="L2618" s="973" t="s">
        <v>996</v>
      </c>
      <c r="M2618" s="973" t="s">
        <v>2000</v>
      </c>
      <c r="N2618" s="973" t="s">
        <v>2001</v>
      </c>
      <c r="O2618" s="973" t="s">
        <v>1971</v>
      </c>
      <c r="P2618" s="973" t="s">
        <v>999</v>
      </c>
      <c r="Q2618" s="973" t="s">
        <v>1000</v>
      </c>
      <c r="R2618" s="973" t="s">
        <v>1001</v>
      </c>
      <c r="S2618" s="973" t="s">
        <v>1002</v>
      </c>
      <c r="AE2618" s="423" t="str">
        <f t="shared" si="40"/>
        <v/>
      </c>
    </row>
    <row r="2619" spans="4:31" x14ac:dyDescent="0.25">
      <c r="D2619" s="973" t="s">
        <v>990</v>
      </c>
      <c r="E2619" s="973" t="s">
        <v>991</v>
      </c>
      <c r="F2619" s="973" t="s">
        <v>992</v>
      </c>
      <c r="G2619" s="973" t="s">
        <v>1997</v>
      </c>
      <c r="H2619" s="973" t="s">
        <v>1998</v>
      </c>
      <c r="I2619" s="973" t="s">
        <v>1999</v>
      </c>
      <c r="J2619" s="973" t="s">
        <v>697</v>
      </c>
      <c r="K2619" s="973" t="s">
        <v>995</v>
      </c>
      <c r="L2619" s="973" t="s">
        <v>996</v>
      </c>
      <c r="M2619" s="973" t="s">
        <v>2000</v>
      </c>
      <c r="N2619" s="973" t="s">
        <v>2001</v>
      </c>
      <c r="O2619" s="973" t="s">
        <v>1971</v>
      </c>
      <c r="P2619" s="973" t="s">
        <v>999</v>
      </c>
      <c r="Q2619" s="973" t="s">
        <v>1000</v>
      </c>
      <c r="R2619" s="973" t="s">
        <v>1001</v>
      </c>
      <c r="S2619" s="973" t="s">
        <v>1002</v>
      </c>
      <c r="AE2619" s="423" t="str">
        <f t="shared" si="40"/>
        <v/>
      </c>
    </row>
    <row r="2620" spans="4:31" x14ac:dyDescent="0.25">
      <c r="D2620" s="973" t="s">
        <v>990</v>
      </c>
      <c r="E2620" s="973" t="s">
        <v>991</v>
      </c>
      <c r="F2620" s="973" t="s">
        <v>992</v>
      </c>
      <c r="G2620" s="973" t="s">
        <v>1997</v>
      </c>
      <c r="H2620" s="973" t="s">
        <v>1998</v>
      </c>
      <c r="I2620" s="973" t="s">
        <v>1999</v>
      </c>
      <c r="J2620" s="973" t="s">
        <v>697</v>
      </c>
      <c r="K2620" s="973" t="s">
        <v>995</v>
      </c>
      <c r="L2620" s="973" t="s">
        <v>996</v>
      </c>
      <c r="M2620" s="973" t="s">
        <v>2000</v>
      </c>
      <c r="N2620" s="973" t="s">
        <v>2001</v>
      </c>
      <c r="O2620" s="973" t="s">
        <v>1971</v>
      </c>
      <c r="P2620" s="973" t="s">
        <v>999</v>
      </c>
      <c r="Q2620" s="973" t="s">
        <v>1000</v>
      </c>
      <c r="R2620" s="973" t="s">
        <v>1001</v>
      </c>
      <c r="S2620" s="973" t="s">
        <v>1002</v>
      </c>
      <c r="AE2620" s="423" t="str">
        <f t="shared" si="40"/>
        <v/>
      </c>
    </row>
    <row r="2621" spans="4:31" x14ac:dyDescent="0.25">
      <c r="D2621" s="973" t="s">
        <v>990</v>
      </c>
      <c r="E2621" s="973" t="s">
        <v>991</v>
      </c>
      <c r="F2621" s="973" t="s">
        <v>992</v>
      </c>
      <c r="G2621" s="973" t="s">
        <v>1997</v>
      </c>
      <c r="H2621" s="973" t="s">
        <v>1998</v>
      </c>
      <c r="I2621" s="973" t="s">
        <v>1999</v>
      </c>
      <c r="J2621" s="973" t="s">
        <v>697</v>
      </c>
      <c r="K2621" s="973" t="s">
        <v>995</v>
      </c>
      <c r="L2621" s="973" t="s">
        <v>996</v>
      </c>
      <c r="M2621" s="973" t="s">
        <v>2000</v>
      </c>
      <c r="N2621" s="973" t="s">
        <v>2001</v>
      </c>
      <c r="O2621" s="973" t="s">
        <v>1971</v>
      </c>
      <c r="P2621" s="973" t="s">
        <v>999</v>
      </c>
      <c r="Q2621" s="973" t="s">
        <v>1000</v>
      </c>
      <c r="R2621" s="973" t="s">
        <v>1001</v>
      </c>
      <c r="S2621" s="973" t="s">
        <v>1002</v>
      </c>
      <c r="AE2621" s="423" t="str">
        <f t="shared" si="40"/>
        <v/>
      </c>
    </row>
    <row r="2622" spans="4:31" x14ac:dyDescent="0.25">
      <c r="D2622" s="973" t="s">
        <v>990</v>
      </c>
      <c r="E2622" s="973" t="s">
        <v>991</v>
      </c>
      <c r="F2622" s="973" t="s">
        <v>992</v>
      </c>
      <c r="G2622" s="973" t="s">
        <v>1997</v>
      </c>
      <c r="H2622" s="973" t="s">
        <v>1998</v>
      </c>
      <c r="I2622" s="973" t="s">
        <v>1999</v>
      </c>
      <c r="J2622" s="973" t="s">
        <v>697</v>
      </c>
      <c r="K2622" s="973" t="s">
        <v>995</v>
      </c>
      <c r="L2622" s="973" t="s">
        <v>996</v>
      </c>
      <c r="M2622" s="973" t="s">
        <v>2000</v>
      </c>
      <c r="N2622" s="973" t="s">
        <v>2001</v>
      </c>
      <c r="O2622" s="973" t="s">
        <v>1971</v>
      </c>
      <c r="P2622" s="973" t="s">
        <v>999</v>
      </c>
      <c r="Q2622" s="973" t="s">
        <v>1000</v>
      </c>
      <c r="R2622" s="973" t="s">
        <v>1001</v>
      </c>
      <c r="S2622" s="973" t="s">
        <v>1002</v>
      </c>
      <c r="AE2622" s="423" t="str">
        <f t="shared" si="40"/>
        <v/>
      </c>
    </row>
    <row r="2623" spans="4:31" x14ac:dyDescent="0.25">
      <c r="D2623" s="973" t="s">
        <v>990</v>
      </c>
      <c r="E2623" s="973" t="s">
        <v>991</v>
      </c>
      <c r="F2623" s="973" t="s">
        <v>992</v>
      </c>
      <c r="G2623" s="973" t="s">
        <v>1997</v>
      </c>
      <c r="H2623" s="973" t="s">
        <v>1998</v>
      </c>
      <c r="I2623" s="973" t="s">
        <v>1999</v>
      </c>
      <c r="J2623" s="973" t="s">
        <v>697</v>
      </c>
      <c r="K2623" s="973" t="s">
        <v>995</v>
      </c>
      <c r="L2623" s="973" t="s">
        <v>996</v>
      </c>
      <c r="M2623" s="973" t="s">
        <v>2000</v>
      </c>
      <c r="N2623" s="973" t="s">
        <v>2001</v>
      </c>
      <c r="O2623" s="973" t="s">
        <v>1971</v>
      </c>
      <c r="P2623" s="973" t="s">
        <v>999</v>
      </c>
      <c r="Q2623" s="973" t="s">
        <v>1000</v>
      </c>
      <c r="R2623" s="973" t="s">
        <v>1001</v>
      </c>
      <c r="S2623" s="973" t="s">
        <v>1002</v>
      </c>
      <c r="AE2623" s="423" t="str">
        <f t="shared" si="40"/>
        <v/>
      </c>
    </row>
    <row r="2624" spans="4:31" x14ac:dyDescent="0.25">
      <c r="D2624" s="973" t="s">
        <v>990</v>
      </c>
      <c r="E2624" s="973" t="s">
        <v>991</v>
      </c>
      <c r="F2624" s="973" t="s">
        <v>992</v>
      </c>
      <c r="G2624" s="973" t="s">
        <v>1997</v>
      </c>
      <c r="H2624" s="973" t="s">
        <v>1998</v>
      </c>
      <c r="I2624" s="973" t="s">
        <v>1999</v>
      </c>
      <c r="J2624" s="973" t="s">
        <v>697</v>
      </c>
      <c r="K2624" s="973" t="s">
        <v>995</v>
      </c>
      <c r="L2624" s="973" t="s">
        <v>996</v>
      </c>
      <c r="M2624" s="973" t="s">
        <v>2000</v>
      </c>
      <c r="N2624" s="973" t="s">
        <v>2001</v>
      </c>
      <c r="O2624" s="973" t="s">
        <v>1971</v>
      </c>
      <c r="P2624" s="973" t="s">
        <v>999</v>
      </c>
      <c r="Q2624" s="973" t="s">
        <v>1000</v>
      </c>
      <c r="R2624" s="973" t="s">
        <v>1001</v>
      </c>
      <c r="S2624" s="973" t="s">
        <v>1002</v>
      </c>
      <c r="AE2624" s="423" t="str">
        <f t="shared" si="40"/>
        <v/>
      </c>
    </row>
    <row r="2625" spans="4:31" x14ac:dyDescent="0.25">
      <c r="D2625" s="973" t="s">
        <v>990</v>
      </c>
      <c r="E2625" s="973" t="s">
        <v>991</v>
      </c>
      <c r="F2625" s="973" t="s">
        <v>992</v>
      </c>
      <c r="G2625" s="973" t="s">
        <v>1997</v>
      </c>
      <c r="H2625" s="973" t="s">
        <v>1998</v>
      </c>
      <c r="I2625" s="973" t="s">
        <v>1999</v>
      </c>
      <c r="J2625" s="973" t="s">
        <v>697</v>
      </c>
      <c r="K2625" s="973" t="s">
        <v>995</v>
      </c>
      <c r="L2625" s="973" t="s">
        <v>996</v>
      </c>
      <c r="M2625" s="973" t="s">
        <v>2000</v>
      </c>
      <c r="N2625" s="973" t="s">
        <v>2001</v>
      </c>
      <c r="O2625" s="973" t="s">
        <v>1971</v>
      </c>
      <c r="P2625" s="973" t="s">
        <v>999</v>
      </c>
      <c r="Q2625" s="973" t="s">
        <v>1000</v>
      </c>
      <c r="R2625" s="973" t="s">
        <v>1001</v>
      </c>
      <c r="S2625" s="973" t="s">
        <v>1002</v>
      </c>
      <c r="AE2625" s="423" t="str">
        <f t="shared" si="40"/>
        <v/>
      </c>
    </row>
    <row r="2626" spans="4:31" x14ac:dyDescent="0.25">
      <c r="D2626" s="973" t="s">
        <v>990</v>
      </c>
      <c r="E2626" s="973" t="s">
        <v>991</v>
      </c>
      <c r="F2626" s="973" t="s">
        <v>992</v>
      </c>
      <c r="G2626" s="973" t="s">
        <v>1997</v>
      </c>
      <c r="H2626" s="973" t="s">
        <v>1998</v>
      </c>
      <c r="I2626" s="973" t="s">
        <v>1999</v>
      </c>
      <c r="J2626" s="973" t="s">
        <v>697</v>
      </c>
      <c r="K2626" s="973" t="s">
        <v>995</v>
      </c>
      <c r="L2626" s="973" t="s">
        <v>996</v>
      </c>
      <c r="M2626" s="973" t="s">
        <v>2000</v>
      </c>
      <c r="N2626" s="973" t="s">
        <v>2001</v>
      </c>
      <c r="O2626" s="973" t="s">
        <v>1971</v>
      </c>
      <c r="P2626" s="973" t="s">
        <v>999</v>
      </c>
      <c r="Q2626" s="973" t="s">
        <v>1000</v>
      </c>
      <c r="R2626" s="973" t="s">
        <v>1001</v>
      </c>
      <c r="S2626" s="973" t="s">
        <v>1002</v>
      </c>
      <c r="AE2626" s="423" t="str">
        <f t="shared" si="40"/>
        <v/>
      </c>
    </row>
    <row r="2627" spans="4:31" x14ac:dyDescent="0.25">
      <c r="D2627" s="973" t="s">
        <v>990</v>
      </c>
      <c r="E2627" s="973" t="s">
        <v>991</v>
      </c>
      <c r="F2627" s="973" t="s">
        <v>992</v>
      </c>
      <c r="G2627" s="973" t="s">
        <v>1997</v>
      </c>
      <c r="H2627" s="973" t="s">
        <v>1998</v>
      </c>
      <c r="I2627" s="973" t="s">
        <v>1999</v>
      </c>
      <c r="J2627" s="973" t="s">
        <v>697</v>
      </c>
      <c r="K2627" s="973" t="s">
        <v>995</v>
      </c>
      <c r="L2627" s="973" t="s">
        <v>996</v>
      </c>
      <c r="M2627" s="973" t="s">
        <v>2000</v>
      </c>
      <c r="N2627" s="973" t="s">
        <v>2001</v>
      </c>
      <c r="O2627" s="973" t="s">
        <v>1971</v>
      </c>
      <c r="P2627" s="973" t="s">
        <v>999</v>
      </c>
      <c r="Q2627" s="973" t="s">
        <v>1000</v>
      </c>
      <c r="R2627" s="973" t="s">
        <v>1001</v>
      </c>
      <c r="S2627" s="973" t="s">
        <v>1002</v>
      </c>
      <c r="AE2627" s="423" t="str">
        <f t="shared" ref="AE2627:AE2690" si="41">B2627&amp;C2627</f>
        <v/>
      </c>
    </row>
    <row r="2628" spans="4:31" x14ac:dyDescent="0.25">
      <c r="D2628" s="973" t="s">
        <v>990</v>
      </c>
      <c r="E2628" s="973" t="s">
        <v>991</v>
      </c>
      <c r="F2628" s="973" t="s">
        <v>992</v>
      </c>
      <c r="G2628" s="973" t="s">
        <v>1997</v>
      </c>
      <c r="H2628" s="973" t="s">
        <v>1998</v>
      </c>
      <c r="I2628" s="973" t="s">
        <v>1999</v>
      </c>
      <c r="J2628" s="973" t="s">
        <v>697</v>
      </c>
      <c r="K2628" s="973" t="s">
        <v>995</v>
      </c>
      <c r="L2628" s="973" t="s">
        <v>996</v>
      </c>
      <c r="M2628" s="973" t="s">
        <v>2000</v>
      </c>
      <c r="N2628" s="973" t="s">
        <v>2001</v>
      </c>
      <c r="O2628" s="973" t="s">
        <v>1971</v>
      </c>
      <c r="P2628" s="973" t="s">
        <v>999</v>
      </c>
      <c r="Q2628" s="973" t="s">
        <v>1000</v>
      </c>
      <c r="R2628" s="973" t="s">
        <v>1001</v>
      </c>
      <c r="S2628" s="973" t="s">
        <v>1002</v>
      </c>
      <c r="AE2628" s="423" t="str">
        <f t="shared" si="41"/>
        <v/>
      </c>
    </row>
    <row r="2629" spans="4:31" x14ac:dyDescent="0.25">
      <c r="D2629" s="973" t="s">
        <v>990</v>
      </c>
      <c r="E2629" s="973" t="s">
        <v>991</v>
      </c>
      <c r="F2629" s="973" t="s">
        <v>992</v>
      </c>
      <c r="G2629" s="973" t="s">
        <v>1997</v>
      </c>
      <c r="H2629" s="973" t="s">
        <v>1998</v>
      </c>
      <c r="I2629" s="973" t="s">
        <v>1999</v>
      </c>
      <c r="J2629" s="973" t="s">
        <v>697</v>
      </c>
      <c r="K2629" s="973" t="s">
        <v>995</v>
      </c>
      <c r="L2629" s="973" t="s">
        <v>996</v>
      </c>
      <c r="M2629" s="973" t="s">
        <v>2000</v>
      </c>
      <c r="N2629" s="973" t="s">
        <v>2001</v>
      </c>
      <c r="O2629" s="973" t="s">
        <v>1971</v>
      </c>
      <c r="P2629" s="973" t="s">
        <v>999</v>
      </c>
      <c r="Q2629" s="973" t="s">
        <v>1000</v>
      </c>
      <c r="R2629" s="973" t="s">
        <v>1001</v>
      </c>
      <c r="S2629" s="973" t="s">
        <v>1002</v>
      </c>
      <c r="AE2629" s="423" t="str">
        <f t="shared" si="41"/>
        <v/>
      </c>
    </row>
    <row r="2630" spans="4:31" x14ac:dyDescent="0.25">
      <c r="D2630" s="973" t="s">
        <v>990</v>
      </c>
      <c r="E2630" s="973" t="s">
        <v>991</v>
      </c>
      <c r="F2630" s="973" t="s">
        <v>992</v>
      </c>
      <c r="G2630" s="973" t="s">
        <v>1997</v>
      </c>
      <c r="H2630" s="973" t="s">
        <v>1998</v>
      </c>
      <c r="I2630" s="973" t="s">
        <v>1999</v>
      </c>
      <c r="J2630" s="973" t="s">
        <v>697</v>
      </c>
      <c r="K2630" s="973" t="s">
        <v>995</v>
      </c>
      <c r="L2630" s="973" t="s">
        <v>996</v>
      </c>
      <c r="M2630" s="973" t="s">
        <v>2000</v>
      </c>
      <c r="N2630" s="973" t="s">
        <v>2001</v>
      </c>
      <c r="O2630" s="973" t="s">
        <v>1971</v>
      </c>
      <c r="P2630" s="973" t="s">
        <v>999</v>
      </c>
      <c r="Q2630" s="973" t="s">
        <v>1000</v>
      </c>
      <c r="R2630" s="973" t="s">
        <v>1001</v>
      </c>
      <c r="S2630" s="973" t="s">
        <v>1002</v>
      </c>
      <c r="AE2630" s="423" t="str">
        <f t="shared" si="41"/>
        <v/>
      </c>
    </row>
    <row r="2631" spans="4:31" x14ac:dyDescent="0.25">
      <c r="D2631" s="973" t="s">
        <v>990</v>
      </c>
      <c r="E2631" s="973" t="s">
        <v>991</v>
      </c>
      <c r="F2631" s="973" t="s">
        <v>992</v>
      </c>
      <c r="G2631" s="973" t="s">
        <v>1997</v>
      </c>
      <c r="H2631" s="973" t="s">
        <v>1998</v>
      </c>
      <c r="I2631" s="973" t="s">
        <v>1999</v>
      </c>
      <c r="J2631" s="973" t="s">
        <v>697</v>
      </c>
      <c r="K2631" s="973" t="s">
        <v>995</v>
      </c>
      <c r="L2631" s="973" t="s">
        <v>996</v>
      </c>
      <c r="M2631" s="973" t="s">
        <v>2000</v>
      </c>
      <c r="N2631" s="973" t="s">
        <v>2001</v>
      </c>
      <c r="O2631" s="973" t="s">
        <v>1971</v>
      </c>
      <c r="P2631" s="973" t="s">
        <v>999</v>
      </c>
      <c r="Q2631" s="973" t="s">
        <v>1000</v>
      </c>
      <c r="R2631" s="973" t="s">
        <v>1001</v>
      </c>
      <c r="S2631" s="973" t="s">
        <v>1002</v>
      </c>
      <c r="AE2631" s="423" t="str">
        <f t="shared" si="41"/>
        <v/>
      </c>
    </row>
    <row r="2632" spans="4:31" x14ac:dyDescent="0.25">
      <c r="D2632" s="973" t="s">
        <v>990</v>
      </c>
      <c r="E2632" s="973" t="s">
        <v>991</v>
      </c>
      <c r="F2632" s="973" t="s">
        <v>992</v>
      </c>
      <c r="G2632" s="973" t="s">
        <v>1997</v>
      </c>
      <c r="H2632" s="973" t="s">
        <v>1998</v>
      </c>
      <c r="I2632" s="973" t="s">
        <v>1999</v>
      </c>
      <c r="J2632" s="973" t="s">
        <v>697</v>
      </c>
      <c r="K2632" s="973" t="s">
        <v>995</v>
      </c>
      <c r="L2632" s="973" t="s">
        <v>996</v>
      </c>
      <c r="M2632" s="973" t="s">
        <v>2000</v>
      </c>
      <c r="N2632" s="973" t="s">
        <v>2001</v>
      </c>
      <c r="O2632" s="973" t="s">
        <v>1971</v>
      </c>
      <c r="P2632" s="973" t="s">
        <v>999</v>
      </c>
      <c r="Q2632" s="973" t="s">
        <v>1000</v>
      </c>
      <c r="R2632" s="973" t="s">
        <v>1001</v>
      </c>
      <c r="S2632" s="973" t="s">
        <v>1002</v>
      </c>
      <c r="AE2632" s="423" t="str">
        <f t="shared" si="41"/>
        <v/>
      </c>
    </row>
    <row r="2633" spans="4:31" x14ac:dyDescent="0.25">
      <c r="D2633" s="973" t="s">
        <v>990</v>
      </c>
      <c r="E2633" s="973" t="s">
        <v>991</v>
      </c>
      <c r="F2633" s="973" t="s">
        <v>992</v>
      </c>
      <c r="G2633" s="973" t="s">
        <v>1997</v>
      </c>
      <c r="H2633" s="973" t="s">
        <v>1998</v>
      </c>
      <c r="I2633" s="973" t="s">
        <v>1999</v>
      </c>
      <c r="J2633" s="973" t="s">
        <v>697</v>
      </c>
      <c r="K2633" s="973" t="s">
        <v>995</v>
      </c>
      <c r="L2633" s="973" t="s">
        <v>996</v>
      </c>
      <c r="M2633" s="973" t="s">
        <v>2000</v>
      </c>
      <c r="N2633" s="973" t="s">
        <v>2001</v>
      </c>
      <c r="O2633" s="973" t="s">
        <v>1971</v>
      </c>
      <c r="P2633" s="973" t="s">
        <v>999</v>
      </c>
      <c r="Q2633" s="973" t="s">
        <v>1000</v>
      </c>
      <c r="R2633" s="973" t="s">
        <v>1001</v>
      </c>
      <c r="S2633" s="973" t="s">
        <v>1002</v>
      </c>
      <c r="AE2633" s="423" t="str">
        <f t="shared" si="41"/>
        <v/>
      </c>
    </row>
    <row r="2634" spans="4:31" x14ac:dyDescent="0.25">
      <c r="D2634" s="973" t="s">
        <v>990</v>
      </c>
      <c r="E2634" s="973" t="s">
        <v>991</v>
      </c>
      <c r="F2634" s="973" t="s">
        <v>992</v>
      </c>
      <c r="G2634" s="973" t="s">
        <v>1997</v>
      </c>
      <c r="H2634" s="973" t="s">
        <v>1998</v>
      </c>
      <c r="I2634" s="973" t="s">
        <v>1999</v>
      </c>
      <c r="J2634" s="973" t="s">
        <v>697</v>
      </c>
      <c r="K2634" s="973" t="s">
        <v>995</v>
      </c>
      <c r="L2634" s="973" t="s">
        <v>996</v>
      </c>
      <c r="M2634" s="973" t="s">
        <v>2000</v>
      </c>
      <c r="N2634" s="973" t="s">
        <v>2001</v>
      </c>
      <c r="O2634" s="973" t="s">
        <v>1971</v>
      </c>
      <c r="P2634" s="973" t="s">
        <v>999</v>
      </c>
      <c r="Q2634" s="973" t="s">
        <v>1000</v>
      </c>
      <c r="R2634" s="973" t="s">
        <v>1001</v>
      </c>
      <c r="S2634" s="973" t="s">
        <v>1002</v>
      </c>
      <c r="AE2634" s="423" t="str">
        <f t="shared" si="41"/>
        <v/>
      </c>
    </row>
    <row r="2635" spans="4:31" x14ac:dyDescent="0.25">
      <c r="D2635" s="973" t="s">
        <v>990</v>
      </c>
      <c r="E2635" s="973" t="s">
        <v>991</v>
      </c>
      <c r="F2635" s="973" t="s">
        <v>992</v>
      </c>
      <c r="G2635" s="973" t="s">
        <v>1997</v>
      </c>
      <c r="H2635" s="973" t="s">
        <v>1998</v>
      </c>
      <c r="I2635" s="973" t="s">
        <v>1999</v>
      </c>
      <c r="J2635" s="973" t="s">
        <v>697</v>
      </c>
      <c r="K2635" s="973" t="s">
        <v>995</v>
      </c>
      <c r="L2635" s="973" t="s">
        <v>996</v>
      </c>
      <c r="M2635" s="973" t="s">
        <v>2000</v>
      </c>
      <c r="N2635" s="973" t="s">
        <v>2001</v>
      </c>
      <c r="O2635" s="973" t="s">
        <v>1971</v>
      </c>
      <c r="P2635" s="973" t="s">
        <v>999</v>
      </c>
      <c r="Q2635" s="973" t="s">
        <v>1000</v>
      </c>
      <c r="R2635" s="973" t="s">
        <v>1001</v>
      </c>
      <c r="S2635" s="973" t="s">
        <v>1002</v>
      </c>
      <c r="AE2635" s="423" t="str">
        <f t="shared" si="41"/>
        <v/>
      </c>
    </row>
    <row r="2636" spans="4:31" x14ac:dyDescent="0.25">
      <c r="D2636" s="973" t="s">
        <v>990</v>
      </c>
      <c r="E2636" s="973" t="s">
        <v>991</v>
      </c>
      <c r="F2636" s="973" t="s">
        <v>992</v>
      </c>
      <c r="G2636" s="973" t="s">
        <v>1997</v>
      </c>
      <c r="H2636" s="973" t="s">
        <v>1998</v>
      </c>
      <c r="I2636" s="973" t="s">
        <v>1999</v>
      </c>
      <c r="J2636" s="973" t="s">
        <v>697</v>
      </c>
      <c r="K2636" s="973" t="s">
        <v>995</v>
      </c>
      <c r="L2636" s="973" t="s">
        <v>996</v>
      </c>
      <c r="M2636" s="973" t="s">
        <v>2000</v>
      </c>
      <c r="N2636" s="973" t="s">
        <v>2001</v>
      </c>
      <c r="O2636" s="973" t="s">
        <v>1971</v>
      </c>
      <c r="P2636" s="973" t="s">
        <v>999</v>
      </c>
      <c r="Q2636" s="973" t="s">
        <v>1000</v>
      </c>
      <c r="R2636" s="973" t="s">
        <v>1001</v>
      </c>
      <c r="S2636" s="973" t="s">
        <v>1002</v>
      </c>
      <c r="AE2636" s="423" t="str">
        <f t="shared" si="41"/>
        <v/>
      </c>
    </row>
    <row r="2637" spans="4:31" x14ac:dyDescent="0.25">
      <c r="D2637" s="973" t="s">
        <v>990</v>
      </c>
      <c r="E2637" s="973" t="s">
        <v>991</v>
      </c>
      <c r="F2637" s="973" t="s">
        <v>992</v>
      </c>
      <c r="G2637" s="973" t="s">
        <v>1997</v>
      </c>
      <c r="H2637" s="973" t="s">
        <v>1998</v>
      </c>
      <c r="I2637" s="973" t="s">
        <v>1999</v>
      </c>
      <c r="J2637" s="973" t="s">
        <v>697</v>
      </c>
      <c r="K2637" s="973" t="s">
        <v>995</v>
      </c>
      <c r="L2637" s="973" t="s">
        <v>996</v>
      </c>
      <c r="M2637" s="973" t="s">
        <v>2000</v>
      </c>
      <c r="N2637" s="973" t="s">
        <v>2001</v>
      </c>
      <c r="O2637" s="973" t="s">
        <v>1971</v>
      </c>
      <c r="P2637" s="973" t="s">
        <v>999</v>
      </c>
      <c r="Q2637" s="973" t="s">
        <v>1000</v>
      </c>
      <c r="R2637" s="973" t="s">
        <v>1001</v>
      </c>
      <c r="S2637" s="973" t="s">
        <v>1002</v>
      </c>
      <c r="AE2637" s="423" t="str">
        <f t="shared" si="41"/>
        <v/>
      </c>
    </row>
    <row r="2638" spans="4:31" x14ac:dyDescent="0.25">
      <c r="D2638" s="973" t="s">
        <v>990</v>
      </c>
      <c r="E2638" s="973" t="s">
        <v>991</v>
      </c>
      <c r="F2638" s="973" t="s">
        <v>992</v>
      </c>
      <c r="G2638" s="973" t="s">
        <v>1997</v>
      </c>
      <c r="H2638" s="973" t="s">
        <v>1998</v>
      </c>
      <c r="I2638" s="973" t="s">
        <v>1999</v>
      </c>
      <c r="J2638" s="973" t="s">
        <v>697</v>
      </c>
      <c r="K2638" s="973" t="s">
        <v>995</v>
      </c>
      <c r="L2638" s="973" t="s">
        <v>996</v>
      </c>
      <c r="M2638" s="973" t="s">
        <v>2000</v>
      </c>
      <c r="N2638" s="973" t="s">
        <v>2001</v>
      </c>
      <c r="O2638" s="973" t="s">
        <v>1971</v>
      </c>
      <c r="P2638" s="973" t="s">
        <v>999</v>
      </c>
      <c r="Q2638" s="973" t="s">
        <v>1000</v>
      </c>
      <c r="R2638" s="973" t="s">
        <v>1001</v>
      </c>
      <c r="S2638" s="973" t="s">
        <v>1002</v>
      </c>
      <c r="AE2638" s="423" t="str">
        <f t="shared" si="41"/>
        <v/>
      </c>
    </row>
    <row r="2639" spans="4:31" x14ac:dyDescent="0.25">
      <c r="D2639" s="973" t="s">
        <v>990</v>
      </c>
      <c r="E2639" s="973" t="s">
        <v>991</v>
      </c>
      <c r="F2639" s="973" t="s">
        <v>992</v>
      </c>
      <c r="G2639" s="973" t="s">
        <v>1997</v>
      </c>
      <c r="H2639" s="973" t="s">
        <v>1998</v>
      </c>
      <c r="I2639" s="973" t="s">
        <v>1999</v>
      </c>
      <c r="J2639" s="973" t="s">
        <v>697</v>
      </c>
      <c r="K2639" s="973" t="s">
        <v>995</v>
      </c>
      <c r="L2639" s="973" t="s">
        <v>996</v>
      </c>
      <c r="M2639" s="973" t="s">
        <v>2000</v>
      </c>
      <c r="N2639" s="973" t="s">
        <v>2001</v>
      </c>
      <c r="O2639" s="973" t="s">
        <v>1971</v>
      </c>
      <c r="P2639" s="973" t="s">
        <v>999</v>
      </c>
      <c r="Q2639" s="973" t="s">
        <v>1000</v>
      </c>
      <c r="R2639" s="973" t="s">
        <v>1001</v>
      </c>
      <c r="S2639" s="973" t="s">
        <v>1002</v>
      </c>
      <c r="AE2639" s="423" t="str">
        <f t="shared" si="41"/>
        <v/>
      </c>
    </row>
    <row r="2640" spans="4:31" x14ac:dyDescent="0.25">
      <c r="D2640" s="973" t="s">
        <v>990</v>
      </c>
      <c r="E2640" s="973" t="s">
        <v>991</v>
      </c>
      <c r="F2640" s="973" t="s">
        <v>992</v>
      </c>
      <c r="G2640" s="973" t="s">
        <v>1997</v>
      </c>
      <c r="H2640" s="973" t="s">
        <v>1998</v>
      </c>
      <c r="I2640" s="973" t="s">
        <v>1999</v>
      </c>
      <c r="J2640" s="973" t="s">
        <v>697</v>
      </c>
      <c r="K2640" s="973" t="s">
        <v>995</v>
      </c>
      <c r="L2640" s="973" t="s">
        <v>996</v>
      </c>
      <c r="M2640" s="973" t="s">
        <v>2000</v>
      </c>
      <c r="N2640" s="973" t="s">
        <v>2001</v>
      </c>
      <c r="O2640" s="973" t="s">
        <v>1971</v>
      </c>
      <c r="P2640" s="973" t="s">
        <v>999</v>
      </c>
      <c r="Q2640" s="973" t="s">
        <v>1000</v>
      </c>
      <c r="R2640" s="973" t="s">
        <v>1001</v>
      </c>
      <c r="S2640" s="973" t="s">
        <v>1002</v>
      </c>
      <c r="AE2640" s="423" t="str">
        <f t="shared" si="41"/>
        <v/>
      </c>
    </row>
    <row r="2641" spans="4:31" x14ac:dyDescent="0.25">
      <c r="D2641" s="973" t="s">
        <v>990</v>
      </c>
      <c r="E2641" s="973" t="s">
        <v>991</v>
      </c>
      <c r="F2641" s="973" t="s">
        <v>992</v>
      </c>
      <c r="G2641" s="973" t="s">
        <v>1997</v>
      </c>
      <c r="H2641" s="973" t="s">
        <v>1998</v>
      </c>
      <c r="I2641" s="973" t="s">
        <v>1999</v>
      </c>
      <c r="J2641" s="973" t="s">
        <v>697</v>
      </c>
      <c r="K2641" s="973" t="s">
        <v>995</v>
      </c>
      <c r="L2641" s="973" t="s">
        <v>996</v>
      </c>
      <c r="M2641" s="973" t="s">
        <v>2000</v>
      </c>
      <c r="N2641" s="973" t="s">
        <v>2001</v>
      </c>
      <c r="O2641" s="973" t="s">
        <v>1971</v>
      </c>
      <c r="P2641" s="973" t="s">
        <v>999</v>
      </c>
      <c r="Q2641" s="973" t="s">
        <v>1000</v>
      </c>
      <c r="R2641" s="973" t="s">
        <v>1001</v>
      </c>
      <c r="S2641" s="973" t="s">
        <v>1002</v>
      </c>
      <c r="AE2641" s="423" t="str">
        <f t="shared" si="41"/>
        <v/>
      </c>
    </row>
    <row r="2642" spans="4:31" x14ac:dyDescent="0.25">
      <c r="D2642" s="973" t="s">
        <v>990</v>
      </c>
      <c r="E2642" s="973" t="s">
        <v>991</v>
      </c>
      <c r="F2642" s="973" t="s">
        <v>992</v>
      </c>
      <c r="G2642" s="973" t="s">
        <v>1997</v>
      </c>
      <c r="H2642" s="973" t="s">
        <v>1998</v>
      </c>
      <c r="I2642" s="973" t="s">
        <v>1999</v>
      </c>
      <c r="J2642" s="973" t="s">
        <v>697</v>
      </c>
      <c r="K2642" s="973" t="s">
        <v>995</v>
      </c>
      <c r="L2642" s="973" t="s">
        <v>996</v>
      </c>
      <c r="M2642" s="973" t="s">
        <v>2000</v>
      </c>
      <c r="N2642" s="973" t="s">
        <v>2001</v>
      </c>
      <c r="O2642" s="973" t="s">
        <v>1971</v>
      </c>
      <c r="P2642" s="973" t="s">
        <v>999</v>
      </c>
      <c r="Q2642" s="973" t="s">
        <v>1000</v>
      </c>
      <c r="R2642" s="973" t="s">
        <v>1001</v>
      </c>
      <c r="S2642" s="973" t="s">
        <v>1002</v>
      </c>
      <c r="AE2642" s="423" t="str">
        <f t="shared" si="41"/>
        <v/>
      </c>
    </row>
    <row r="2643" spans="4:31" x14ac:dyDescent="0.25">
      <c r="D2643" s="973" t="s">
        <v>990</v>
      </c>
      <c r="E2643" s="973" t="s">
        <v>991</v>
      </c>
      <c r="F2643" s="973" t="s">
        <v>992</v>
      </c>
      <c r="G2643" s="973" t="s">
        <v>1997</v>
      </c>
      <c r="H2643" s="973" t="s">
        <v>1998</v>
      </c>
      <c r="I2643" s="973" t="s">
        <v>1999</v>
      </c>
      <c r="J2643" s="973" t="s">
        <v>697</v>
      </c>
      <c r="K2643" s="973" t="s">
        <v>995</v>
      </c>
      <c r="L2643" s="973" t="s">
        <v>996</v>
      </c>
      <c r="M2643" s="973" t="s">
        <v>2000</v>
      </c>
      <c r="N2643" s="973" t="s">
        <v>2001</v>
      </c>
      <c r="O2643" s="973" t="s">
        <v>1971</v>
      </c>
      <c r="P2643" s="973" t="s">
        <v>999</v>
      </c>
      <c r="Q2643" s="973" t="s">
        <v>1000</v>
      </c>
      <c r="R2643" s="973" t="s">
        <v>1001</v>
      </c>
      <c r="S2643" s="973" t="s">
        <v>1002</v>
      </c>
      <c r="AE2643" s="423" t="str">
        <f t="shared" si="41"/>
        <v/>
      </c>
    </row>
    <row r="2644" spans="4:31" x14ac:dyDescent="0.25">
      <c r="D2644" s="973" t="s">
        <v>990</v>
      </c>
      <c r="E2644" s="973" t="s">
        <v>991</v>
      </c>
      <c r="F2644" s="973" t="s">
        <v>992</v>
      </c>
      <c r="G2644" s="973" t="s">
        <v>1997</v>
      </c>
      <c r="H2644" s="973" t="s">
        <v>1998</v>
      </c>
      <c r="I2644" s="973" t="s">
        <v>1999</v>
      </c>
      <c r="J2644" s="973" t="s">
        <v>697</v>
      </c>
      <c r="K2644" s="973" t="s">
        <v>995</v>
      </c>
      <c r="L2644" s="973" t="s">
        <v>996</v>
      </c>
      <c r="M2644" s="973" t="s">
        <v>2000</v>
      </c>
      <c r="N2644" s="973" t="s">
        <v>2001</v>
      </c>
      <c r="O2644" s="973" t="s">
        <v>1971</v>
      </c>
      <c r="P2644" s="973" t="s">
        <v>999</v>
      </c>
      <c r="Q2644" s="973" t="s">
        <v>1000</v>
      </c>
      <c r="R2644" s="973" t="s">
        <v>1001</v>
      </c>
      <c r="S2644" s="973" t="s">
        <v>1002</v>
      </c>
      <c r="AE2644" s="423" t="str">
        <f t="shared" si="41"/>
        <v/>
      </c>
    </row>
    <row r="2645" spans="4:31" x14ac:dyDescent="0.25">
      <c r="D2645" s="973" t="s">
        <v>990</v>
      </c>
      <c r="E2645" s="973" t="s">
        <v>991</v>
      </c>
      <c r="F2645" s="973" t="s">
        <v>992</v>
      </c>
      <c r="G2645" s="973" t="s">
        <v>1997</v>
      </c>
      <c r="H2645" s="973" t="s">
        <v>1998</v>
      </c>
      <c r="I2645" s="973" t="s">
        <v>1999</v>
      </c>
      <c r="J2645" s="973" t="s">
        <v>697</v>
      </c>
      <c r="K2645" s="973" t="s">
        <v>995</v>
      </c>
      <c r="L2645" s="973" t="s">
        <v>996</v>
      </c>
      <c r="M2645" s="973" t="s">
        <v>2000</v>
      </c>
      <c r="N2645" s="973" t="s">
        <v>2001</v>
      </c>
      <c r="O2645" s="973" t="s">
        <v>1971</v>
      </c>
      <c r="P2645" s="973" t="s">
        <v>999</v>
      </c>
      <c r="Q2645" s="973" t="s">
        <v>1000</v>
      </c>
      <c r="R2645" s="973" t="s">
        <v>1001</v>
      </c>
      <c r="S2645" s="973" t="s">
        <v>1002</v>
      </c>
      <c r="AE2645" s="423" t="str">
        <f t="shared" si="41"/>
        <v/>
      </c>
    </row>
    <row r="2646" spans="4:31" x14ac:dyDescent="0.25">
      <c r="D2646" s="973" t="s">
        <v>990</v>
      </c>
      <c r="E2646" s="973" t="s">
        <v>991</v>
      </c>
      <c r="F2646" s="973" t="s">
        <v>992</v>
      </c>
      <c r="G2646" s="973" t="s">
        <v>1997</v>
      </c>
      <c r="H2646" s="973" t="s">
        <v>1998</v>
      </c>
      <c r="I2646" s="973" t="s">
        <v>1999</v>
      </c>
      <c r="J2646" s="973" t="s">
        <v>697</v>
      </c>
      <c r="K2646" s="973" t="s">
        <v>995</v>
      </c>
      <c r="L2646" s="973" t="s">
        <v>996</v>
      </c>
      <c r="M2646" s="973" t="s">
        <v>2000</v>
      </c>
      <c r="N2646" s="973" t="s">
        <v>2001</v>
      </c>
      <c r="O2646" s="973" t="s">
        <v>1971</v>
      </c>
      <c r="P2646" s="973" t="s">
        <v>999</v>
      </c>
      <c r="Q2646" s="973" t="s">
        <v>1000</v>
      </c>
      <c r="R2646" s="973" t="s">
        <v>1001</v>
      </c>
      <c r="S2646" s="973" t="s">
        <v>1002</v>
      </c>
      <c r="AE2646" s="423" t="str">
        <f t="shared" si="41"/>
        <v/>
      </c>
    </row>
    <row r="2647" spans="4:31" x14ac:dyDescent="0.25">
      <c r="D2647" s="973" t="s">
        <v>990</v>
      </c>
      <c r="E2647" s="973" t="s">
        <v>991</v>
      </c>
      <c r="F2647" s="973" t="s">
        <v>992</v>
      </c>
      <c r="G2647" s="973" t="s">
        <v>1997</v>
      </c>
      <c r="H2647" s="973" t="s">
        <v>1998</v>
      </c>
      <c r="I2647" s="973" t="s">
        <v>1999</v>
      </c>
      <c r="J2647" s="973" t="s">
        <v>697</v>
      </c>
      <c r="K2647" s="973" t="s">
        <v>995</v>
      </c>
      <c r="L2647" s="973" t="s">
        <v>996</v>
      </c>
      <c r="M2647" s="973" t="s">
        <v>2000</v>
      </c>
      <c r="N2647" s="973" t="s">
        <v>2001</v>
      </c>
      <c r="O2647" s="973" t="s">
        <v>1971</v>
      </c>
      <c r="P2647" s="973" t="s">
        <v>999</v>
      </c>
      <c r="Q2647" s="973" t="s">
        <v>1000</v>
      </c>
      <c r="R2647" s="973" t="s">
        <v>1001</v>
      </c>
      <c r="S2647" s="973" t="s">
        <v>1002</v>
      </c>
      <c r="AE2647" s="423" t="str">
        <f t="shared" si="41"/>
        <v/>
      </c>
    </row>
    <row r="2648" spans="4:31" x14ac:dyDescent="0.25">
      <c r="D2648" s="973" t="s">
        <v>990</v>
      </c>
      <c r="E2648" s="973" t="s">
        <v>991</v>
      </c>
      <c r="F2648" s="973" t="s">
        <v>992</v>
      </c>
      <c r="G2648" s="973" t="s">
        <v>1997</v>
      </c>
      <c r="H2648" s="973" t="s">
        <v>1998</v>
      </c>
      <c r="I2648" s="973" t="s">
        <v>1999</v>
      </c>
      <c r="J2648" s="973" t="s">
        <v>697</v>
      </c>
      <c r="K2648" s="973" t="s">
        <v>995</v>
      </c>
      <c r="L2648" s="973" t="s">
        <v>996</v>
      </c>
      <c r="M2648" s="973" t="s">
        <v>2000</v>
      </c>
      <c r="N2648" s="973" t="s">
        <v>2001</v>
      </c>
      <c r="O2648" s="973" t="s">
        <v>1971</v>
      </c>
      <c r="P2648" s="973" t="s">
        <v>999</v>
      </c>
      <c r="Q2648" s="973" t="s">
        <v>1000</v>
      </c>
      <c r="R2648" s="973" t="s">
        <v>1001</v>
      </c>
      <c r="S2648" s="973" t="s">
        <v>1002</v>
      </c>
      <c r="AE2648" s="423" t="str">
        <f t="shared" si="41"/>
        <v/>
      </c>
    </row>
    <row r="2649" spans="4:31" x14ac:dyDescent="0.25">
      <c r="D2649" s="973" t="s">
        <v>990</v>
      </c>
      <c r="E2649" s="973" t="s">
        <v>991</v>
      </c>
      <c r="F2649" s="973" t="s">
        <v>992</v>
      </c>
      <c r="G2649" s="973" t="s">
        <v>1997</v>
      </c>
      <c r="H2649" s="973" t="s">
        <v>1998</v>
      </c>
      <c r="I2649" s="973" t="s">
        <v>1999</v>
      </c>
      <c r="J2649" s="973" t="s">
        <v>697</v>
      </c>
      <c r="K2649" s="973" t="s">
        <v>995</v>
      </c>
      <c r="L2649" s="973" t="s">
        <v>996</v>
      </c>
      <c r="M2649" s="973" t="s">
        <v>2000</v>
      </c>
      <c r="N2649" s="973" t="s">
        <v>2001</v>
      </c>
      <c r="O2649" s="973" t="s">
        <v>1971</v>
      </c>
      <c r="P2649" s="973" t="s">
        <v>999</v>
      </c>
      <c r="Q2649" s="973" t="s">
        <v>1000</v>
      </c>
      <c r="R2649" s="973" t="s">
        <v>1001</v>
      </c>
      <c r="S2649" s="973" t="s">
        <v>1002</v>
      </c>
      <c r="AE2649" s="423" t="str">
        <f t="shared" si="41"/>
        <v/>
      </c>
    </row>
    <row r="2650" spans="4:31" x14ac:dyDescent="0.25">
      <c r="D2650" s="973" t="s">
        <v>990</v>
      </c>
      <c r="E2650" s="973" t="s">
        <v>991</v>
      </c>
      <c r="F2650" s="973" t="s">
        <v>992</v>
      </c>
      <c r="G2650" s="973" t="s">
        <v>1997</v>
      </c>
      <c r="H2650" s="973" t="s">
        <v>1998</v>
      </c>
      <c r="I2650" s="973" t="s">
        <v>1999</v>
      </c>
      <c r="J2650" s="973" t="s">
        <v>697</v>
      </c>
      <c r="K2650" s="973" t="s">
        <v>995</v>
      </c>
      <c r="L2650" s="973" t="s">
        <v>996</v>
      </c>
      <c r="M2650" s="973" t="s">
        <v>2000</v>
      </c>
      <c r="N2650" s="973" t="s">
        <v>2001</v>
      </c>
      <c r="O2650" s="973" t="s">
        <v>1971</v>
      </c>
      <c r="P2650" s="973" t="s">
        <v>999</v>
      </c>
      <c r="Q2650" s="973" t="s">
        <v>1000</v>
      </c>
      <c r="R2650" s="973" t="s">
        <v>1001</v>
      </c>
      <c r="S2650" s="973" t="s">
        <v>1002</v>
      </c>
      <c r="AE2650" s="423" t="str">
        <f t="shared" si="41"/>
        <v/>
      </c>
    </row>
    <row r="2651" spans="4:31" x14ac:dyDescent="0.25">
      <c r="D2651" s="973" t="s">
        <v>990</v>
      </c>
      <c r="E2651" s="973" t="s">
        <v>991</v>
      </c>
      <c r="F2651" s="973" t="s">
        <v>992</v>
      </c>
      <c r="G2651" s="973" t="s">
        <v>1997</v>
      </c>
      <c r="H2651" s="973" t="s">
        <v>1998</v>
      </c>
      <c r="I2651" s="973" t="s">
        <v>1999</v>
      </c>
      <c r="J2651" s="973" t="s">
        <v>697</v>
      </c>
      <c r="K2651" s="973" t="s">
        <v>995</v>
      </c>
      <c r="L2651" s="973" t="s">
        <v>996</v>
      </c>
      <c r="M2651" s="973" t="s">
        <v>2000</v>
      </c>
      <c r="N2651" s="973" t="s">
        <v>2001</v>
      </c>
      <c r="O2651" s="973" t="s">
        <v>1971</v>
      </c>
      <c r="P2651" s="973" t="s">
        <v>999</v>
      </c>
      <c r="Q2651" s="973" t="s">
        <v>1000</v>
      </c>
      <c r="R2651" s="973" t="s">
        <v>1001</v>
      </c>
      <c r="S2651" s="973" t="s">
        <v>1002</v>
      </c>
      <c r="AE2651" s="423" t="str">
        <f t="shared" si="41"/>
        <v/>
      </c>
    </row>
    <row r="2652" spans="4:31" x14ac:dyDescent="0.25">
      <c r="D2652" s="973" t="s">
        <v>990</v>
      </c>
      <c r="E2652" s="973" t="s">
        <v>991</v>
      </c>
      <c r="F2652" s="973" t="s">
        <v>992</v>
      </c>
      <c r="G2652" s="973" t="s">
        <v>1997</v>
      </c>
      <c r="H2652" s="973" t="s">
        <v>1998</v>
      </c>
      <c r="I2652" s="973" t="s">
        <v>1999</v>
      </c>
      <c r="J2652" s="973" t="s">
        <v>697</v>
      </c>
      <c r="K2652" s="973" t="s">
        <v>995</v>
      </c>
      <c r="L2652" s="973" t="s">
        <v>996</v>
      </c>
      <c r="M2652" s="973" t="s">
        <v>2000</v>
      </c>
      <c r="N2652" s="973" t="s">
        <v>2001</v>
      </c>
      <c r="O2652" s="973" t="s">
        <v>1971</v>
      </c>
      <c r="P2652" s="973" t="s">
        <v>999</v>
      </c>
      <c r="Q2652" s="973" t="s">
        <v>1000</v>
      </c>
      <c r="R2652" s="973" t="s">
        <v>1001</v>
      </c>
      <c r="S2652" s="973" t="s">
        <v>1002</v>
      </c>
      <c r="AE2652" s="423" t="str">
        <f t="shared" si="41"/>
        <v/>
      </c>
    </row>
    <row r="2653" spans="4:31" x14ac:dyDescent="0.25">
      <c r="D2653" s="973" t="s">
        <v>990</v>
      </c>
      <c r="E2653" s="973" t="s">
        <v>991</v>
      </c>
      <c r="F2653" s="973" t="s">
        <v>992</v>
      </c>
      <c r="G2653" s="973" t="s">
        <v>1997</v>
      </c>
      <c r="H2653" s="973" t="s">
        <v>1998</v>
      </c>
      <c r="I2653" s="973" t="s">
        <v>1999</v>
      </c>
      <c r="J2653" s="973" t="s">
        <v>697</v>
      </c>
      <c r="K2653" s="973" t="s">
        <v>995</v>
      </c>
      <c r="L2653" s="973" t="s">
        <v>996</v>
      </c>
      <c r="M2653" s="973" t="s">
        <v>2000</v>
      </c>
      <c r="N2653" s="973" t="s">
        <v>2001</v>
      </c>
      <c r="O2653" s="973" t="s">
        <v>1971</v>
      </c>
      <c r="P2653" s="973" t="s">
        <v>999</v>
      </c>
      <c r="Q2653" s="973" t="s">
        <v>1000</v>
      </c>
      <c r="R2653" s="973" t="s">
        <v>1001</v>
      </c>
      <c r="S2653" s="973" t="s">
        <v>1002</v>
      </c>
      <c r="AE2653" s="423" t="str">
        <f t="shared" si="41"/>
        <v/>
      </c>
    </row>
    <row r="2654" spans="4:31" x14ac:dyDescent="0.25">
      <c r="D2654" s="973" t="s">
        <v>990</v>
      </c>
      <c r="E2654" s="973" t="s">
        <v>991</v>
      </c>
      <c r="F2654" s="973" t="s">
        <v>992</v>
      </c>
      <c r="G2654" s="973" t="s">
        <v>1997</v>
      </c>
      <c r="H2654" s="973" t="s">
        <v>1998</v>
      </c>
      <c r="I2654" s="973" t="s">
        <v>1999</v>
      </c>
      <c r="J2654" s="973" t="s">
        <v>697</v>
      </c>
      <c r="K2654" s="973" t="s">
        <v>995</v>
      </c>
      <c r="L2654" s="973" t="s">
        <v>996</v>
      </c>
      <c r="M2654" s="973" t="s">
        <v>2000</v>
      </c>
      <c r="N2654" s="973" t="s">
        <v>2001</v>
      </c>
      <c r="O2654" s="973" t="s">
        <v>1971</v>
      </c>
      <c r="P2654" s="973" t="s">
        <v>999</v>
      </c>
      <c r="Q2654" s="973" t="s">
        <v>1000</v>
      </c>
      <c r="R2654" s="973" t="s">
        <v>1001</v>
      </c>
      <c r="S2654" s="973" t="s">
        <v>1002</v>
      </c>
      <c r="AE2654" s="423" t="str">
        <f t="shared" si="41"/>
        <v/>
      </c>
    </row>
    <row r="2655" spans="4:31" x14ac:dyDescent="0.25">
      <c r="D2655" s="973" t="s">
        <v>990</v>
      </c>
      <c r="E2655" s="973" t="s">
        <v>991</v>
      </c>
      <c r="F2655" s="973" t="s">
        <v>992</v>
      </c>
      <c r="G2655" s="973" t="s">
        <v>1997</v>
      </c>
      <c r="H2655" s="973" t="s">
        <v>1998</v>
      </c>
      <c r="I2655" s="973" t="s">
        <v>1999</v>
      </c>
      <c r="J2655" s="973" t="s">
        <v>697</v>
      </c>
      <c r="K2655" s="973" t="s">
        <v>995</v>
      </c>
      <c r="L2655" s="973" t="s">
        <v>996</v>
      </c>
      <c r="M2655" s="973" t="s">
        <v>2000</v>
      </c>
      <c r="N2655" s="973" t="s">
        <v>2001</v>
      </c>
      <c r="O2655" s="973" t="s">
        <v>1971</v>
      </c>
      <c r="P2655" s="973" t="s">
        <v>999</v>
      </c>
      <c r="Q2655" s="973" t="s">
        <v>1000</v>
      </c>
      <c r="R2655" s="973" t="s">
        <v>1001</v>
      </c>
      <c r="S2655" s="973" t="s">
        <v>1002</v>
      </c>
      <c r="AE2655" s="423" t="str">
        <f t="shared" si="41"/>
        <v/>
      </c>
    </row>
    <row r="2656" spans="4:31" x14ac:dyDescent="0.25">
      <c r="D2656" s="973" t="s">
        <v>990</v>
      </c>
      <c r="E2656" s="973" t="s">
        <v>991</v>
      </c>
      <c r="F2656" s="973" t="s">
        <v>992</v>
      </c>
      <c r="G2656" s="973" t="s">
        <v>1997</v>
      </c>
      <c r="H2656" s="973" t="s">
        <v>1998</v>
      </c>
      <c r="I2656" s="973" t="s">
        <v>1999</v>
      </c>
      <c r="J2656" s="973" t="s">
        <v>697</v>
      </c>
      <c r="K2656" s="973" t="s">
        <v>995</v>
      </c>
      <c r="L2656" s="973" t="s">
        <v>996</v>
      </c>
      <c r="M2656" s="973" t="s">
        <v>2000</v>
      </c>
      <c r="N2656" s="973" t="s">
        <v>2001</v>
      </c>
      <c r="O2656" s="973" t="s">
        <v>1971</v>
      </c>
      <c r="P2656" s="973" t="s">
        <v>999</v>
      </c>
      <c r="Q2656" s="973" t="s">
        <v>1000</v>
      </c>
      <c r="R2656" s="973" t="s">
        <v>1001</v>
      </c>
      <c r="S2656" s="973" t="s">
        <v>1002</v>
      </c>
      <c r="AE2656" s="423" t="str">
        <f t="shared" si="41"/>
        <v/>
      </c>
    </row>
    <row r="2657" spans="4:31" x14ac:dyDescent="0.25">
      <c r="D2657" s="973" t="s">
        <v>990</v>
      </c>
      <c r="E2657" s="973" t="s">
        <v>991</v>
      </c>
      <c r="F2657" s="973" t="s">
        <v>992</v>
      </c>
      <c r="G2657" s="973" t="s">
        <v>1997</v>
      </c>
      <c r="H2657" s="973" t="s">
        <v>1998</v>
      </c>
      <c r="I2657" s="973" t="s">
        <v>1999</v>
      </c>
      <c r="J2657" s="973" t="s">
        <v>697</v>
      </c>
      <c r="K2657" s="973" t="s">
        <v>995</v>
      </c>
      <c r="L2657" s="973" t="s">
        <v>996</v>
      </c>
      <c r="M2657" s="973" t="s">
        <v>2000</v>
      </c>
      <c r="N2657" s="973" t="s">
        <v>2001</v>
      </c>
      <c r="O2657" s="973" t="s">
        <v>1971</v>
      </c>
      <c r="P2657" s="973" t="s">
        <v>999</v>
      </c>
      <c r="Q2657" s="973" t="s">
        <v>1000</v>
      </c>
      <c r="R2657" s="973" t="s">
        <v>1001</v>
      </c>
      <c r="S2657" s="973" t="s">
        <v>1002</v>
      </c>
      <c r="AE2657" s="423" t="str">
        <f t="shared" si="41"/>
        <v/>
      </c>
    </row>
    <row r="2658" spans="4:31" x14ac:dyDescent="0.25">
      <c r="D2658" s="973" t="s">
        <v>990</v>
      </c>
      <c r="E2658" s="973" t="s">
        <v>991</v>
      </c>
      <c r="F2658" s="973" t="s">
        <v>992</v>
      </c>
      <c r="G2658" s="973" t="s">
        <v>1997</v>
      </c>
      <c r="H2658" s="973" t="s">
        <v>1998</v>
      </c>
      <c r="I2658" s="973" t="s">
        <v>1999</v>
      </c>
      <c r="J2658" s="973" t="s">
        <v>697</v>
      </c>
      <c r="K2658" s="973" t="s">
        <v>995</v>
      </c>
      <c r="L2658" s="973" t="s">
        <v>996</v>
      </c>
      <c r="M2658" s="973" t="s">
        <v>2000</v>
      </c>
      <c r="N2658" s="973" t="s">
        <v>2001</v>
      </c>
      <c r="O2658" s="973" t="s">
        <v>1971</v>
      </c>
      <c r="P2658" s="973" t="s">
        <v>999</v>
      </c>
      <c r="Q2658" s="973" t="s">
        <v>1000</v>
      </c>
      <c r="R2658" s="973" t="s">
        <v>1001</v>
      </c>
      <c r="S2658" s="973" t="s">
        <v>1002</v>
      </c>
      <c r="AE2658" s="423" t="str">
        <f t="shared" si="41"/>
        <v/>
      </c>
    </row>
    <row r="2659" spans="4:31" x14ac:dyDescent="0.25">
      <c r="D2659" s="973" t="s">
        <v>990</v>
      </c>
      <c r="E2659" s="973" t="s">
        <v>991</v>
      </c>
      <c r="F2659" s="973" t="s">
        <v>992</v>
      </c>
      <c r="G2659" s="973" t="s">
        <v>1997</v>
      </c>
      <c r="H2659" s="973" t="s">
        <v>1998</v>
      </c>
      <c r="I2659" s="973" t="s">
        <v>1999</v>
      </c>
      <c r="J2659" s="973" t="s">
        <v>697</v>
      </c>
      <c r="K2659" s="973" t="s">
        <v>995</v>
      </c>
      <c r="L2659" s="973" t="s">
        <v>996</v>
      </c>
      <c r="M2659" s="973" t="s">
        <v>2000</v>
      </c>
      <c r="N2659" s="973" t="s">
        <v>2001</v>
      </c>
      <c r="O2659" s="973" t="s">
        <v>1971</v>
      </c>
      <c r="P2659" s="973" t="s">
        <v>999</v>
      </c>
      <c r="Q2659" s="973" t="s">
        <v>1000</v>
      </c>
      <c r="R2659" s="973" t="s">
        <v>1001</v>
      </c>
      <c r="S2659" s="973" t="s">
        <v>1002</v>
      </c>
      <c r="AE2659" s="423" t="str">
        <f t="shared" si="41"/>
        <v/>
      </c>
    </row>
    <row r="2660" spans="4:31" x14ac:dyDescent="0.25">
      <c r="D2660" s="973" t="s">
        <v>990</v>
      </c>
      <c r="E2660" s="973" t="s">
        <v>991</v>
      </c>
      <c r="F2660" s="973" t="s">
        <v>992</v>
      </c>
      <c r="G2660" s="973" t="s">
        <v>1997</v>
      </c>
      <c r="H2660" s="973" t="s">
        <v>1998</v>
      </c>
      <c r="I2660" s="973" t="s">
        <v>1999</v>
      </c>
      <c r="J2660" s="973" t="s">
        <v>697</v>
      </c>
      <c r="K2660" s="973" t="s">
        <v>995</v>
      </c>
      <c r="L2660" s="973" t="s">
        <v>996</v>
      </c>
      <c r="M2660" s="973" t="s">
        <v>2000</v>
      </c>
      <c r="N2660" s="973" t="s">
        <v>2001</v>
      </c>
      <c r="O2660" s="973" t="s">
        <v>1971</v>
      </c>
      <c r="P2660" s="973" t="s">
        <v>999</v>
      </c>
      <c r="Q2660" s="973" t="s">
        <v>1000</v>
      </c>
      <c r="R2660" s="973" t="s">
        <v>1001</v>
      </c>
      <c r="S2660" s="973" t="s">
        <v>1002</v>
      </c>
      <c r="AE2660" s="423" t="str">
        <f t="shared" si="41"/>
        <v/>
      </c>
    </row>
    <row r="2661" spans="4:31" x14ac:dyDescent="0.25">
      <c r="D2661" s="973" t="s">
        <v>990</v>
      </c>
      <c r="E2661" s="973" t="s">
        <v>991</v>
      </c>
      <c r="F2661" s="973" t="s">
        <v>992</v>
      </c>
      <c r="G2661" s="973" t="s">
        <v>1997</v>
      </c>
      <c r="H2661" s="973" t="s">
        <v>1998</v>
      </c>
      <c r="I2661" s="973" t="s">
        <v>1999</v>
      </c>
      <c r="J2661" s="973" t="s">
        <v>697</v>
      </c>
      <c r="K2661" s="973" t="s">
        <v>995</v>
      </c>
      <c r="L2661" s="973" t="s">
        <v>996</v>
      </c>
      <c r="M2661" s="973" t="s">
        <v>2000</v>
      </c>
      <c r="N2661" s="973" t="s">
        <v>2001</v>
      </c>
      <c r="O2661" s="973" t="s">
        <v>1971</v>
      </c>
      <c r="P2661" s="973" t="s">
        <v>999</v>
      </c>
      <c r="Q2661" s="973" t="s">
        <v>1000</v>
      </c>
      <c r="R2661" s="973" t="s">
        <v>1001</v>
      </c>
      <c r="S2661" s="973" t="s">
        <v>1002</v>
      </c>
      <c r="AE2661" s="423" t="str">
        <f t="shared" si="41"/>
        <v/>
      </c>
    </row>
    <row r="2662" spans="4:31" x14ac:dyDescent="0.25">
      <c r="D2662" s="973" t="s">
        <v>990</v>
      </c>
      <c r="E2662" s="973" t="s">
        <v>991</v>
      </c>
      <c r="F2662" s="973" t="s">
        <v>992</v>
      </c>
      <c r="G2662" s="973" t="s">
        <v>1997</v>
      </c>
      <c r="H2662" s="973" t="s">
        <v>1998</v>
      </c>
      <c r="I2662" s="973" t="s">
        <v>1999</v>
      </c>
      <c r="J2662" s="973" t="s">
        <v>697</v>
      </c>
      <c r="K2662" s="973" t="s">
        <v>995</v>
      </c>
      <c r="L2662" s="973" t="s">
        <v>996</v>
      </c>
      <c r="M2662" s="973" t="s">
        <v>2000</v>
      </c>
      <c r="N2662" s="973" t="s">
        <v>2001</v>
      </c>
      <c r="O2662" s="973" t="s">
        <v>1971</v>
      </c>
      <c r="P2662" s="973" t="s">
        <v>999</v>
      </c>
      <c r="Q2662" s="973" t="s">
        <v>1000</v>
      </c>
      <c r="R2662" s="973" t="s">
        <v>1001</v>
      </c>
      <c r="S2662" s="973" t="s">
        <v>1002</v>
      </c>
      <c r="AE2662" s="423" t="str">
        <f t="shared" si="41"/>
        <v/>
      </c>
    </row>
    <row r="2663" spans="4:31" x14ac:dyDescent="0.25">
      <c r="D2663" s="973" t="s">
        <v>990</v>
      </c>
      <c r="E2663" s="973" t="s">
        <v>991</v>
      </c>
      <c r="F2663" s="973" t="s">
        <v>992</v>
      </c>
      <c r="G2663" s="973" t="s">
        <v>1997</v>
      </c>
      <c r="H2663" s="973" t="s">
        <v>1998</v>
      </c>
      <c r="I2663" s="973" t="s">
        <v>1999</v>
      </c>
      <c r="J2663" s="973" t="s">
        <v>697</v>
      </c>
      <c r="K2663" s="973" t="s">
        <v>995</v>
      </c>
      <c r="L2663" s="973" t="s">
        <v>996</v>
      </c>
      <c r="M2663" s="973" t="s">
        <v>2000</v>
      </c>
      <c r="N2663" s="973" t="s">
        <v>2001</v>
      </c>
      <c r="O2663" s="973" t="s">
        <v>1971</v>
      </c>
      <c r="P2663" s="973" t="s">
        <v>999</v>
      </c>
      <c r="Q2663" s="973" t="s">
        <v>1000</v>
      </c>
      <c r="R2663" s="973" t="s">
        <v>1001</v>
      </c>
      <c r="S2663" s="973" t="s">
        <v>1002</v>
      </c>
      <c r="AE2663" s="423" t="str">
        <f t="shared" si="41"/>
        <v/>
      </c>
    </row>
    <row r="2664" spans="4:31" x14ac:dyDescent="0.25">
      <c r="D2664" s="973" t="s">
        <v>990</v>
      </c>
      <c r="E2664" s="973" t="s">
        <v>991</v>
      </c>
      <c r="F2664" s="973" t="s">
        <v>992</v>
      </c>
      <c r="G2664" s="973" t="s">
        <v>1997</v>
      </c>
      <c r="H2664" s="973" t="s">
        <v>1998</v>
      </c>
      <c r="I2664" s="973" t="s">
        <v>1999</v>
      </c>
      <c r="J2664" s="973" t="s">
        <v>697</v>
      </c>
      <c r="K2664" s="973" t="s">
        <v>995</v>
      </c>
      <c r="L2664" s="973" t="s">
        <v>996</v>
      </c>
      <c r="M2664" s="973" t="s">
        <v>2000</v>
      </c>
      <c r="N2664" s="973" t="s">
        <v>2001</v>
      </c>
      <c r="O2664" s="973" t="s">
        <v>1971</v>
      </c>
      <c r="P2664" s="973" t="s">
        <v>999</v>
      </c>
      <c r="Q2664" s="973" t="s">
        <v>1000</v>
      </c>
      <c r="R2664" s="973" t="s">
        <v>1001</v>
      </c>
      <c r="S2664" s="973" t="s">
        <v>1002</v>
      </c>
      <c r="AE2664" s="423" t="str">
        <f t="shared" si="41"/>
        <v/>
      </c>
    </row>
    <row r="2665" spans="4:31" x14ac:dyDescent="0.25">
      <c r="D2665" s="973" t="s">
        <v>990</v>
      </c>
      <c r="E2665" s="973" t="s">
        <v>991</v>
      </c>
      <c r="F2665" s="973" t="s">
        <v>992</v>
      </c>
      <c r="G2665" s="973" t="s">
        <v>1997</v>
      </c>
      <c r="H2665" s="973" t="s">
        <v>1998</v>
      </c>
      <c r="I2665" s="973" t="s">
        <v>1999</v>
      </c>
      <c r="J2665" s="973" t="s">
        <v>697</v>
      </c>
      <c r="K2665" s="973" t="s">
        <v>995</v>
      </c>
      <c r="L2665" s="973" t="s">
        <v>996</v>
      </c>
      <c r="M2665" s="973" t="s">
        <v>2000</v>
      </c>
      <c r="N2665" s="973" t="s">
        <v>2001</v>
      </c>
      <c r="O2665" s="973" t="s">
        <v>1971</v>
      </c>
      <c r="P2665" s="973" t="s">
        <v>999</v>
      </c>
      <c r="Q2665" s="973" t="s">
        <v>1000</v>
      </c>
      <c r="R2665" s="973" t="s">
        <v>1001</v>
      </c>
      <c r="S2665" s="973" t="s">
        <v>1002</v>
      </c>
      <c r="AE2665" s="423" t="str">
        <f t="shared" si="41"/>
        <v/>
      </c>
    </row>
    <row r="2666" spans="4:31" x14ac:dyDescent="0.25">
      <c r="D2666" s="973" t="s">
        <v>990</v>
      </c>
      <c r="E2666" s="973" t="s">
        <v>991</v>
      </c>
      <c r="F2666" s="973" t="s">
        <v>992</v>
      </c>
      <c r="G2666" s="973" t="s">
        <v>1997</v>
      </c>
      <c r="H2666" s="973" t="s">
        <v>1998</v>
      </c>
      <c r="I2666" s="973" t="s">
        <v>1999</v>
      </c>
      <c r="J2666" s="973" t="s">
        <v>697</v>
      </c>
      <c r="K2666" s="973" t="s">
        <v>995</v>
      </c>
      <c r="L2666" s="973" t="s">
        <v>996</v>
      </c>
      <c r="M2666" s="973" t="s">
        <v>2000</v>
      </c>
      <c r="N2666" s="973" t="s">
        <v>2001</v>
      </c>
      <c r="O2666" s="973" t="s">
        <v>1971</v>
      </c>
      <c r="P2666" s="973" t="s">
        <v>999</v>
      </c>
      <c r="Q2666" s="973" t="s">
        <v>1000</v>
      </c>
      <c r="R2666" s="973" t="s">
        <v>1001</v>
      </c>
      <c r="S2666" s="973" t="s">
        <v>1002</v>
      </c>
      <c r="AE2666" s="423" t="str">
        <f t="shared" si="41"/>
        <v/>
      </c>
    </row>
    <row r="2667" spans="4:31" x14ac:dyDescent="0.25">
      <c r="D2667" s="973" t="s">
        <v>990</v>
      </c>
      <c r="E2667" s="973" t="s">
        <v>991</v>
      </c>
      <c r="F2667" s="973" t="s">
        <v>992</v>
      </c>
      <c r="G2667" s="973" t="s">
        <v>1997</v>
      </c>
      <c r="H2667" s="973" t="s">
        <v>1998</v>
      </c>
      <c r="I2667" s="973" t="s">
        <v>1999</v>
      </c>
      <c r="J2667" s="973" t="s">
        <v>697</v>
      </c>
      <c r="K2667" s="973" t="s">
        <v>995</v>
      </c>
      <c r="L2667" s="973" t="s">
        <v>996</v>
      </c>
      <c r="M2667" s="973" t="s">
        <v>2000</v>
      </c>
      <c r="N2667" s="973" t="s">
        <v>2001</v>
      </c>
      <c r="O2667" s="973" t="s">
        <v>1971</v>
      </c>
      <c r="P2667" s="973" t="s">
        <v>999</v>
      </c>
      <c r="Q2667" s="973" t="s">
        <v>1000</v>
      </c>
      <c r="R2667" s="973" t="s">
        <v>1001</v>
      </c>
      <c r="S2667" s="973" t="s">
        <v>1002</v>
      </c>
      <c r="AE2667" s="423" t="str">
        <f t="shared" si="41"/>
        <v/>
      </c>
    </row>
    <row r="2668" spans="4:31" x14ac:dyDescent="0.25">
      <c r="D2668" s="973" t="s">
        <v>990</v>
      </c>
      <c r="E2668" s="973" t="s">
        <v>991</v>
      </c>
      <c r="F2668" s="973" t="s">
        <v>992</v>
      </c>
      <c r="G2668" s="973" t="s">
        <v>1997</v>
      </c>
      <c r="H2668" s="973" t="s">
        <v>1998</v>
      </c>
      <c r="I2668" s="973" t="s">
        <v>1999</v>
      </c>
      <c r="J2668" s="973" t="s">
        <v>697</v>
      </c>
      <c r="K2668" s="973" t="s">
        <v>995</v>
      </c>
      <c r="L2668" s="973" t="s">
        <v>996</v>
      </c>
      <c r="M2668" s="973" t="s">
        <v>2000</v>
      </c>
      <c r="N2668" s="973" t="s">
        <v>2001</v>
      </c>
      <c r="O2668" s="973" t="s">
        <v>1971</v>
      </c>
      <c r="P2668" s="973" t="s">
        <v>999</v>
      </c>
      <c r="Q2668" s="973" t="s">
        <v>1000</v>
      </c>
      <c r="R2668" s="973" t="s">
        <v>1001</v>
      </c>
      <c r="S2668" s="973" t="s">
        <v>1002</v>
      </c>
      <c r="AE2668" s="423" t="str">
        <f t="shared" si="41"/>
        <v/>
      </c>
    </row>
    <row r="2669" spans="4:31" x14ac:dyDescent="0.25">
      <c r="D2669" s="973" t="s">
        <v>990</v>
      </c>
      <c r="E2669" s="973" t="s">
        <v>991</v>
      </c>
      <c r="F2669" s="973" t="s">
        <v>992</v>
      </c>
      <c r="G2669" s="973" t="s">
        <v>1997</v>
      </c>
      <c r="H2669" s="973" t="s">
        <v>1998</v>
      </c>
      <c r="I2669" s="973" t="s">
        <v>1999</v>
      </c>
      <c r="J2669" s="973" t="s">
        <v>697</v>
      </c>
      <c r="K2669" s="973" t="s">
        <v>995</v>
      </c>
      <c r="L2669" s="973" t="s">
        <v>996</v>
      </c>
      <c r="M2669" s="973" t="s">
        <v>2000</v>
      </c>
      <c r="N2669" s="973" t="s">
        <v>2001</v>
      </c>
      <c r="O2669" s="973" t="s">
        <v>1971</v>
      </c>
      <c r="P2669" s="973" t="s">
        <v>999</v>
      </c>
      <c r="Q2669" s="973" t="s">
        <v>1000</v>
      </c>
      <c r="R2669" s="973" t="s">
        <v>1001</v>
      </c>
      <c r="S2669" s="973" t="s">
        <v>1002</v>
      </c>
      <c r="AE2669" s="423" t="str">
        <f t="shared" si="41"/>
        <v/>
      </c>
    </row>
    <row r="2670" spans="4:31" x14ac:dyDescent="0.25">
      <c r="D2670" s="973" t="s">
        <v>990</v>
      </c>
      <c r="E2670" s="973" t="s">
        <v>991</v>
      </c>
      <c r="F2670" s="973" t="s">
        <v>992</v>
      </c>
      <c r="G2670" s="973" t="s">
        <v>1997</v>
      </c>
      <c r="H2670" s="973" t="s">
        <v>1998</v>
      </c>
      <c r="I2670" s="973" t="s">
        <v>1999</v>
      </c>
      <c r="J2670" s="973" t="s">
        <v>697</v>
      </c>
      <c r="K2670" s="973" t="s">
        <v>995</v>
      </c>
      <c r="L2670" s="973" t="s">
        <v>996</v>
      </c>
      <c r="M2670" s="973" t="s">
        <v>2000</v>
      </c>
      <c r="N2670" s="973" t="s">
        <v>2001</v>
      </c>
      <c r="O2670" s="973" t="s">
        <v>1971</v>
      </c>
      <c r="P2670" s="973" t="s">
        <v>999</v>
      </c>
      <c r="Q2670" s="973" t="s">
        <v>1000</v>
      </c>
      <c r="R2670" s="973" t="s">
        <v>1001</v>
      </c>
      <c r="S2670" s="973" t="s">
        <v>1002</v>
      </c>
      <c r="AE2670" s="423" t="str">
        <f t="shared" si="41"/>
        <v/>
      </c>
    </row>
    <row r="2671" spans="4:31" x14ac:dyDescent="0.25">
      <c r="D2671" s="973" t="s">
        <v>990</v>
      </c>
      <c r="E2671" s="973" t="s">
        <v>991</v>
      </c>
      <c r="F2671" s="973" t="s">
        <v>992</v>
      </c>
      <c r="G2671" s="973" t="s">
        <v>1997</v>
      </c>
      <c r="H2671" s="973" t="s">
        <v>1998</v>
      </c>
      <c r="I2671" s="973" t="s">
        <v>1999</v>
      </c>
      <c r="J2671" s="973" t="s">
        <v>697</v>
      </c>
      <c r="K2671" s="973" t="s">
        <v>995</v>
      </c>
      <c r="L2671" s="973" t="s">
        <v>996</v>
      </c>
      <c r="M2671" s="973" t="s">
        <v>2000</v>
      </c>
      <c r="N2671" s="973" t="s">
        <v>2001</v>
      </c>
      <c r="O2671" s="973" t="s">
        <v>1971</v>
      </c>
      <c r="P2671" s="973" t="s">
        <v>999</v>
      </c>
      <c r="Q2671" s="973" t="s">
        <v>1000</v>
      </c>
      <c r="R2671" s="973" t="s">
        <v>1001</v>
      </c>
      <c r="S2671" s="973" t="s">
        <v>1002</v>
      </c>
      <c r="AE2671" s="423" t="str">
        <f t="shared" si="41"/>
        <v/>
      </c>
    </row>
    <row r="2672" spans="4:31" x14ac:dyDescent="0.25">
      <c r="D2672" s="973" t="s">
        <v>990</v>
      </c>
      <c r="E2672" s="973" t="s">
        <v>991</v>
      </c>
      <c r="F2672" s="973" t="s">
        <v>992</v>
      </c>
      <c r="G2672" s="973" t="s">
        <v>1997</v>
      </c>
      <c r="H2672" s="973" t="s">
        <v>1998</v>
      </c>
      <c r="I2672" s="973" t="s">
        <v>1999</v>
      </c>
      <c r="J2672" s="973" t="s">
        <v>697</v>
      </c>
      <c r="K2672" s="973" t="s">
        <v>995</v>
      </c>
      <c r="L2672" s="973" t="s">
        <v>996</v>
      </c>
      <c r="M2672" s="973" t="s">
        <v>2000</v>
      </c>
      <c r="N2672" s="973" t="s">
        <v>2001</v>
      </c>
      <c r="O2672" s="973" t="s">
        <v>1971</v>
      </c>
      <c r="P2672" s="973" t="s">
        <v>999</v>
      </c>
      <c r="Q2672" s="973" t="s">
        <v>1000</v>
      </c>
      <c r="R2672" s="973" t="s">
        <v>1001</v>
      </c>
      <c r="S2672" s="973" t="s">
        <v>1002</v>
      </c>
      <c r="AE2672" s="423" t="str">
        <f t="shared" si="41"/>
        <v/>
      </c>
    </row>
    <row r="2673" spans="4:31" x14ac:dyDescent="0.25">
      <c r="D2673" s="973" t="s">
        <v>990</v>
      </c>
      <c r="E2673" s="973" t="s">
        <v>991</v>
      </c>
      <c r="F2673" s="973" t="s">
        <v>992</v>
      </c>
      <c r="G2673" s="973" t="s">
        <v>1997</v>
      </c>
      <c r="H2673" s="973" t="s">
        <v>1998</v>
      </c>
      <c r="I2673" s="973" t="s">
        <v>1999</v>
      </c>
      <c r="J2673" s="973" t="s">
        <v>697</v>
      </c>
      <c r="K2673" s="973" t="s">
        <v>995</v>
      </c>
      <c r="L2673" s="973" t="s">
        <v>996</v>
      </c>
      <c r="M2673" s="973" t="s">
        <v>2000</v>
      </c>
      <c r="N2673" s="973" t="s">
        <v>2001</v>
      </c>
      <c r="O2673" s="973" t="s">
        <v>1971</v>
      </c>
      <c r="P2673" s="973" t="s">
        <v>999</v>
      </c>
      <c r="Q2673" s="973" t="s">
        <v>1000</v>
      </c>
      <c r="R2673" s="973" t="s">
        <v>1001</v>
      </c>
      <c r="S2673" s="973" t="s">
        <v>1002</v>
      </c>
      <c r="AE2673" s="423" t="str">
        <f t="shared" si="41"/>
        <v/>
      </c>
    </row>
    <row r="2674" spans="4:31" x14ac:dyDescent="0.25">
      <c r="D2674" s="973" t="s">
        <v>990</v>
      </c>
      <c r="E2674" s="973" t="s">
        <v>991</v>
      </c>
      <c r="F2674" s="973" t="s">
        <v>992</v>
      </c>
      <c r="G2674" s="973" t="s">
        <v>1997</v>
      </c>
      <c r="H2674" s="973" t="s">
        <v>1998</v>
      </c>
      <c r="I2674" s="973" t="s">
        <v>1999</v>
      </c>
      <c r="J2674" s="973" t="s">
        <v>697</v>
      </c>
      <c r="K2674" s="973" t="s">
        <v>995</v>
      </c>
      <c r="L2674" s="973" t="s">
        <v>996</v>
      </c>
      <c r="M2674" s="973" t="s">
        <v>2000</v>
      </c>
      <c r="N2674" s="973" t="s">
        <v>2001</v>
      </c>
      <c r="O2674" s="973" t="s">
        <v>1971</v>
      </c>
      <c r="P2674" s="973" t="s">
        <v>999</v>
      </c>
      <c r="Q2674" s="973" t="s">
        <v>1000</v>
      </c>
      <c r="R2674" s="973" t="s">
        <v>1001</v>
      </c>
      <c r="S2674" s="973" t="s">
        <v>1002</v>
      </c>
      <c r="AE2674" s="423" t="str">
        <f t="shared" si="41"/>
        <v/>
      </c>
    </row>
    <row r="2675" spans="4:31" x14ac:dyDescent="0.25">
      <c r="D2675" s="973" t="s">
        <v>990</v>
      </c>
      <c r="E2675" s="973" t="s">
        <v>991</v>
      </c>
      <c r="F2675" s="973" t="s">
        <v>992</v>
      </c>
      <c r="G2675" s="973" t="s">
        <v>1997</v>
      </c>
      <c r="H2675" s="973" t="s">
        <v>1998</v>
      </c>
      <c r="I2675" s="973" t="s">
        <v>1999</v>
      </c>
      <c r="J2675" s="973" t="s">
        <v>697</v>
      </c>
      <c r="K2675" s="973" t="s">
        <v>995</v>
      </c>
      <c r="L2675" s="973" t="s">
        <v>996</v>
      </c>
      <c r="M2675" s="973" t="s">
        <v>2000</v>
      </c>
      <c r="N2675" s="973" t="s">
        <v>2001</v>
      </c>
      <c r="O2675" s="973" t="s">
        <v>1971</v>
      </c>
      <c r="P2675" s="973" t="s">
        <v>999</v>
      </c>
      <c r="Q2675" s="973" t="s">
        <v>1000</v>
      </c>
      <c r="R2675" s="973" t="s">
        <v>1001</v>
      </c>
      <c r="S2675" s="973" t="s">
        <v>1002</v>
      </c>
      <c r="AE2675" s="423" t="str">
        <f t="shared" si="41"/>
        <v/>
      </c>
    </row>
    <row r="2676" spans="4:31" x14ac:dyDescent="0.25">
      <c r="D2676" s="973" t="s">
        <v>990</v>
      </c>
      <c r="E2676" s="973" t="s">
        <v>991</v>
      </c>
      <c r="F2676" s="973" t="s">
        <v>992</v>
      </c>
      <c r="G2676" s="973" t="s">
        <v>1997</v>
      </c>
      <c r="H2676" s="973" t="s">
        <v>1998</v>
      </c>
      <c r="I2676" s="973" t="s">
        <v>1999</v>
      </c>
      <c r="J2676" s="973" t="s">
        <v>697</v>
      </c>
      <c r="K2676" s="973" t="s">
        <v>995</v>
      </c>
      <c r="L2676" s="973" t="s">
        <v>996</v>
      </c>
      <c r="M2676" s="973" t="s">
        <v>2000</v>
      </c>
      <c r="N2676" s="973" t="s">
        <v>2001</v>
      </c>
      <c r="O2676" s="973" t="s">
        <v>1971</v>
      </c>
      <c r="P2676" s="973" t="s">
        <v>999</v>
      </c>
      <c r="Q2676" s="973" t="s">
        <v>1000</v>
      </c>
      <c r="R2676" s="973" t="s">
        <v>1001</v>
      </c>
      <c r="S2676" s="973" t="s">
        <v>1002</v>
      </c>
      <c r="AE2676" s="423" t="str">
        <f t="shared" si="41"/>
        <v/>
      </c>
    </row>
    <row r="2677" spans="4:31" x14ac:dyDescent="0.25">
      <c r="D2677" s="973" t="s">
        <v>990</v>
      </c>
      <c r="E2677" s="973" t="s">
        <v>991</v>
      </c>
      <c r="F2677" s="973" t="s">
        <v>992</v>
      </c>
      <c r="G2677" s="973" t="s">
        <v>1997</v>
      </c>
      <c r="H2677" s="973" t="s">
        <v>1998</v>
      </c>
      <c r="I2677" s="973" t="s">
        <v>1999</v>
      </c>
      <c r="J2677" s="973" t="s">
        <v>697</v>
      </c>
      <c r="K2677" s="973" t="s">
        <v>995</v>
      </c>
      <c r="L2677" s="973" t="s">
        <v>996</v>
      </c>
      <c r="M2677" s="973" t="s">
        <v>2000</v>
      </c>
      <c r="N2677" s="973" t="s">
        <v>2001</v>
      </c>
      <c r="O2677" s="973" t="s">
        <v>1971</v>
      </c>
      <c r="P2677" s="973" t="s">
        <v>999</v>
      </c>
      <c r="Q2677" s="973" t="s">
        <v>1000</v>
      </c>
      <c r="R2677" s="973" t="s">
        <v>1001</v>
      </c>
      <c r="S2677" s="973" t="s">
        <v>1002</v>
      </c>
      <c r="AE2677" s="423" t="str">
        <f t="shared" si="41"/>
        <v/>
      </c>
    </row>
    <row r="2678" spans="4:31" x14ac:dyDescent="0.25">
      <c r="D2678" s="973" t="s">
        <v>990</v>
      </c>
      <c r="E2678" s="973" t="s">
        <v>991</v>
      </c>
      <c r="F2678" s="973" t="s">
        <v>992</v>
      </c>
      <c r="G2678" s="973" t="s">
        <v>1997</v>
      </c>
      <c r="H2678" s="973" t="s">
        <v>1998</v>
      </c>
      <c r="I2678" s="973" t="s">
        <v>1999</v>
      </c>
      <c r="J2678" s="973" t="s">
        <v>697</v>
      </c>
      <c r="K2678" s="973" t="s">
        <v>995</v>
      </c>
      <c r="L2678" s="973" t="s">
        <v>996</v>
      </c>
      <c r="M2678" s="973" t="s">
        <v>2000</v>
      </c>
      <c r="N2678" s="973" t="s">
        <v>2001</v>
      </c>
      <c r="O2678" s="973" t="s">
        <v>1971</v>
      </c>
      <c r="P2678" s="973" t="s">
        <v>999</v>
      </c>
      <c r="Q2678" s="973" t="s">
        <v>1000</v>
      </c>
      <c r="R2678" s="973" t="s">
        <v>1001</v>
      </c>
      <c r="S2678" s="973" t="s">
        <v>1002</v>
      </c>
      <c r="AE2678" s="423" t="str">
        <f t="shared" si="41"/>
        <v/>
      </c>
    </row>
    <row r="2679" spans="4:31" x14ac:dyDescent="0.25">
      <c r="D2679" s="973" t="s">
        <v>990</v>
      </c>
      <c r="E2679" s="973" t="s">
        <v>991</v>
      </c>
      <c r="F2679" s="973" t="s">
        <v>992</v>
      </c>
      <c r="G2679" s="973" t="s">
        <v>1997</v>
      </c>
      <c r="H2679" s="973" t="s">
        <v>1998</v>
      </c>
      <c r="I2679" s="973" t="s">
        <v>1999</v>
      </c>
      <c r="J2679" s="973" t="s">
        <v>697</v>
      </c>
      <c r="K2679" s="973" t="s">
        <v>995</v>
      </c>
      <c r="L2679" s="973" t="s">
        <v>996</v>
      </c>
      <c r="M2679" s="973" t="s">
        <v>2000</v>
      </c>
      <c r="N2679" s="973" t="s">
        <v>2001</v>
      </c>
      <c r="O2679" s="973" t="s">
        <v>1971</v>
      </c>
      <c r="P2679" s="973" t="s">
        <v>999</v>
      </c>
      <c r="Q2679" s="973" t="s">
        <v>1000</v>
      </c>
      <c r="R2679" s="973" t="s">
        <v>1001</v>
      </c>
      <c r="S2679" s="973" t="s">
        <v>1002</v>
      </c>
      <c r="AE2679" s="423" t="str">
        <f t="shared" si="41"/>
        <v/>
      </c>
    </row>
    <row r="2680" spans="4:31" x14ac:dyDescent="0.25">
      <c r="D2680" s="973" t="s">
        <v>990</v>
      </c>
      <c r="E2680" s="973" t="s">
        <v>991</v>
      </c>
      <c r="F2680" s="973" t="s">
        <v>992</v>
      </c>
      <c r="G2680" s="973" t="s">
        <v>1997</v>
      </c>
      <c r="H2680" s="973" t="s">
        <v>1998</v>
      </c>
      <c r="I2680" s="973" t="s">
        <v>1999</v>
      </c>
      <c r="J2680" s="973" t="s">
        <v>697</v>
      </c>
      <c r="K2680" s="973" t="s">
        <v>995</v>
      </c>
      <c r="L2680" s="973" t="s">
        <v>996</v>
      </c>
      <c r="M2680" s="973" t="s">
        <v>2000</v>
      </c>
      <c r="N2680" s="973" t="s">
        <v>2001</v>
      </c>
      <c r="O2680" s="973" t="s">
        <v>1971</v>
      </c>
      <c r="P2680" s="973" t="s">
        <v>999</v>
      </c>
      <c r="Q2680" s="973" t="s">
        <v>1000</v>
      </c>
      <c r="R2680" s="973" t="s">
        <v>1001</v>
      </c>
      <c r="S2680" s="973" t="s">
        <v>1002</v>
      </c>
      <c r="AE2680" s="423" t="str">
        <f t="shared" si="41"/>
        <v/>
      </c>
    </row>
    <row r="2681" spans="4:31" x14ac:dyDescent="0.25">
      <c r="D2681" s="973" t="s">
        <v>990</v>
      </c>
      <c r="E2681" s="973" t="s">
        <v>991</v>
      </c>
      <c r="F2681" s="973" t="s">
        <v>992</v>
      </c>
      <c r="G2681" s="973" t="s">
        <v>1997</v>
      </c>
      <c r="H2681" s="973" t="s">
        <v>1998</v>
      </c>
      <c r="I2681" s="973" t="s">
        <v>1999</v>
      </c>
      <c r="J2681" s="973" t="s">
        <v>697</v>
      </c>
      <c r="K2681" s="973" t="s">
        <v>995</v>
      </c>
      <c r="L2681" s="973" t="s">
        <v>996</v>
      </c>
      <c r="M2681" s="973" t="s">
        <v>2000</v>
      </c>
      <c r="N2681" s="973" t="s">
        <v>2001</v>
      </c>
      <c r="O2681" s="973" t="s">
        <v>1971</v>
      </c>
      <c r="P2681" s="973" t="s">
        <v>999</v>
      </c>
      <c r="Q2681" s="973" t="s">
        <v>1000</v>
      </c>
      <c r="R2681" s="973" t="s">
        <v>1001</v>
      </c>
      <c r="S2681" s="973" t="s">
        <v>1002</v>
      </c>
      <c r="AE2681" s="423" t="str">
        <f t="shared" si="41"/>
        <v/>
      </c>
    </row>
    <row r="2682" spans="4:31" x14ac:dyDescent="0.25">
      <c r="D2682" s="973" t="s">
        <v>990</v>
      </c>
      <c r="E2682" s="973" t="s">
        <v>991</v>
      </c>
      <c r="F2682" s="973" t="s">
        <v>992</v>
      </c>
      <c r="G2682" s="973" t="s">
        <v>1997</v>
      </c>
      <c r="H2682" s="973" t="s">
        <v>1998</v>
      </c>
      <c r="I2682" s="973" t="s">
        <v>1999</v>
      </c>
      <c r="J2682" s="973" t="s">
        <v>697</v>
      </c>
      <c r="K2682" s="973" t="s">
        <v>995</v>
      </c>
      <c r="L2682" s="973" t="s">
        <v>996</v>
      </c>
      <c r="M2682" s="973" t="s">
        <v>2000</v>
      </c>
      <c r="N2682" s="973" t="s">
        <v>2001</v>
      </c>
      <c r="O2682" s="973" t="s">
        <v>1971</v>
      </c>
      <c r="P2682" s="973" t="s">
        <v>999</v>
      </c>
      <c r="Q2682" s="973" t="s">
        <v>1000</v>
      </c>
      <c r="R2682" s="973" t="s">
        <v>1001</v>
      </c>
      <c r="S2682" s="973" t="s">
        <v>1002</v>
      </c>
      <c r="AE2682" s="423" t="str">
        <f t="shared" si="41"/>
        <v/>
      </c>
    </row>
    <row r="2683" spans="4:31" x14ac:dyDescent="0.25">
      <c r="D2683" s="973" t="s">
        <v>990</v>
      </c>
      <c r="E2683" s="973" t="s">
        <v>991</v>
      </c>
      <c r="F2683" s="973" t="s">
        <v>992</v>
      </c>
      <c r="G2683" s="973" t="s">
        <v>1997</v>
      </c>
      <c r="H2683" s="973" t="s">
        <v>1998</v>
      </c>
      <c r="I2683" s="973" t="s">
        <v>1999</v>
      </c>
      <c r="J2683" s="973" t="s">
        <v>697</v>
      </c>
      <c r="K2683" s="973" t="s">
        <v>995</v>
      </c>
      <c r="L2683" s="973" t="s">
        <v>996</v>
      </c>
      <c r="M2683" s="973" t="s">
        <v>2000</v>
      </c>
      <c r="N2683" s="973" t="s">
        <v>2001</v>
      </c>
      <c r="O2683" s="973" t="s">
        <v>1971</v>
      </c>
      <c r="P2683" s="973" t="s">
        <v>999</v>
      </c>
      <c r="Q2683" s="973" t="s">
        <v>1000</v>
      </c>
      <c r="R2683" s="973" t="s">
        <v>1001</v>
      </c>
      <c r="S2683" s="973" t="s">
        <v>1002</v>
      </c>
      <c r="AE2683" s="423" t="str">
        <f t="shared" si="41"/>
        <v/>
      </c>
    </row>
    <row r="2684" spans="4:31" x14ac:dyDescent="0.25">
      <c r="D2684" s="973" t="s">
        <v>990</v>
      </c>
      <c r="E2684" s="973" t="s">
        <v>991</v>
      </c>
      <c r="F2684" s="973" t="s">
        <v>992</v>
      </c>
      <c r="G2684" s="973" t="s">
        <v>1997</v>
      </c>
      <c r="H2684" s="973" t="s">
        <v>1998</v>
      </c>
      <c r="I2684" s="973" t="s">
        <v>1999</v>
      </c>
      <c r="J2684" s="973" t="s">
        <v>697</v>
      </c>
      <c r="K2684" s="973" t="s">
        <v>995</v>
      </c>
      <c r="L2684" s="973" t="s">
        <v>996</v>
      </c>
      <c r="M2684" s="973" t="s">
        <v>2000</v>
      </c>
      <c r="N2684" s="973" t="s">
        <v>2001</v>
      </c>
      <c r="O2684" s="973" t="s">
        <v>1971</v>
      </c>
      <c r="P2684" s="973" t="s">
        <v>999</v>
      </c>
      <c r="Q2684" s="973" t="s">
        <v>1000</v>
      </c>
      <c r="R2684" s="973" t="s">
        <v>1001</v>
      </c>
      <c r="S2684" s="973" t="s">
        <v>1002</v>
      </c>
      <c r="AE2684" s="423" t="str">
        <f t="shared" si="41"/>
        <v/>
      </c>
    </row>
    <row r="2685" spans="4:31" x14ac:dyDescent="0.25">
      <c r="D2685" s="973" t="s">
        <v>990</v>
      </c>
      <c r="E2685" s="973" t="s">
        <v>991</v>
      </c>
      <c r="F2685" s="973" t="s">
        <v>992</v>
      </c>
      <c r="G2685" s="973" t="s">
        <v>1997</v>
      </c>
      <c r="H2685" s="973" t="s">
        <v>1998</v>
      </c>
      <c r="I2685" s="973" t="s">
        <v>1999</v>
      </c>
      <c r="J2685" s="973" t="s">
        <v>697</v>
      </c>
      <c r="K2685" s="973" t="s">
        <v>995</v>
      </c>
      <c r="L2685" s="973" t="s">
        <v>996</v>
      </c>
      <c r="M2685" s="973" t="s">
        <v>2000</v>
      </c>
      <c r="N2685" s="973" t="s">
        <v>2001</v>
      </c>
      <c r="O2685" s="973" t="s">
        <v>1971</v>
      </c>
      <c r="P2685" s="973" t="s">
        <v>999</v>
      </c>
      <c r="Q2685" s="973" t="s">
        <v>1000</v>
      </c>
      <c r="R2685" s="973" t="s">
        <v>1001</v>
      </c>
      <c r="S2685" s="973" t="s">
        <v>1002</v>
      </c>
      <c r="AE2685" s="423" t="str">
        <f t="shared" si="41"/>
        <v/>
      </c>
    </row>
    <row r="2686" spans="4:31" x14ac:dyDescent="0.25">
      <c r="D2686" s="973" t="s">
        <v>990</v>
      </c>
      <c r="E2686" s="973" t="s">
        <v>991</v>
      </c>
      <c r="F2686" s="973" t="s">
        <v>992</v>
      </c>
      <c r="G2686" s="973" t="s">
        <v>1997</v>
      </c>
      <c r="H2686" s="973" t="s">
        <v>1998</v>
      </c>
      <c r="I2686" s="973" t="s">
        <v>1999</v>
      </c>
      <c r="J2686" s="973" t="s">
        <v>697</v>
      </c>
      <c r="K2686" s="973" t="s">
        <v>995</v>
      </c>
      <c r="L2686" s="973" t="s">
        <v>996</v>
      </c>
      <c r="M2686" s="973" t="s">
        <v>2000</v>
      </c>
      <c r="N2686" s="973" t="s">
        <v>2001</v>
      </c>
      <c r="O2686" s="973" t="s">
        <v>1971</v>
      </c>
      <c r="P2686" s="973" t="s">
        <v>999</v>
      </c>
      <c r="Q2686" s="973" t="s">
        <v>1000</v>
      </c>
      <c r="R2686" s="973" t="s">
        <v>1001</v>
      </c>
      <c r="S2686" s="973" t="s">
        <v>1002</v>
      </c>
      <c r="AE2686" s="423" t="str">
        <f t="shared" si="41"/>
        <v/>
      </c>
    </row>
    <row r="2687" spans="4:31" x14ac:dyDescent="0.25">
      <c r="D2687" s="973" t="s">
        <v>990</v>
      </c>
      <c r="E2687" s="973" t="s">
        <v>991</v>
      </c>
      <c r="F2687" s="973" t="s">
        <v>992</v>
      </c>
      <c r="G2687" s="973" t="s">
        <v>1997</v>
      </c>
      <c r="H2687" s="973" t="s">
        <v>1998</v>
      </c>
      <c r="I2687" s="973" t="s">
        <v>1999</v>
      </c>
      <c r="J2687" s="973" t="s">
        <v>697</v>
      </c>
      <c r="K2687" s="973" t="s">
        <v>995</v>
      </c>
      <c r="L2687" s="973" t="s">
        <v>996</v>
      </c>
      <c r="M2687" s="973" t="s">
        <v>2000</v>
      </c>
      <c r="N2687" s="973" t="s">
        <v>2001</v>
      </c>
      <c r="O2687" s="973" t="s">
        <v>1971</v>
      </c>
      <c r="P2687" s="973" t="s">
        <v>999</v>
      </c>
      <c r="Q2687" s="973" t="s">
        <v>1000</v>
      </c>
      <c r="R2687" s="973" t="s">
        <v>1001</v>
      </c>
      <c r="S2687" s="973" t="s">
        <v>1002</v>
      </c>
      <c r="AE2687" s="423" t="str">
        <f t="shared" si="41"/>
        <v/>
      </c>
    </row>
    <row r="2688" spans="4:31" x14ac:dyDescent="0.25">
      <c r="D2688" s="973" t="s">
        <v>990</v>
      </c>
      <c r="E2688" s="973" t="s">
        <v>991</v>
      </c>
      <c r="F2688" s="973" t="s">
        <v>992</v>
      </c>
      <c r="G2688" s="973" t="s">
        <v>1997</v>
      </c>
      <c r="H2688" s="973" t="s">
        <v>1998</v>
      </c>
      <c r="I2688" s="973" t="s">
        <v>1999</v>
      </c>
      <c r="J2688" s="973" t="s">
        <v>697</v>
      </c>
      <c r="K2688" s="973" t="s">
        <v>995</v>
      </c>
      <c r="L2688" s="973" t="s">
        <v>996</v>
      </c>
      <c r="M2688" s="973" t="s">
        <v>2000</v>
      </c>
      <c r="N2688" s="973" t="s">
        <v>2001</v>
      </c>
      <c r="O2688" s="973" t="s">
        <v>1971</v>
      </c>
      <c r="P2688" s="973" t="s">
        <v>999</v>
      </c>
      <c r="Q2688" s="973" t="s">
        <v>1000</v>
      </c>
      <c r="R2688" s="973" t="s">
        <v>1001</v>
      </c>
      <c r="S2688" s="973" t="s">
        <v>1002</v>
      </c>
      <c r="AE2688" s="423" t="str">
        <f t="shared" si="41"/>
        <v/>
      </c>
    </row>
    <row r="2689" spans="4:31" x14ac:dyDescent="0.25">
      <c r="D2689" s="973" t="s">
        <v>990</v>
      </c>
      <c r="E2689" s="973" t="s">
        <v>991</v>
      </c>
      <c r="F2689" s="973" t="s">
        <v>992</v>
      </c>
      <c r="G2689" s="973" t="s">
        <v>1997</v>
      </c>
      <c r="H2689" s="973" t="s">
        <v>1998</v>
      </c>
      <c r="I2689" s="973" t="s">
        <v>1999</v>
      </c>
      <c r="J2689" s="973" t="s">
        <v>697</v>
      </c>
      <c r="K2689" s="973" t="s">
        <v>995</v>
      </c>
      <c r="L2689" s="973" t="s">
        <v>996</v>
      </c>
      <c r="M2689" s="973" t="s">
        <v>2000</v>
      </c>
      <c r="N2689" s="973" t="s">
        <v>2001</v>
      </c>
      <c r="O2689" s="973" t="s">
        <v>1971</v>
      </c>
      <c r="P2689" s="973" t="s">
        <v>999</v>
      </c>
      <c r="Q2689" s="973" t="s">
        <v>1000</v>
      </c>
      <c r="R2689" s="973" t="s">
        <v>1001</v>
      </c>
      <c r="S2689" s="973" t="s">
        <v>1002</v>
      </c>
      <c r="AE2689" s="423" t="str">
        <f t="shared" si="41"/>
        <v/>
      </c>
    </row>
    <row r="2690" spans="4:31" x14ac:dyDescent="0.25">
      <c r="D2690" s="973" t="s">
        <v>990</v>
      </c>
      <c r="E2690" s="973" t="s">
        <v>991</v>
      </c>
      <c r="F2690" s="973" t="s">
        <v>992</v>
      </c>
      <c r="G2690" s="973" t="s">
        <v>1997</v>
      </c>
      <c r="H2690" s="973" t="s">
        <v>1998</v>
      </c>
      <c r="I2690" s="973" t="s">
        <v>1999</v>
      </c>
      <c r="J2690" s="973" t="s">
        <v>697</v>
      </c>
      <c r="K2690" s="973" t="s">
        <v>995</v>
      </c>
      <c r="L2690" s="973" t="s">
        <v>996</v>
      </c>
      <c r="M2690" s="973" t="s">
        <v>2000</v>
      </c>
      <c r="N2690" s="973" t="s">
        <v>2001</v>
      </c>
      <c r="O2690" s="973" t="s">
        <v>1971</v>
      </c>
      <c r="P2690" s="973" t="s">
        <v>999</v>
      </c>
      <c r="Q2690" s="973" t="s">
        <v>1000</v>
      </c>
      <c r="R2690" s="973" t="s">
        <v>1001</v>
      </c>
      <c r="S2690" s="973" t="s">
        <v>1002</v>
      </c>
      <c r="AE2690" s="423" t="str">
        <f t="shared" si="41"/>
        <v/>
      </c>
    </row>
    <row r="2691" spans="4:31" x14ac:dyDescent="0.25">
      <c r="D2691" s="973" t="s">
        <v>990</v>
      </c>
      <c r="E2691" s="973" t="s">
        <v>991</v>
      </c>
      <c r="F2691" s="973" t="s">
        <v>992</v>
      </c>
      <c r="G2691" s="973" t="s">
        <v>1997</v>
      </c>
      <c r="H2691" s="973" t="s">
        <v>1998</v>
      </c>
      <c r="I2691" s="973" t="s">
        <v>1999</v>
      </c>
      <c r="J2691" s="973" t="s">
        <v>697</v>
      </c>
      <c r="K2691" s="973" t="s">
        <v>995</v>
      </c>
      <c r="L2691" s="973" t="s">
        <v>996</v>
      </c>
      <c r="M2691" s="973" t="s">
        <v>2000</v>
      </c>
      <c r="N2691" s="973" t="s">
        <v>2001</v>
      </c>
      <c r="O2691" s="973" t="s">
        <v>1971</v>
      </c>
      <c r="P2691" s="973" t="s">
        <v>999</v>
      </c>
      <c r="Q2691" s="973" t="s">
        <v>1000</v>
      </c>
      <c r="R2691" s="973" t="s">
        <v>1001</v>
      </c>
      <c r="S2691" s="973" t="s">
        <v>1002</v>
      </c>
      <c r="AE2691" s="423" t="str">
        <f t="shared" ref="AE2691:AE2744" si="42">B2691&amp;C2691</f>
        <v/>
      </c>
    </row>
    <row r="2692" spans="4:31" x14ac:dyDescent="0.25">
      <c r="D2692" s="973" t="s">
        <v>990</v>
      </c>
      <c r="E2692" s="973" t="s">
        <v>991</v>
      </c>
      <c r="F2692" s="973" t="s">
        <v>992</v>
      </c>
      <c r="G2692" s="973" t="s">
        <v>1997</v>
      </c>
      <c r="H2692" s="973" t="s">
        <v>1998</v>
      </c>
      <c r="I2692" s="973" t="s">
        <v>1999</v>
      </c>
      <c r="J2692" s="973" t="s">
        <v>697</v>
      </c>
      <c r="K2692" s="973" t="s">
        <v>995</v>
      </c>
      <c r="L2692" s="973" t="s">
        <v>996</v>
      </c>
      <c r="M2692" s="973" t="s">
        <v>2000</v>
      </c>
      <c r="N2692" s="973" t="s">
        <v>2001</v>
      </c>
      <c r="O2692" s="973" t="s">
        <v>1971</v>
      </c>
      <c r="P2692" s="973" t="s">
        <v>999</v>
      </c>
      <c r="Q2692" s="973" t="s">
        <v>1000</v>
      </c>
      <c r="R2692" s="973" t="s">
        <v>1001</v>
      </c>
      <c r="S2692" s="973" t="s">
        <v>1002</v>
      </c>
      <c r="AE2692" s="423" t="str">
        <f t="shared" si="42"/>
        <v/>
      </c>
    </row>
    <row r="2693" spans="4:31" x14ac:dyDescent="0.25">
      <c r="D2693" s="973" t="s">
        <v>990</v>
      </c>
      <c r="E2693" s="973" t="s">
        <v>991</v>
      </c>
      <c r="F2693" s="973" t="s">
        <v>992</v>
      </c>
      <c r="G2693" s="973" t="s">
        <v>1997</v>
      </c>
      <c r="H2693" s="973" t="s">
        <v>1998</v>
      </c>
      <c r="I2693" s="973" t="s">
        <v>1999</v>
      </c>
      <c r="J2693" s="973" t="s">
        <v>697</v>
      </c>
      <c r="K2693" s="973" t="s">
        <v>995</v>
      </c>
      <c r="L2693" s="973" t="s">
        <v>996</v>
      </c>
      <c r="M2693" s="973" t="s">
        <v>2000</v>
      </c>
      <c r="N2693" s="973" t="s">
        <v>2001</v>
      </c>
      <c r="O2693" s="973" t="s">
        <v>1971</v>
      </c>
      <c r="P2693" s="973" t="s">
        <v>999</v>
      </c>
      <c r="Q2693" s="973" t="s">
        <v>1000</v>
      </c>
      <c r="R2693" s="973" t="s">
        <v>1001</v>
      </c>
      <c r="S2693" s="973" t="s">
        <v>1002</v>
      </c>
      <c r="AE2693" s="423" t="str">
        <f t="shared" si="42"/>
        <v/>
      </c>
    </row>
    <row r="2694" spans="4:31" x14ac:dyDescent="0.25">
      <c r="D2694" s="973" t="s">
        <v>990</v>
      </c>
      <c r="E2694" s="973" t="s">
        <v>991</v>
      </c>
      <c r="F2694" s="973" t="s">
        <v>992</v>
      </c>
      <c r="G2694" s="973" t="s">
        <v>1997</v>
      </c>
      <c r="H2694" s="973" t="s">
        <v>1998</v>
      </c>
      <c r="I2694" s="973" t="s">
        <v>1999</v>
      </c>
      <c r="J2694" s="973" t="s">
        <v>697</v>
      </c>
      <c r="K2694" s="973" t="s">
        <v>995</v>
      </c>
      <c r="L2694" s="973" t="s">
        <v>996</v>
      </c>
      <c r="M2694" s="973" t="s">
        <v>2000</v>
      </c>
      <c r="N2694" s="973" t="s">
        <v>2001</v>
      </c>
      <c r="O2694" s="973" t="s">
        <v>1971</v>
      </c>
      <c r="P2694" s="973" t="s">
        <v>999</v>
      </c>
      <c r="Q2694" s="973" t="s">
        <v>1000</v>
      </c>
      <c r="R2694" s="973" t="s">
        <v>1001</v>
      </c>
      <c r="S2694" s="973" t="s">
        <v>1002</v>
      </c>
      <c r="AE2694" s="423" t="str">
        <f t="shared" si="42"/>
        <v/>
      </c>
    </row>
    <row r="2695" spans="4:31" x14ac:dyDescent="0.25">
      <c r="D2695" s="973" t="s">
        <v>990</v>
      </c>
      <c r="E2695" s="973" t="s">
        <v>991</v>
      </c>
      <c r="F2695" s="973" t="s">
        <v>992</v>
      </c>
      <c r="G2695" s="973" t="s">
        <v>1997</v>
      </c>
      <c r="H2695" s="973" t="s">
        <v>1998</v>
      </c>
      <c r="I2695" s="973" t="s">
        <v>1999</v>
      </c>
      <c r="J2695" s="973" t="s">
        <v>697</v>
      </c>
      <c r="K2695" s="973" t="s">
        <v>995</v>
      </c>
      <c r="L2695" s="973" t="s">
        <v>996</v>
      </c>
      <c r="M2695" s="973" t="s">
        <v>2000</v>
      </c>
      <c r="N2695" s="973" t="s">
        <v>2001</v>
      </c>
      <c r="O2695" s="973" t="s">
        <v>1971</v>
      </c>
      <c r="P2695" s="973" t="s">
        <v>999</v>
      </c>
      <c r="Q2695" s="973" t="s">
        <v>1000</v>
      </c>
      <c r="R2695" s="973" t="s">
        <v>1001</v>
      </c>
      <c r="S2695" s="973" t="s">
        <v>1002</v>
      </c>
      <c r="AE2695" s="423" t="str">
        <f t="shared" si="42"/>
        <v/>
      </c>
    </row>
    <row r="2696" spans="4:31" x14ac:dyDescent="0.25">
      <c r="D2696" s="973" t="s">
        <v>990</v>
      </c>
      <c r="E2696" s="973" t="s">
        <v>991</v>
      </c>
      <c r="F2696" s="973" t="s">
        <v>992</v>
      </c>
      <c r="G2696" s="973" t="s">
        <v>1997</v>
      </c>
      <c r="H2696" s="973" t="s">
        <v>1998</v>
      </c>
      <c r="I2696" s="973" t="s">
        <v>1999</v>
      </c>
      <c r="J2696" s="973" t="s">
        <v>697</v>
      </c>
      <c r="K2696" s="973" t="s">
        <v>995</v>
      </c>
      <c r="L2696" s="973" t="s">
        <v>996</v>
      </c>
      <c r="M2696" s="973" t="s">
        <v>2000</v>
      </c>
      <c r="N2696" s="973" t="s">
        <v>2001</v>
      </c>
      <c r="O2696" s="973" t="s">
        <v>1971</v>
      </c>
      <c r="P2696" s="973" t="s">
        <v>999</v>
      </c>
      <c r="Q2696" s="973" t="s">
        <v>1000</v>
      </c>
      <c r="R2696" s="973" t="s">
        <v>1001</v>
      </c>
      <c r="S2696" s="973" t="s">
        <v>1002</v>
      </c>
      <c r="AE2696" s="423" t="str">
        <f t="shared" si="42"/>
        <v/>
      </c>
    </row>
    <row r="2697" spans="4:31" x14ac:dyDescent="0.25">
      <c r="D2697" s="973" t="s">
        <v>990</v>
      </c>
      <c r="E2697" s="973" t="s">
        <v>991</v>
      </c>
      <c r="F2697" s="973" t="s">
        <v>992</v>
      </c>
      <c r="G2697" s="973" t="s">
        <v>1997</v>
      </c>
      <c r="H2697" s="973" t="s">
        <v>1998</v>
      </c>
      <c r="I2697" s="973" t="s">
        <v>1999</v>
      </c>
      <c r="J2697" s="973" t="s">
        <v>697</v>
      </c>
      <c r="K2697" s="973" t="s">
        <v>995</v>
      </c>
      <c r="L2697" s="973" t="s">
        <v>996</v>
      </c>
      <c r="M2697" s="973" t="s">
        <v>2000</v>
      </c>
      <c r="N2697" s="973" t="s">
        <v>2001</v>
      </c>
      <c r="O2697" s="973" t="s">
        <v>1971</v>
      </c>
      <c r="P2697" s="973" t="s">
        <v>999</v>
      </c>
      <c r="Q2697" s="973" t="s">
        <v>1000</v>
      </c>
      <c r="R2697" s="973" t="s">
        <v>1001</v>
      </c>
      <c r="S2697" s="973" t="s">
        <v>1002</v>
      </c>
      <c r="AE2697" s="423" t="str">
        <f t="shared" si="42"/>
        <v/>
      </c>
    </row>
    <row r="2698" spans="4:31" x14ac:dyDescent="0.25">
      <c r="D2698" s="973" t="s">
        <v>990</v>
      </c>
      <c r="E2698" s="973" t="s">
        <v>991</v>
      </c>
      <c r="F2698" s="973" t="s">
        <v>992</v>
      </c>
      <c r="G2698" s="973" t="s">
        <v>1997</v>
      </c>
      <c r="H2698" s="973" t="s">
        <v>1998</v>
      </c>
      <c r="I2698" s="973" t="s">
        <v>1999</v>
      </c>
      <c r="J2698" s="973" t="s">
        <v>697</v>
      </c>
      <c r="K2698" s="973" t="s">
        <v>995</v>
      </c>
      <c r="L2698" s="973" t="s">
        <v>996</v>
      </c>
      <c r="M2698" s="973" t="s">
        <v>2000</v>
      </c>
      <c r="N2698" s="973" t="s">
        <v>2001</v>
      </c>
      <c r="O2698" s="973" t="s">
        <v>1971</v>
      </c>
      <c r="P2698" s="973" t="s">
        <v>999</v>
      </c>
      <c r="Q2698" s="973" t="s">
        <v>1000</v>
      </c>
      <c r="R2698" s="973" t="s">
        <v>1001</v>
      </c>
      <c r="S2698" s="973" t="s">
        <v>1002</v>
      </c>
      <c r="AE2698" s="423" t="str">
        <f t="shared" si="42"/>
        <v/>
      </c>
    </row>
    <row r="2699" spans="4:31" x14ac:dyDescent="0.25">
      <c r="D2699" s="973" t="s">
        <v>990</v>
      </c>
      <c r="E2699" s="973" t="s">
        <v>991</v>
      </c>
      <c r="F2699" s="973" t="s">
        <v>992</v>
      </c>
      <c r="G2699" s="973" t="s">
        <v>1997</v>
      </c>
      <c r="H2699" s="973" t="s">
        <v>1998</v>
      </c>
      <c r="I2699" s="973" t="s">
        <v>1999</v>
      </c>
      <c r="J2699" s="973" t="s">
        <v>697</v>
      </c>
      <c r="K2699" s="973" t="s">
        <v>995</v>
      </c>
      <c r="L2699" s="973" t="s">
        <v>996</v>
      </c>
      <c r="M2699" s="973" t="s">
        <v>2000</v>
      </c>
      <c r="N2699" s="973" t="s">
        <v>2001</v>
      </c>
      <c r="O2699" s="973" t="s">
        <v>1971</v>
      </c>
      <c r="P2699" s="973" t="s">
        <v>999</v>
      </c>
      <c r="Q2699" s="973" t="s">
        <v>1000</v>
      </c>
      <c r="R2699" s="973" t="s">
        <v>1001</v>
      </c>
      <c r="S2699" s="973" t="s">
        <v>1002</v>
      </c>
      <c r="AE2699" s="423" t="str">
        <f t="shared" si="42"/>
        <v/>
      </c>
    </row>
    <row r="2700" spans="4:31" x14ac:dyDescent="0.25">
      <c r="D2700" s="973" t="s">
        <v>990</v>
      </c>
      <c r="E2700" s="973" t="s">
        <v>991</v>
      </c>
      <c r="F2700" s="973" t="s">
        <v>992</v>
      </c>
      <c r="G2700" s="973" t="s">
        <v>1997</v>
      </c>
      <c r="H2700" s="973" t="s">
        <v>1998</v>
      </c>
      <c r="I2700" s="973" t="s">
        <v>1999</v>
      </c>
      <c r="J2700" s="973" t="s">
        <v>697</v>
      </c>
      <c r="K2700" s="973" t="s">
        <v>995</v>
      </c>
      <c r="L2700" s="973" t="s">
        <v>996</v>
      </c>
      <c r="M2700" s="973" t="s">
        <v>2000</v>
      </c>
      <c r="N2700" s="973" t="s">
        <v>2001</v>
      </c>
      <c r="O2700" s="973" t="s">
        <v>1971</v>
      </c>
      <c r="P2700" s="973" t="s">
        <v>999</v>
      </c>
      <c r="Q2700" s="973" t="s">
        <v>1000</v>
      </c>
      <c r="R2700" s="973" t="s">
        <v>1001</v>
      </c>
      <c r="S2700" s="973" t="s">
        <v>1002</v>
      </c>
      <c r="AE2700" s="423" t="str">
        <f t="shared" si="42"/>
        <v/>
      </c>
    </row>
    <row r="2701" spans="4:31" x14ac:dyDescent="0.25">
      <c r="D2701" s="973" t="s">
        <v>990</v>
      </c>
      <c r="E2701" s="973" t="s">
        <v>991</v>
      </c>
      <c r="F2701" s="973" t="s">
        <v>992</v>
      </c>
      <c r="G2701" s="973" t="s">
        <v>1997</v>
      </c>
      <c r="H2701" s="973" t="s">
        <v>1998</v>
      </c>
      <c r="I2701" s="973" t="s">
        <v>1999</v>
      </c>
      <c r="J2701" s="973" t="s">
        <v>697</v>
      </c>
      <c r="K2701" s="973" t="s">
        <v>995</v>
      </c>
      <c r="L2701" s="973" t="s">
        <v>996</v>
      </c>
      <c r="M2701" s="973" t="s">
        <v>2000</v>
      </c>
      <c r="N2701" s="973" t="s">
        <v>2001</v>
      </c>
      <c r="O2701" s="973" t="s">
        <v>1971</v>
      </c>
      <c r="P2701" s="973" t="s">
        <v>999</v>
      </c>
      <c r="Q2701" s="973" t="s">
        <v>1000</v>
      </c>
      <c r="R2701" s="973" t="s">
        <v>1001</v>
      </c>
      <c r="S2701" s="973" t="s">
        <v>1002</v>
      </c>
      <c r="AE2701" s="423" t="str">
        <f t="shared" si="42"/>
        <v/>
      </c>
    </row>
    <row r="2702" spans="4:31" x14ac:dyDescent="0.25">
      <c r="D2702" s="973" t="s">
        <v>990</v>
      </c>
      <c r="E2702" s="973" t="s">
        <v>991</v>
      </c>
      <c r="F2702" s="973" t="s">
        <v>992</v>
      </c>
      <c r="G2702" s="973" t="s">
        <v>1997</v>
      </c>
      <c r="H2702" s="973" t="s">
        <v>1998</v>
      </c>
      <c r="I2702" s="973" t="s">
        <v>1999</v>
      </c>
      <c r="J2702" s="973" t="s">
        <v>697</v>
      </c>
      <c r="K2702" s="973" t="s">
        <v>995</v>
      </c>
      <c r="L2702" s="973" t="s">
        <v>996</v>
      </c>
      <c r="M2702" s="973" t="s">
        <v>2000</v>
      </c>
      <c r="N2702" s="973" t="s">
        <v>2001</v>
      </c>
      <c r="O2702" s="973" t="s">
        <v>1971</v>
      </c>
      <c r="P2702" s="973" t="s">
        <v>999</v>
      </c>
      <c r="Q2702" s="973" t="s">
        <v>1000</v>
      </c>
      <c r="R2702" s="973" t="s">
        <v>1001</v>
      </c>
      <c r="S2702" s="973" t="s">
        <v>1002</v>
      </c>
      <c r="AE2702" s="423" t="str">
        <f t="shared" si="42"/>
        <v/>
      </c>
    </row>
    <row r="2703" spans="4:31" x14ac:dyDescent="0.25">
      <c r="D2703" s="973" t="s">
        <v>990</v>
      </c>
      <c r="E2703" s="973" t="s">
        <v>991</v>
      </c>
      <c r="F2703" s="973" t="s">
        <v>992</v>
      </c>
      <c r="G2703" s="973" t="s">
        <v>1997</v>
      </c>
      <c r="H2703" s="973" t="s">
        <v>1998</v>
      </c>
      <c r="I2703" s="973" t="s">
        <v>1999</v>
      </c>
      <c r="J2703" s="973" t="s">
        <v>697</v>
      </c>
      <c r="K2703" s="973" t="s">
        <v>995</v>
      </c>
      <c r="L2703" s="973" t="s">
        <v>996</v>
      </c>
      <c r="M2703" s="973" t="s">
        <v>2000</v>
      </c>
      <c r="N2703" s="973" t="s">
        <v>2001</v>
      </c>
      <c r="O2703" s="973" t="s">
        <v>1971</v>
      </c>
      <c r="P2703" s="973" t="s">
        <v>999</v>
      </c>
      <c r="Q2703" s="973" t="s">
        <v>1000</v>
      </c>
      <c r="R2703" s="973" t="s">
        <v>1001</v>
      </c>
      <c r="S2703" s="973" t="s">
        <v>1002</v>
      </c>
      <c r="AE2703" s="423" t="str">
        <f t="shared" si="42"/>
        <v/>
      </c>
    </row>
    <row r="2704" spans="4:31" x14ac:dyDescent="0.25">
      <c r="D2704" s="973" t="s">
        <v>990</v>
      </c>
      <c r="E2704" s="973" t="s">
        <v>991</v>
      </c>
      <c r="F2704" s="973" t="s">
        <v>992</v>
      </c>
      <c r="G2704" s="973" t="s">
        <v>1997</v>
      </c>
      <c r="H2704" s="973" t="s">
        <v>1998</v>
      </c>
      <c r="I2704" s="973" t="s">
        <v>1999</v>
      </c>
      <c r="J2704" s="973" t="s">
        <v>697</v>
      </c>
      <c r="K2704" s="973" t="s">
        <v>995</v>
      </c>
      <c r="L2704" s="973" t="s">
        <v>996</v>
      </c>
      <c r="M2704" s="973" t="s">
        <v>2000</v>
      </c>
      <c r="N2704" s="973" t="s">
        <v>2001</v>
      </c>
      <c r="O2704" s="973" t="s">
        <v>1971</v>
      </c>
      <c r="P2704" s="973" t="s">
        <v>999</v>
      </c>
      <c r="Q2704" s="973" t="s">
        <v>1000</v>
      </c>
      <c r="R2704" s="973" t="s">
        <v>1001</v>
      </c>
      <c r="S2704" s="973" t="s">
        <v>1002</v>
      </c>
      <c r="AE2704" s="423" t="str">
        <f t="shared" si="42"/>
        <v/>
      </c>
    </row>
    <row r="2705" spans="4:31" x14ac:dyDescent="0.25">
      <c r="D2705" s="973" t="s">
        <v>990</v>
      </c>
      <c r="E2705" s="973" t="s">
        <v>991</v>
      </c>
      <c r="F2705" s="973" t="s">
        <v>992</v>
      </c>
      <c r="G2705" s="973" t="s">
        <v>1997</v>
      </c>
      <c r="H2705" s="973" t="s">
        <v>1998</v>
      </c>
      <c r="I2705" s="973" t="s">
        <v>1999</v>
      </c>
      <c r="J2705" s="973" t="s">
        <v>697</v>
      </c>
      <c r="K2705" s="973" t="s">
        <v>995</v>
      </c>
      <c r="L2705" s="973" t="s">
        <v>996</v>
      </c>
      <c r="M2705" s="973" t="s">
        <v>2000</v>
      </c>
      <c r="N2705" s="973" t="s">
        <v>2001</v>
      </c>
      <c r="O2705" s="973" t="s">
        <v>1971</v>
      </c>
      <c r="P2705" s="973" t="s">
        <v>999</v>
      </c>
      <c r="Q2705" s="973" t="s">
        <v>1000</v>
      </c>
      <c r="R2705" s="973" t="s">
        <v>1001</v>
      </c>
      <c r="S2705" s="973" t="s">
        <v>1002</v>
      </c>
      <c r="AE2705" s="423" t="str">
        <f t="shared" si="42"/>
        <v/>
      </c>
    </row>
    <row r="2706" spans="4:31" x14ac:dyDescent="0.25">
      <c r="D2706" s="973" t="s">
        <v>990</v>
      </c>
      <c r="E2706" s="973" t="s">
        <v>991</v>
      </c>
      <c r="F2706" s="973" t="s">
        <v>992</v>
      </c>
      <c r="G2706" s="973" t="s">
        <v>1997</v>
      </c>
      <c r="H2706" s="973" t="s">
        <v>1998</v>
      </c>
      <c r="I2706" s="973" t="s">
        <v>1999</v>
      </c>
      <c r="J2706" s="973" t="s">
        <v>697</v>
      </c>
      <c r="K2706" s="973" t="s">
        <v>995</v>
      </c>
      <c r="L2706" s="973" t="s">
        <v>996</v>
      </c>
      <c r="M2706" s="973" t="s">
        <v>2000</v>
      </c>
      <c r="N2706" s="973" t="s">
        <v>2001</v>
      </c>
      <c r="O2706" s="973" t="s">
        <v>1971</v>
      </c>
      <c r="P2706" s="973" t="s">
        <v>999</v>
      </c>
      <c r="Q2706" s="973" t="s">
        <v>1000</v>
      </c>
      <c r="R2706" s="973" t="s">
        <v>1001</v>
      </c>
      <c r="S2706" s="973" t="s">
        <v>1002</v>
      </c>
      <c r="AE2706" s="423" t="str">
        <f t="shared" si="42"/>
        <v/>
      </c>
    </row>
    <row r="2707" spans="4:31" x14ac:dyDescent="0.25">
      <c r="D2707" s="973" t="s">
        <v>990</v>
      </c>
      <c r="E2707" s="973" t="s">
        <v>991</v>
      </c>
      <c r="F2707" s="973" t="s">
        <v>992</v>
      </c>
      <c r="G2707" s="973" t="s">
        <v>1997</v>
      </c>
      <c r="H2707" s="973" t="s">
        <v>1998</v>
      </c>
      <c r="I2707" s="973" t="s">
        <v>1999</v>
      </c>
      <c r="J2707" s="973" t="s">
        <v>697</v>
      </c>
      <c r="K2707" s="973" t="s">
        <v>995</v>
      </c>
      <c r="L2707" s="973" t="s">
        <v>996</v>
      </c>
      <c r="M2707" s="973" t="s">
        <v>2000</v>
      </c>
      <c r="N2707" s="973" t="s">
        <v>2001</v>
      </c>
      <c r="O2707" s="973" t="s">
        <v>1971</v>
      </c>
      <c r="P2707" s="973" t="s">
        <v>999</v>
      </c>
      <c r="Q2707" s="973" t="s">
        <v>1000</v>
      </c>
      <c r="R2707" s="973" t="s">
        <v>1001</v>
      </c>
      <c r="S2707" s="973" t="s">
        <v>1002</v>
      </c>
      <c r="AE2707" s="423" t="str">
        <f t="shared" si="42"/>
        <v/>
      </c>
    </row>
    <row r="2708" spans="4:31" x14ac:dyDescent="0.25">
      <c r="D2708" s="973" t="s">
        <v>990</v>
      </c>
      <c r="E2708" s="973" t="s">
        <v>991</v>
      </c>
      <c r="F2708" s="973" t="s">
        <v>992</v>
      </c>
      <c r="G2708" s="973" t="s">
        <v>1997</v>
      </c>
      <c r="H2708" s="973" t="s">
        <v>1998</v>
      </c>
      <c r="I2708" s="973" t="s">
        <v>1999</v>
      </c>
      <c r="J2708" s="973" t="s">
        <v>697</v>
      </c>
      <c r="K2708" s="973" t="s">
        <v>995</v>
      </c>
      <c r="L2708" s="973" t="s">
        <v>996</v>
      </c>
      <c r="M2708" s="973" t="s">
        <v>2000</v>
      </c>
      <c r="N2708" s="973" t="s">
        <v>2001</v>
      </c>
      <c r="O2708" s="973" t="s">
        <v>1971</v>
      </c>
      <c r="P2708" s="973" t="s">
        <v>999</v>
      </c>
      <c r="Q2708" s="973" t="s">
        <v>1000</v>
      </c>
      <c r="R2708" s="973" t="s">
        <v>1001</v>
      </c>
      <c r="S2708" s="973" t="s">
        <v>1002</v>
      </c>
      <c r="AE2708" s="423" t="str">
        <f t="shared" si="42"/>
        <v/>
      </c>
    </row>
    <row r="2709" spans="4:31" x14ac:dyDescent="0.25">
      <c r="D2709" s="973" t="s">
        <v>990</v>
      </c>
      <c r="E2709" s="973" t="s">
        <v>991</v>
      </c>
      <c r="F2709" s="973" t="s">
        <v>992</v>
      </c>
      <c r="G2709" s="973" t="s">
        <v>1997</v>
      </c>
      <c r="H2709" s="973" t="s">
        <v>1998</v>
      </c>
      <c r="I2709" s="973" t="s">
        <v>1999</v>
      </c>
      <c r="J2709" s="973" t="s">
        <v>697</v>
      </c>
      <c r="K2709" s="973" t="s">
        <v>995</v>
      </c>
      <c r="L2709" s="973" t="s">
        <v>996</v>
      </c>
      <c r="M2709" s="973" t="s">
        <v>2000</v>
      </c>
      <c r="N2709" s="973" t="s">
        <v>2001</v>
      </c>
      <c r="O2709" s="973" t="s">
        <v>1971</v>
      </c>
      <c r="P2709" s="973" t="s">
        <v>999</v>
      </c>
      <c r="Q2709" s="973" t="s">
        <v>1000</v>
      </c>
      <c r="R2709" s="973" t="s">
        <v>1001</v>
      </c>
      <c r="S2709" s="973" t="s">
        <v>1002</v>
      </c>
      <c r="AE2709" s="423" t="str">
        <f t="shared" si="42"/>
        <v/>
      </c>
    </row>
    <row r="2710" spans="4:31" x14ac:dyDescent="0.25">
      <c r="D2710" s="973" t="s">
        <v>990</v>
      </c>
      <c r="E2710" s="973" t="s">
        <v>991</v>
      </c>
      <c r="F2710" s="973" t="s">
        <v>992</v>
      </c>
      <c r="G2710" s="973" t="s">
        <v>1997</v>
      </c>
      <c r="H2710" s="973" t="s">
        <v>1998</v>
      </c>
      <c r="I2710" s="973" t="s">
        <v>1999</v>
      </c>
      <c r="J2710" s="973" t="s">
        <v>697</v>
      </c>
      <c r="K2710" s="973" t="s">
        <v>995</v>
      </c>
      <c r="L2710" s="973" t="s">
        <v>996</v>
      </c>
      <c r="M2710" s="973" t="s">
        <v>2000</v>
      </c>
      <c r="N2710" s="973" t="s">
        <v>2001</v>
      </c>
      <c r="O2710" s="973" t="s">
        <v>1971</v>
      </c>
      <c r="P2710" s="973" t="s">
        <v>999</v>
      </c>
      <c r="Q2710" s="973" t="s">
        <v>1000</v>
      </c>
      <c r="R2710" s="973" t="s">
        <v>1001</v>
      </c>
      <c r="S2710" s="973" t="s">
        <v>1002</v>
      </c>
      <c r="AE2710" s="423" t="str">
        <f t="shared" si="42"/>
        <v/>
      </c>
    </row>
    <row r="2711" spans="4:31" x14ac:dyDescent="0.25">
      <c r="D2711" s="973" t="s">
        <v>990</v>
      </c>
      <c r="E2711" s="973" t="s">
        <v>991</v>
      </c>
      <c r="F2711" s="973" t="s">
        <v>992</v>
      </c>
      <c r="G2711" s="973" t="s">
        <v>1997</v>
      </c>
      <c r="H2711" s="973" t="s">
        <v>1998</v>
      </c>
      <c r="I2711" s="973" t="s">
        <v>1999</v>
      </c>
      <c r="J2711" s="973" t="s">
        <v>697</v>
      </c>
      <c r="K2711" s="973" t="s">
        <v>995</v>
      </c>
      <c r="L2711" s="973" t="s">
        <v>996</v>
      </c>
      <c r="M2711" s="973" t="s">
        <v>2000</v>
      </c>
      <c r="N2711" s="973" t="s">
        <v>2001</v>
      </c>
      <c r="O2711" s="973" t="s">
        <v>1971</v>
      </c>
      <c r="P2711" s="973" t="s">
        <v>999</v>
      </c>
      <c r="Q2711" s="973" t="s">
        <v>1000</v>
      </c>
      <c r="R2711" s="973" t="s">
        <v>1001</v>
      </c>
      <c r="S2711" s="973" t="s">
        <v>1002</v>
      </c>
      <c r="AE2711" s="423" t="str">
        <f t="shared" si="42"/>
        <v/>
      </c>
    </row>
    <row r="2712" spans="4:31" x14ac:dyDescent="0.25">
      <c r="D2712" s="973" t="s">
        <v>990</v>
      </c>
      <c r="E2712" s="973" t="s">
        <v>991</v>
      </c>
      <c r="F2712" s="973" t="s">
        <v>992</v>
      </c>
      <c r="G2712" s="973" t="s">
        <v>1997</v>
      </c>
      <c r="H2712" s="973" t="s">
        <v>1998</v>
      </c>
      <c r="I2712" s="973" t="s">
        <v>1999</v>
      </c>
      <c r="J2712" s="973" t="s">
        <v>697</v>
      </c>
      <c r="K2712" s="973" t="s">
        <v>995</v>
      </c>
      <c r="L2712" s="973" t="s">
        <v>996</v>
      </c>
      <c r="M2712" s="973" t="s">
        <v>2000</v>
      </c>
      <c r="N2712" s="973" t="s">
        <v>2001</v>
      </c>
      <c r="O2712" s="973" t="s">
        <v>1971</v>
      </c>
      <c r="P2712" s="973" t="s">
        <v>999</v>
      </c>
      <c r="Q2712" s="973" t="s">
        <v>1000</v>
      </c>
      <c r="R2712" s="973" t="s">
        <v>1001</v>
      </c>
      <c r="S2712" s="973" t="s">
        <v>1002</v>
      </c>
      <c r="AE2712" s="423" t="str">
        <f t="shared" si="42"/>
        <v/>
      </c>
    </row>
    <row r="2713" spans="4:31" x14ac:dyDescent="0.25">
      <c r="D2713" s="973" t="s">
        <v>990</v>
      </c>
      <c r="E2713" s="973" t="s">
        <v>991</v>
      </c>
      <c r="F2713" s="973" t="s">
        <v>992</v>
      </c>
      <c r="G2713" s="973" t="s">
        <v>1997</v>
      </c>
      <c r="H2713" s="973" t="s">
        <v>1998</v>
      </c>
      <c r="I2713" s="973" t="s">
        <v>1999</v>
      </c>
      <c r="J2713" s="973" t="s">
        <v>697</v>
      </c>
      <c r="K2713" s="973" t="s">
        <v>995</v>
      </c>
      <c r="L2713" s="973" t="s">
        <v>996</v>
      </c>
      <c r="M2713" s="973" t="s">
        <v>2000</v>
      </c>
      <c r="N2713" s="973" t="s">
        <v>2001</v>
      </c>
      <c r="O2713" s="973" t="s">
        <v>1971</v>
      </c>
      <c r="P2713" s="973" t="s">
        <v>999</v>
      </c>
      <c r="Q2713" s="973" t="s">
        <v>1000</v>
      </c>
      <c r="R2713" s="973" t="s">
        <v>1001</v>
      </c>
      <c r="S2713" s="973" t="s">
        <v>1002</v>
      </c>
      <c r="AE2713" s="423" t="str">
        <f t="shared" si="42"/>
        <v/>
      </c>
    </row>
    <row r="2714" spans="4:31" x14ac:dyDescent="0.25">
      <c r="D2714" s="973" t="s">
        <v>990</v>
      </c>
      <c r="E2714" s="973" t="s">
        <v>991</v>
      </c>
      <c r="F2714" s="973" t="s">
        <v>992</v>
      </c>
      <c r="G2714" s="973" t="s">
        <v>1997</v>
      </c>
      <c r="H2714" s="973" t="s">
        <v>1998</v>
      </c>
      <c r="I2714" s="973" t="s">
        <v>1999</v>
      </c>
      <c r="J2714" s="973" t="s">
        <v>697</v>
      </c>
      <c r="K2714" s="973" t="s">
        <v>995</v>
      </c>
      <c r="L2714" s="973" t="s">
        <v>996</v>
      </c>
      <c r="M2714" s="973" t="s">
        <v>2000</v>
      </c>
      <c r="N2714" s="973" t="s">
        <v>2001</v>
      </c>
      <c r="O2714" s="973" t="s">
        <v>1971</v>
      </c>
      <c r="P2714" s="973" t="s">
        <v>999</v>
      </c>
      <c r="Q2714" s="973" t="s">
        <v>1000</v>
      </c>
      <c r="R2714" s="973" t="s">
        <v>1001</v>
      </c>
      <c r="S2714" s="973" t="s">
        <v>1002</v>
      </c>
      <c r="AE2714" s="423" t="str">
        <f t="shared" si="42"/>
        <v/>
      </c>
    </row>
    <row r="2715" spans="4:31" x14ac:dyDescent="0.25">
      <c r="D2715" s="973" t="s">
        <v>990</v>
      </c>
      <c r="E2715" s="973" t="s">
        <v>991</v>
      </c>
      <c r="F2715" s="973" t="s">
        <v>992</v>
      </c>
      <c r="G2715" s="973" t="s">
        <v>1997</v>
      </c>
      <c r="H2715" s="973" t="s">
        <v>1998</v>
      </c>
      <c r="I2715" s="973" t="s">
        <v>1999</v>
      </c>
      <c r="J2715" s="973" t="s">
        <v>697</v>
      </c>
      <c r="K2715" s="973" t="s">
        <v>995</v>
      </c>
      <c r="L2715" s="973" t="s">
        <v>996</v>
      </c>
      <c r="M2715" s="973" t="s">
        <v>2000</v>
      </c>
      <c r="N2715" s="973" t="s">
        <v>2001</v>
      </c>
      <c r="O2715" s="973" t="s">
        <v>1971</v>
      </c>
      <c r="P2715" s="973" t="s">
        <v>999</v>
      </c>
      <c r="Q2715" s="973" t="s">
        <v>1000</v>
      </c>
      <c r="R2715" s="973" t="s">
        <v>1001</v>
      </c>
      <c r="S2715" s="973" t="s">
        <v>1002</v>
      </c>
      <c r="AE2715" s="423" t="str">
        <f t="shared" si="42"/>
        <v/>
      </c>
    </row>
    <row r="2716" spans="4:31" x14ac:dyDescent="0.25">
      <c r="D2716" s="973" t="s">
        <v>990</v>
      </c>
      <c r="E2716" s="973" t="s">
        <v>991</v>
      </c>
      <c r="F2716" s="973" t="s">
        <v>992</v>
      </c>
      <c r="G2716" s="973" t="s">
        <v>1997</v>
      </c>
      <c r="H2716" s="973" t="s">
        <v>1998</v>
      </c>
      <c r="I2716" s="973" t="s">
        <v>1999</v>
      </c>
      <c r="J2716" s="973" t="s">
        <v>697</v>
      </c>
      <c r="K2716" s="973" t="s">
        <v>995</v>
      </c>
      <c r="L2716" s="973" t="s">
        <v>996</v>
      </c>
      <c r="M2716" s="973" t="s">
        <v>2000</v>
      </c>
      <c r="N2716" s="973" t="s">
        <v>2001</v>
      </c>
      <c r="O2716" s="973" t="s">
        <v>1971</v>
      </c>
      <c r="P2716" s="973" t="s">
        <v>999</v>
      </c>
      <c r="Q2716" s="973" t="s">
        <v>1000</v>
      </c>
      <c r="R2716" s="973" t="s">
        <v>1001</v>
      </c>
      <c r="S2716" s="973" t="s">
        <v>1002</v>
      </c>
      <c r="AE2716" s="423" t="str">
        <f t="shared" si="42"/>
        <v/>
      </c>
    </row>
    <row r="2717" spans="4:31" x14ac:dyDescent="0.25">
      <c r="D2717" s="973" t="s">
        <v>990</v>
      </c>
      <c r="E2717" s="973" t="s">
        <v>991</v>
      </c>
      <c r="F2717" s="973" t="s">
        <v>992</v>
      </c>
      <c r="G2717" s="973" t="s">
        <v>1997</v>
      </c>
      <c r="H2717" s="973" t="s">
        <v>1998</v>
      </c>
      <c r="I2717" s="973" t="s">
        <v>1999</v>
      </c>
      <c r="J2717" s="973" t="s">
        <v>697</v>
      </c>
      <c r="K2717" s="973" t="s">
        <v>995</v>
      </c>
      <c r="L2717" s="973" t="s">
        <v>996</v>
      </c>
      <c r="M2717" s="973" t="s">
        <v>2000</v>
      </c>
      <c r="N2717" s="973" t="s">
        <v>2001</v>
      </c>
      <c r="O2717" s="973" t="s">
        <v>1971</v>
      </c>
      <c r="P2717" s="973" t="s">
        <v>999</v>
      </c>
      <c r="Q2717" s="973" t="s">
        <v>1000</v>
      </c>
      <c r="R2717" s="973" t="s">
        <v>1001</v>
      </c>
      <c r="S2717" s="973" t="s">
        <v>1002</v>
      </c>
      <c r="AE2717" s="423" t="str">
        <f t="shared" si="42"/>
        <v/>
      </c>
    </row>
    <row r="2718" spans="4:31" x14ac:dyDescent="0.25">
      <c r="D2718" s="973" t="s">
        <v>990</v>
      </c>
      <c r="E2718" s="973" t="s">
        <v>991</v>
      </c>
      <c r="F2718" s="973" t="s">
        <v>992</v>
      </c>
      <c r="G2718" s="973" t="s">
        <v>1997</v>
      </c>
      <c r="H2718" s="973" t="s">
        <v>1998</v>
      </c>
      <c r="I2718" s="973" t="s">
        <v>1999</v>
      </c>
      <c r="J2718" s="973" t="s">
        <v>697</v>
      </c>
      <c r="K2718" s="973" t="s">
        <v>995</v>
      </c>
      <c r="L2718" s="973" t="s">
        <v>996</v>
      </c>
      <c r="M2718" s="973" t="s">
        <v>2000</v>
      </c>
      <c r="N2718" s="973" t="s">
        <v>2001</v>
      </c>
      <c r="O2718" s="973" t="s">
        <v>1971</v>
      </c>
      <c r="P2718" s="973" t="s">
        <v>999</v>
      </c>
      <c r="Q2718" s="973" t="s">
        <v>1000</v>
      </c>
      <c r="R2718" s="973" t="s">
        <v>1001</v>
      </c>
      <c r="S2718" s="973" t="s">
        <v>1002</v>
      </c>
      <c r="AE2718" s="423" t="str">
        <f t="shared" si="42"/>
        <v/>
      </c>
    </row>
    <row r="2719" spans="4:31" x14ac:dyDescent="0.25">
      <c r="D2719" s="973" t="s">
        <v>990</v>
      </c>
      <c r="E2719" s="973" t="s">
        <v>991</v>
      </c>
      <c r="F2719" s="973" t="s">
        <v>992</v>
      </c>
      <c r="G2719" s="973" t="s">
        <v>1997</v>
      </c>
      <c r="H2719" s="973" t="s">
        <v>1998</v>
      </c>
      <c r="I2719" s="973" t="s">
        <v>1999</v>
      </c>
      <c r="J2719" s="973" t="s">
        <v>697</v>
      </c>
      <c r="K2719" s="973" t="s">
        <v>995</v>
      </c>
      <c r="L2719" s="973" t="s">
        <v>996</v>
      </c>
      <c r="M2719" s="973" t="s">
        <v>2000</v>
      </c>
      <c r="N2719" s="973" t="s">
        <v>2001</v>
      </c>
      <c r="O2719" s="973" t="s">
        <v>1971</v>
      </c>
      <c r="P2719" s="973" t="s">
        <v>999</v>
      </c>
      <c r="Q2719" s="973" t="s">
        <v>1000</v>
      </c>
      <c r="R2719" s="973" t="s">
        <v>1001</v>
      </c>
      <c r="S2719" s="973" t="s">
        <v>1002</v>
      </c>
      <c r="AE2719" s="423" t="str">
        <f t="shared" si="42"/>
        <v/>
      </c>
    </row>
    <row r="2720" spans="4:31" x14ac:dyDescent="0.25">
      <c r="D2720" s="973" t="s">
        <v>990</v>
      </c>
      <c r="E2720" s="973" t="s">
        <v>991</v>
      </c>
      <c r="F2720" s="973" t="s">
        <v>992</v>
      </c>
      <c r="G2720" s="973" t="s">
        <v>1997</v>
      </c>
      <c r="H2720" s="973" t="s">
        <v>1998</v>
      </c>
      <c r="I2720" s="973" t="s">
        <v>1999</v>
      </c>
      <c r="J2720" s="973" t="s">
        <v>697</v>
      </c>
      <c r="K2720" s="973" t="s">
        <v>995</v>
      </c>
      <c r="L2720" s="973" t="s">
        <v>996</v>
      </c>
      <c r="M2720" s="973" t="s">
        <v>2000</v>
      </c>
      <c r="N2720" s="973" t="s">
        <v>2001</v>
      </c>
      <c r="O2720" s="973" t="s">
        <v>1971</v>
      </c>
      <c r="P2720" s="973" t="s">
        <v>999</v>
      </c>
      <c r="Q2720" s="973" t="s">
        <v>1000</v>
      </c>
      <c r="R2720" s="973" t="s">
        <v>1001</v>
      </c>
      <c r="S2720" s="973" t="s">
        <v>1002</v>
      </c>
      <c r="AE2720" s="423" t="str">
        <f t="shared" si="42"/>
        <v/>
      </c>
    </row>
    <row r="2721" spans="4:31" x14ac:dyDescent="0.25">
      <c r="D2721" s="973" t="s">
        <v>990</v>
      </c>
      <c r="E2721" s="973" t="s">
        <v>991</v>
      </c>
      <c r="F2721" s="973" t="s">
        <v>992</v>
      </c>
      <c r="G2721" s="973" t="s">
        <v>1997</v>
      </c>
      <c r="H2721" s="973" t="s">
        <v>1998</v>
      </c>
      <c r="I2721" s="973" t="s">
        <v>1999</v>
      </c>
      <c r="J2721" s="973" t="s">
        <v>697</v>
      </c>
      <c r="K2721" s="973" t="s">
        <v>995</v>
      </c>
      <c r="L2721" s="973" t="s">
        <v>996</v>
      </c>
      <c r="M2721" s="973" t="s">
        <v>2000</v>
      </c>
      <c r="N2721" s="973" t="s">
        <v>2001</v>
      </c>
      <c r="O2721" s="973" t="s">
        <v>1971</v>
      </c>
      <c r="P2721" s="973" t="s">
        <v>999</v>
      </c>
      <c r="Q2721" s="973" t="s">
        <v>1000</v>
      </c>
      <c r="R2721" s="973" t="s">
        <v>1001</v>
      </c>
      <c r="S2721" s="973" t="s">
        <v>1002</v>
      </c>
      <c r="AE2721" s="423" t="str">
        <f t="shared" si="42"/>
        <v/>
      </c>
    </row>
    <row r="2722" spans="4:31" x14ac:dyDescent="0.25">
      <c r="D2722" s="973" t="s">
        <v>990</v>
      </c>
      <c r="E2722" s="973" t="s">
        <v>991</v>
      </c>
      <c r="F2722" s="973" t="s">
        <v>992</v>
      </c>
      <c r="G2722" s="973" t="s">
        <v>1997</v>
      </c>
      <c r="H2722" s="973" t="s">
        <v>1998</v>
      </c>
      <c r="I2722" s="973" t="s">
        <v>1999</v>
      </c>
      <c r="J2722" s="973" t="s">
        <v>697</v>
      </c>
      <c r="K2722" s="973" t="s">
        <v>995</v>
      </c>
      <c r="L2722" s="973" t="s">
        <v>996</v>
      </c>
      <c r="M2722" s="973" t="s">
        <v>2000</v>
      </c>
      <c r="N2722" s="973" t="s">
        <v>2001</v>
      </c>
      <c r="O2722" s="973" t="s">
        <v>1971</v>
      </c>
      <c r="P2722" s="973" t="s">
        <v>999</v>
      </c>
      <c r="Q2722" s="973" t="s">
        <v>1000</v>
      </c>
      <c r="R2722" s="973" t="s">
        <v>1001</v>
      </c>
      <c r="S2722" s="973" t="s">
        <v>1002</v>
      </c>
      <c r="AE2722" s="423" t="str">
        <f t="shared" si="42"/>
        <v/>
      </c>
    </row>
    <row r="2723" spans="4:31" x14ac:dyDescent="0.25">
      <c r="D2723" s="973" t="s">
        <v>990</v>
      </c>
      <c r="E2723" s="973" t="s">
        <v>991</v>
      </c>
      <c r="F2723" s="973" t="s">
        <v>992</v>
      </c>
      <c r="G2723" s="973" t="s">
        <v>1997</v>
      </c>
      <c r="H2723" s="973" t="s">
        <v>1998</v>
      </c>
      <c r="I2723" s="973" t="s">
        <v>1999</v>
      </c>
      <c r="J2723" s="973" t="s">
        <v>697</v>
      </c>
      <c r="K2723" s="973" t="s">
        <v>995</v>
      </c>
      <c r="L2723" s="973" t="s">
        <v>996</v>
      </c>
      <c r="M2723" s="973" t="s">
        <v>2000</v>
      </c>
      <c r="N2723" s="973" t="s">
        <v>2001</v>
      </c>
      <c r="O2723" s="973" t="s">
        <v>1971</v>
      </c>
      <c r="P2723" s="973" t="s">
        <v>999</v>
      </c>
      <c r="Q2723" s="973" t="s">
        <v>1000</v>
      </c>
      <c r="R2723" s="973" t="s">
        <v>1001</v>
      </c>
      <c r="S2723" s="973" t="s">
        <v>1002</v>
      </c>
      <c r="AE2723" s="423" t="str">
        <f t="shared" si="42"/>
        <v/>
      </c>
    </row>
    <row r="2724" spans="4:31" x14ac:dyDescent="0.25">
      <c r="D2724" s="973" t="s">
        <v>990</v>
      </c>
      <c r="E2724" s="973" t="s">
        <v>991</v>
      </c>
      <c r="F2724" s="973" t="s">
        <v>992</v>
      </c>
      <c r="G2724" s="973" t="s">
        <v>1997</v>
      </c>
      <c r="H2724" s="973" t="s">
        <v>1998</v>
      </c>
      <c r="I2724" s="973" t="s">
        <v>1999</v>
      </c>
      <c r="J2724" s="973" t="s">
        <v>697</v>
      </c>
      <c r="K2724" s="973" t="s">
        <v>995</v>
      </c>
      <c r="L2724" s="973" t="s">
        <v>996</v>
      </c>
      <c r="M2724" s="973" t="s">
        <v>2000</v>
      </c>
      <c r="N2724" s="973" t="s">
        <v>2001</v>
      </c>
      <c r="O2724" s="973" t="s">
        <v>1971</v>
      </c>
      <c r="P2724" s="973" t="s">
        <v>999</v>
      </c>
      <c r="Q2724" s="973" t="s">
        <v>1000</v>
      </c>
      <c r="R2724" s="973" t="s">
        <v>1001</v>
      </c>
      <c r="S2724" s="973" t="s">
        <v>1002</v>
      </c>
      <c r="AE2724" s="423" t="str">
        <f t="shared" si="42"/>
        <v/>
      </c>
    </row>
    <row r="2725" spans="4:31" x14ac:dyDescent="0.25">
      <c r="D2725" s="973" t="s">
        <v>990</v>
      </c>
      <c r="E2725" s="973" t="s">
        <v>991</v>
      </c>
      <c r="F2725" s="973" t="s">
        <v>992</v>
      </c>
      <c r="G2725" s="973" t="s">
        <v>1997</v>
      </c>
      <c r="H2725" s="973" t="s">
        <v>1998</v>
      </c>
      <c r="I2725" s="973" t="s">
        <v>1999</v>
      </c>
      <c r="J2725" s="973" t="s">
        <v>697</v>
      </c>
      <c r="K2725" s="973" t="s">
        <v>995</v>
      </c>
      <c r="L2725" s="973" t="s">
        <v>996</v>
      </c>
      <c r="M2725" s="973" t="s">
        <v>2000</v>
      </c>
      <c r="N2725" s="973" t="s">
        <v>2001</v>
      </c>
      <c r="O2725" s="973" t="s">
        <v>1971</v>
      </c>
      <c r="P2725" s="973" t="s">
        <v>999</v>
      </c>
      <c r="Q2725" s="973" t="s">
        <v>1000</v>
      </c>
      <c r="R2725" s="973" t="s">
        <v>1001</v>
      </c>
      <c r="S2725" s="973" t="s">
        <v>1002</v>
      </c>
      <c r="AE2725" s="423" t="str">
        <f t="shared" si="42"/>
        <v/>
      </c>
    </row>
    <row r="2726" spans="4:31" x14ac:dyDescent="0.25">
      <c r="D2726" s="973" t="s">
        <v>990</v>
      </c>
      <c r="E2726" s="973" t="s">
        <v>991</v>
      </c>
      <c r="F2726" s="973" t="s">
        <v>992</v>
      </c>
      <c r="G2726" s="973" t="s">
        <v>1997</v>
      </c>
      <c r="H2726" s="973" t="s">
        <v>1998</v>
      </c>
      <c r="I2726" s="973" t="s">
        <v>1999</v>
      </c>
      <c r="J2726" s="973" t="s">
        <v>697</v>
      </c>
      <c r="K2726" s="973" t="s">
        <v>995</v>
      </c>
      <c r="L2726" s="973" t="s">
        <v>996</v>
      </c>
      <c r="M2726" s="973" t="s">
        <v>2000</v>
      </c>
      <c r="N2726" s="973" t="s">
        <v>2001</v>
      </c>
      <c r="O2726" s="973" t="s">
        <v>1971</v>
      </c>
      <c r="P2726" s="973" t="s">
        <v>999</v>
      </c>
      <c r="Q2726" s="973" t="s">
        <v>1000</v>
      </c>
      <c r="R2726" s="973" t="s">
        <v>1001</v>
      </c>
      <c r="S2726" s="973" t="s">
        <v>1002</v>
      </c>
      <c r="AE2726" s="423" t="str">
        <f t="shared" si="42"/>
        <v/>
      </c>
    </row>
    <row r="2727" spans="4:31" x14ac:dyDescent="0.25">
      <c r="D2727" s="973" t="s">
        <v>990</v>
      </c>
      <c r="E2727" s="973" t="s">
        <v>991</v>
      </c>
      <c r="F2727" s="973" t="s">
        <v>992</v>
      </c>
      <c r="G2727" s="973" t="s">
        <v>1997</v>
      </c>
      <c r="H2727" s="973" t="s">
        <v>1998</v>
      </c>
      <c r="I2727" s="973" t="s">
        <v>1999</v>
      </c>
      <c r="J2727" s="973" t="s">
        <v>697</v>
      </c>
      <c r="K2727" s="973" t="s">
        <v>995</v>
      </c>
      <c r="L2727" s="973" t="s">
        <v>996</v>
      </c>
      <c r="M2727" s="973" t="s">
        <v>2000</v>
      </c>
      <c r="N2727" s="973" t="s">
        <v>2001</v>
      </c>
      <c r="O2727" s="973" t="s">
        <v>1971</v>
      </c>
      <c r="P2727" s="973" t="s">
        <v>999</v>
      </c>
      <c r="Q2727" s="973" t="s">
        <v>1000</v>
      </c>
      <c r="R2727" s="973" t="s">
        <v>1001</v>
      </c>
      <c r="S2727" s="973" t="s">
        <v>1002</v>
      </c>
      <c r="AE2727" s="423" t="str">
        <f t="shared" si="42"/>
        <v/>
      </c>
    </row>
    <row r="2728" spans="4:31" x14ac:dyDescent="0.25">
      <c r="D2728" s="973" t="s">
        <v>990</v>
      </c>
      <c r="E2728" s="973" t="s">
        <v>991</v>
      </c>
      <c r="F2728" s="973" t="s">
        <v>992</v>
      </c>
      <c r="G2728" s="973" t="s">
        <v>1997</v>
      </c>
      <c r="H2728" s="973" t="s">
        <v>1998</v>
      </c>
      <c r="I2728" s="973" t="s">
        <v>1999</v>
      </c>
      <c r="J2728" s="973" t="s">
        <v>697</v>
      </c>
      <c r="K2728" s="973" t="s">
        <v>995</v>
      </c>
      <c r="L2728" s="973" t="s">
        <v>996</v>
      </c>
      <c r="M2728" s="973" t="s">
        <v>2000</v>
      </c>
      <c r="N2728" s="973" t="s">
        <v>2001</v>
      </c>
      <c r="O2728" s="973" t="s">
        <v>1971</v>
      </c>
      <c r="P2728" s="973" t="s">
        <v>999</v>
      </c>
      <c r="Q2728" s="973" t="s">
        <v>1000</v>
      </c>
      <c r="R2728" s="973" t="s">
        <v>1001</v>
      </c>
      <c r="S2728" s="973" t="s">
        <v>1002</v>
      </c>
      <c r="AE2728" s="423" t="str">
        <f t="shared" si="42"/>
        <v/>
      </c>
    </row>
    <row r="2729" spans="4:31" x14ac:dyDescent="0.25">
      <c r="D2729" s="973" t="s">
        <v>990</v>
      </c>
      <c r="E2729" s="973" t="s">
        <v>991</v>
      </c>
      <c r="F2729" s="973" t="s">
        <v>992</v>
      </c>
      <c r="G2729" s="973" t="s">
        <v>1997</v>
      </c>
      <c r="H2729" s="973" t="s">
        <v>1998</v>
      </c>
      <c r="I2729" s="973" t="s">
        <v>1999</v>
      </c>
      <c r="J2729" s="973" t="s">
        <v>697</v>
      </c>
      <c r="K2729" s="973" t="s">
        <v>995</v>
      </c>
      <c r="L2729" s="973" t="s">
        <v>996</v>
      </c>
      <c r="M2729" s="973" t="s">
        <v>2000</v>
      </c>
      <c r="N2729" s="973" t="s">
        <v>2001</v>
      </c>
      <c r="O2729" s="973" t="s">
        <v>1971</v>
      </c>
      <c r="P2729" s="973" t="s">
        <v>999</v>
      </c>
      <c r="Q2729" s="973" t="s">
        <v>1000</v>
      </c>
      <c r="R2729" s="973" t="s">
        <v>1001</v>
      </c>
      <c r="S2729" s="973" t="s">
        <v>1002</v>
      </c>
      <c r="AE2729" s="423" t="str">
        <f t="shared" si="42"/>
        <v/>
      </c>
    </row>
    <row r="2730" spans="4:31" x14ac:dyDescent="0.25">
      <c r="D2730" s="973" t="s">
        <v>990</v>
      </c>
      <c r="E2730" s="973" t="s">
        <v>991</v>
      </c>
      <c r="F2730" s="973" t="s">
        <v>992</v>
      </c>
      <c r="G2730" s="973" t="s">
        <v>1997</v>
      </c>
      <c r="H2730" s="973" t="s">
        <v>1998</v>
      </c>
      <c r="I2730" s="973" t="s">
        <v>1999</v>
      </c>
      <c r="J2730" s="973" t="s">
        <v>697</v>
      </c>
      <c r="K2730" s="973" t="s">
        <v>995</v>
      </c>
      <c r="L2730" s="973" t="s">
        <v>996</v>
      </c>
      <c r="M2730" s="973" t="s">
        <v>2000</v>
      </c>
      <c r="N2730" s="973" t="s">
        <v>2001</v>
      </c>
      <c r="O2730" s="973" t="s">
        <v>1971</v>
      </c>
      <c r="P2730" s="973" t="s">
        <v>999</v>
      </c>
      <c r="Q2730" s="973" t="s">
        <v>1000</v>
      </c>
      <c r="R2730" s="973" t="s">
        <v>1001</v>
      </c>
      <c r="S2730" s="973" t="s">
        <v>1002</v>
      </c>
      <c r="AE2730" s="423" t="str">
        <f t="shared" si="42"/>
        <v/>
      </c>
    </row>
    <row r="2731" spans="4:31" x14ac:dyDescent="0.25">
      <c r="D2731" s="973" t="s">
        <v>990</v>
      </c>
      <c r="E2731" s="973" t="s">
        <v>991</v>
      </c>
      <c r="F2731" s="973" t="s">
        <v>992</v>
      </c>
      <c r="G2731" s="973" t="s">
        <v>1997</v>
      </c>
      <c r="H2731" s="973" t="s">
        <v>1998</v>
      </c>
      <c r="I2731" s="973" t="s">
        <v>1999</v>
      </c>
      <c r="J2731" s="973" t="s">
        <v>697</v>
      </c>
      <c r="K2731" s="973" t="s">
        <v>995</v>
      </c>
      <c r="L2731" s="973" t="s">
        <v>996</v>
      </c>
      <c r="M2731" s="973" t="s">
        <v>2000</v>
      </c>
      <c r="N2731" s="973" t="s">
        <v>2001</v>
      </c>
      <c r="O2731" s="973" t="s">
        <v>1971</v>
      </c>
      <c r="P2731" s="973" t="s">
        <v>999</v>
      </c>
      <c r="Q2731" s="973" t="s">
        <v>1000</v>
      </c>
      <c r="R2731" s="973" t="s">
        <v>1001</v>
      </c>
      <c r="S2731" s="973" t="s">
        <v>1002</v>
      </c>
      <c r="AE2731" s="423" t="str">
        <f t="shared" si="42"/>
        <v/>
      </c>
    </row>
    <row r="2732" spans="4:31" x14ac:dyDescent="0.25">
      <c r="D2732" s="973" t="s">
        <v>990</v>
      </c>
      <c r="E2732" s="973" t="s">
        <v>991</v>
      </c>
      <c r="F2732" s="973" t="s">
        <v>992</v>
      </c>
      <c r="G2732" s="973" t="s">
        <v>1997</v>
      </c>
      <c r="H2732" s="973" t="s">
        <v>1998</v>
      </c>
      <c r="I2732" s="973" t="s">
        <v>1999</v>
      </c>
      <c r="J2732" s="973" t="s">
        <v>697</v>
      </c>
      <c r="K2732" s="973" t="s">
        <v>995</v>
      </c>
      <c r="L2732" s="973" t="s">
        <v>996</v>
      </c>
      <c r="M2732" s="973" t="s">
        <v>2000</v>
      </c>
      <c r="N2732" s="973" t="s">
        <v>2001</v>
      </c>
      <c r="O2732" s="973" t="s">
        <v>1971</v>
      </c>
      <c r="P2732" s="973" t="s">
        <v>999</v>
      </c>
      <c r="Q2732" s="973" t="s">
        <v>1000</v>
      </c>
      <c r="R2732" s="973" t="s">
        <v>1001</v>
      </c>
      <c r="S2732" s="973" t="s">
        <v>1002</v>
      </c>
      <c r="AE2732" s="423" t="str">
        <f t="shared" si="42"/>
        <v/>
      </c>
    </row>
    <row r="2733" spans="4:31" x14ac:dyDescent="0.25">
      <c r="D2733" s="973" t="s">
        <v>990</v>
      </c>
      <c r="E2733" s="973" t="s">
        <v>991</v>
      </c>
      <c r="F2733" s="973" t="s">
        <v>992</v>
      </c>
      <c r="G2733" s="973" t="s">
        <v>1997</v>
      </c>
      <c r="H2733" s="973" t="s">
        <v>1998</v>
      </c>
      <c r="I2733" s="973" t="s">
        <v>1999</v>
      </c>
      <c r="J2733" s="973" t="s">
        <v>697</v>
      </c>
      <c r="K2733" s="973" t="s">
        <v>995</v>
      </c>
      <c r="L2733" s="973" t="s">
        <v>996</v>
      </c>
      <c r="M2733" s="973" t="s">
        <v>2000</v>
      </c>
      <c r="N2733" s="973" t="s">
        <v>2001</v>
      </c>
      <c r="O2733" s="973" t="s">
        <v>1971</v>
      </c>
      <c r="P2733" s="973" t="s">
        <v>999</v>
      </c>
      <c r="Q2733" s="973" t="s">
        <v>1000</v>
      </c>
      <c r="R2733" s="973" t="s">
        <v>1001</v>
      </c>
      <c r="S2733" s="973" t="s">
        <v>1002</v>
      </c>
      <c r="AE2733" s="423" t="str">
        <f t="shared" si="42"/>
        <v/>
      </c>
    </row>
    <row r="2734" spans="4:31" x14ac:dyDescent="0.25">
      <c r="D2734" s="973" t="s">
        <v>990</v>
      </c>
      <c r="E2734" s="973" t="s">
        <v>991</v>
      </c>
      <c r="F2734" s="973" t="s">
        <v>992</v>
      </c>
      <c r="G2734" s="973" t="s">
        <v>1997</v>
      </c>
      <c r="H2734" s="973" t="s">
        <v>1998</v>
      </c>
      <c r="I2734" s="973" t="s">
        <v>1999</v>
      </c>
      <c r="J2734" s="973" t="s">
        <v>697</v>
      </c>
      <c r="K2734" s="973" t="s">
        <v>995</v>
      </c>
      <c r="L2734" s="973" t="s">
        <v>996</v>
      </c>
      <c r="M2734" s="973" t="s">
        <v>2000</v>
      </c>
      <c r="N2734" s="973" t="s">
        <v>2001</v>
      </c>
      <c r="O2734" s="973" t="s">
        <v>1971</v>
      </c>
      <c r="P2734" s="973" t="s">
        <v>999</v>
      </c>
      <c r="Q2734" s="973" t="s">
        <v>1000</v>
      </c>
      <c r="R2734" s="973" t="s">
        <v>1001</v>
      </c>
      <c r="S2734" s="973" t="s">
        <v>1002</v>
      </c>
      <c r="AE2734" s="423" t="str">
        <f t="shared" si="42"/>
        <v/>
      </c>
    </row>
    <row r="2735" spans="4:31" x14ac:dyDescent="0.25">
      <c r="D2735" s="973" t="s">
        <v>990</v>
      </c>
      <c r="E2735" s="973" t="s">
        <v>991</v>
      </c>
      <c r="F2735" s="973" t="s">
        <v>992</v>
      </c>
      <c r="G2735" s="973" t="s">
        <v>1997</v>
      </c>
      <c r="H2735" s="973" t="s">
        <v>1998</v>
      </c>
      <c r="I2735" s="973" t="s">
        <v>1999</v>
      </c>
      <c r="J2735" s="973" t="s">
        <v>697</v>
      </c>
      <c r="K2735" s="973" t="s">
        <v>995</v>
      </c>
      <c r="L2735" s="973" t="s">
        <v>996</v>
      </c>
      <c r="M2735" s="973" t="s">
        <v>2000</v>
      </c>
      <c r="N2735" s="973" t="s">
        <v>2001</v>
      </c>
      <c r="O2735" s="973" t="s">
        <v>1971</v>
      </c>
      <c r="P2735" s="973" t="s">
        <v>999</v>
      </c>
      <c r="Q2735" s="973" t="s">
        <v>1000</v>
      </c>
      <c r="R2735" s="973" t="s">
        <v>1001</v>
      </c>
      <c r="S2735" s="973" t="s">
        <v>1002</v>
      </c>
      <c r="AE2735" s="423" t="str">
        <f t="shared" si="42"/>
        <v/>
      </c>
    </row>
    <row r="2736" spans="4:31" x14ac:dyDescent="0.25">
      <c r="D2736" s="973" t="s">
        <v>990</v>
      </c>
      <c r="E2736" s="973" t="s">
        <v>991</v>
      </c>
      <c r="F2736" s="973" t="s">
        <v>992</v>
      </c>
      <c r="G2736" s="973" t="s">
        <v>1997</v>
      </c>
      <c r="H2736" s="973" t="s">
        <v>1998</v>
      </c>
      <c r="I2736" s="973" t="s">
        <v>1999</v>
      </c>
      <c r="J2736" s="973" t="s">
        <v>697</v>
      </c>
      <c r="K2736" s="973" t="s">
        <v>995</v>
      </c>
      <c r="L2736" s="973" t="s">
        <v>996</v>
      </c>
      <c r="M2736" s="973" t="s">
        <v>2000</v>
      </c>
      <c r="N2736" s="973" t="s">
        <v>2001</v>
      </c>
      <c r="O2736" s="973" t="s">
        <v>1971</v>
      </c>
      <c r="P2736" s="973" t="s">
        <v>999</v>
      </c>
      <c r="Q2736" s="973" t="s">
        <v>1000</v>
      </c>
      <c r="R2736" s="973" t="s">
        <v>1001</v>
      </c>
      <c r="S2736" s="973" t="s">
        <v>1002</v>
      </c>
      <c r="AE2736" s="423" t="str">
        <f t="shared" si="42"/>
        <v/>
      </c>
    </row>
    <row r="2737" spans="4:31" x14ac:dyDescent="0.25">
      <c r="D2737" s="973" t="s">
        <v>990</v>
      </c>
      <c r="E2737" s="973" t="s">
        <v>991</v>
      </c>
      <c r="F2737" s="973" t="s">
        <v>992</v>
      </c>
      <c r="G2737" s="973" t="s">
        <v>1997</v>
      </c>
      <c r="H2737" s="973" t="s">
        <v>1998</v>
      </c>
      <c r="I2737" s="973" t="s">
        <v>1999</v>
      </c>
      <c r="J2737" s="973" t="s">
        <v>697</v>
      </c>
      <c r="K2737" s="973" t="s">
        <v>995</v>
      </c>
      <c r="L2737" s="973" t="s">
        <v>996</v>
      </c>
      <c r="M2737" s="973" t="s">
        <v>2000</v>
      </c>
      <c r="N2737" s="973" t="s">
        <v>2001</v>
      </c>
      <c r="O2737" s="973" t="s">
        <v>1971</v>
      </c>
      <c r="P2737" s="973" t="s">
        <v>999</v>
      </c>
      <c r="Q2737" s="973" t="s">
        <v>1000</v>
      </c>
      <c r="R2737" s="973" t="s">
        <v>1001</v>
      </c>
      <c r="S2737" s="973" t="s">
        <v>1002</v>
      </c>
      <c r="AE2737" s="423" t="str">
        <f t="shared" si="42"/>
        <v/>
      </c>
    </row>
    <row r="2738" spans="4:31" x14ac:dyDescent="0.25">
      <c r="D2738" s="973" t="s">
        <v>990</v>
      </c>
      <c r="E2738" s="973" t="s">
        <v>991</v>
      </c>
      <c r="F2738" s="973" t="s">
        <v>992</v>
      </c>
      <c r="G2738" s="973" t="s">
        <v>1997</v>
      </c>
      <c r="H2738" s="973" t="s">
        <v>1998</v>
      </c>
      <c r="I2738" s="973" t="s">
        <v>1999</v>
      </c>
      <c r="J2738" s="973" t="s">
        <v>697</v>
      </c>
      <c r="K2738" s="973" t="s">
        <v>995</v>
      </c>
      <c r="L2738" s="973" t="s">
        <v>996</v>
      </c>
      <c r="M2738" s="973" t="s">
        <v>2000</v>
      </c>
      <c r="N2738" s="973" t="s">
        <v>2001</v>
      </c>
      <c r="O2738" s="973" t="s">
        <v>1971</v>
      </c>
      <c r="P2738" s="973" t="s">
        <v>999</v>
      </c>
      <c r="Q2738" s="973" t="s">
        <v>1000</v>
      </c>
      <c r="R2738" s="973" t="s">
        <v>1001</v>
      </c>
      <c r="S2738" s="973" t="s">
        <v>1002</v>
      </c>
      <c r="AE2738" s="423" t="str">
        <f t="shared" si="42"/>
        <v/>
      </c>
    </row>
    <row r="2739" spans="4:31" x14ac:dyDescent="0.25">
      <c r="D2739" s="973" t="s">
        <v>990</v>
      </c>
      <c r="E2739" s="973" t="s">
        <v>991</v>
      </c>
      <c r="F2739" s="973" t="s">
        <v>992</v>
      </c>
      <c r="G2739" s="973" t="s">
        <v>1997</v>
      </c>
      <c r="H2739" s="973" t="s">
        <v>1998</v>
      </c>
      <c r="I2739" s="973" t="s">
        <v>1999</v>
      </c>
      <c r="J2739" s="973" t="s">
        <v>697</v>
      </c>
      <c r="K2739" s="973" t="s">
        <v>995</v>
      </c>
      <c r="L2739" s="973" t="s">
        <v>996</v>
      </c>
      <c r="M2739" s="973" t="s">
        <v>2000</v>
      </c>
      <c r="N2739" s="973" t="s">
        <v>2001</v>
      </c>
      <c r="O2739" s="973" t="s">
        <v>1971</v>
      </c>
      <c r="P2739" s="973" t="s">
        <v>999</v>
      </c>
      <c r="Q2739" s="973" t="s">
        <v>1000</v>
      </c>
      <c r="R2739" s="973" t="s">
        <v>1001</v>
      </c>
      <c r="S2739" s="973" t="s">
        <v>1002</v>
      </c>
      <c r="AE2739" s="423" t="str">
        <f t="shared" si="42"/>
        <v/>
      </c>
    </row>
    <row r="2740" spans="4:31" x14ac:dyDescent="0.25">
      <c r="D2740" s="973" t="s">
        <v>990</v>
      </c>
      <c r="E2740" s="973" t="s">
        <v>991</v>
      </c>
      <c r="F2740" s="973" t="s">
        <v>992</v>
      </c>
      <c r="G2740" s="973" t="s">
        <v>1997</v>
      </c>
      <c r="H2740" s="973" t="s">
        <v>1998</v>
      </c>
      <c r="I2740" s="973" t="s">
        <v>1999</v>
      </c>
      <c r="J2740" s="973" t="s">
        <v>697</v>
      </c>
      <c r="K2740" s="973" t="s">
        <v>995</v>
      </c>
      <c r="L2740" s="973" t="s">
        <v>996</v>
      </c>
      <c r="M2740" s="973" t="s">
        <v>2000</v>
      </c>
      <c r="N2740" s="973" t="s">
        <v>2001</v>
      </c>
      <c r="O2740" s="973" t="s">
        <v>1971</v>
      </c>
      <c r="P2740" s="973" t="s">
        <v>999</v>
      </c>
      <c r="Q2740" s="973" t="s">
        <v>1000</v>
      </c>
      <c r="R2740" s="973" t="s">
        <v>1001</v>
      </c>
      <c r="S2740" s="973" t="s">
        <v>1002</v>
      </c>
      <c r="AE2740" s="423" t="str">
        <f t="shared" si="42"/>
        <v/>
      </c>
    </row>
    <row r="2741" spans="4:31" x14ac:dyDescent="0.25">
      <c r="D2741" s="973" t="s">
        <v>990</v>
      </c>
      <c r="E2741" s="973" t="s">
        <v>991</v>
      </c>
      <c r="F2741" s="973" t="s">
        <v>992</v>
      </c>
      <c r="G2741" s="973" t="s">
        <v>1997</v>
      </c>
      <c r="H2741" s="973" t="s">
        <v>1998</v>
      </c>
      <c r="I2741" s="973" t="s">
        <v>1999</v>
      </c>
      <c r="J2741" s="973" t="s">
        <v>697</v>
      </c>
      <c r="K2741" s="973" t="s">
        <v>995</v>
      </c>
      <c r="L2741" s="973" t="s">
        <v>996</v>
      </c>
      <c r="M2741" s="973" t="s">
        <v>2000</v>
      </c>
      <c r="N2741" s="973" t="s">
        <v>2001</v>
      </c>
      <c r="O2741" s="973" t="s">
        <v>1971</v>
      </c>
      <c r="P2741" s="973" t="s">
        <v>999</v>
      </c>
      <c r="Q2741" s="973" t="s">
        <v>1000</v>
      </c>
      <c r="R2741" s="973" t="s">
        <v>1001</v>
      </c>
      <c r="S2741" s="973" t="s">
        <v>1002</v>
      </c>
      <c r="AE2741" s="423" t="str">
        <f t="shared" si="42"/>
        <v/>
      </c>
    </row>
    <row r="2742" spans="4:31" x14ac:dyDescent="0.25">
      <c r="D2742" s="973" t="s">
        <v>990</v>
      </c>
      <c r="E2742" s="973" t="s">
        <v>991</v>
      </c>
      <c r="F2742" s="973" t="s">
        <v>992</v>
      </c>
      <c r="G2742" s="973" t="s">
        <v>1997</v>
      </c>
      <c r="H2742" s="973" t="s">
        <v>1998</v>
      </c>
      <c r="I2742" s="973" t="s">
        <v>1999</v>
      </c>
      <c r="J2742" s="973" t="s">
        <v>697</v>
      </c>
      <c r="K2742" s="973" t="s">
        <v>995</v>
      </c>
      <c r="L2742" s="973" t="s">
        <v>996</v>
      </c>
      <c r="M2742" s="973" t="s">
        <v>2000</v>
      </c>
      <c r="N2742" s="973" t="s">
        <v>2001</v>
      </c>
      <c r="O2742" s="973" t="s">
        <v>1971</v>
      </c>
      <c r="P2742" s="973" t="s">
        <v>999</v>
      </c>
      <c r="Q2742" s="973" t="s">
        <v>1000</v>
      </c>
      <c r="R2742" s="973" t="s">
        <v>1001</v>
      </c>
      <c r="S2742" s="973" t="s">
        <v>1002</v>
      </c>
      <c r="AE2742" s="423" t="str">
        <f t="shared" si="42"/>
        <v/>
      </c>
    </row>
    <row r="2743" spans="4:31" x14ac:dyDescent="0.25">
      <c r="D2743" s="973" t="s">
        <v>990</v>
      </c>
      <c r="E2743" s="973" t="s">
        <v>991</v>
      </c>
      <c r="F2743" s="973" t="s">
        <v>992</v>
      </c>
      <c r="G2743" s="973" t="s">
        <v>1997</v>
      </c>
      <c r="H2743" s="973" t="s">
        <v>1998</v>
      </c>
      <c r="I2743" s="973" t="s">
        <v>1999</v>
      </c>
      <c r="J2743" s="973" t="s">
        <v>697</v>
      </c>
      <c r="K2743" s="973" t="s">
        <v>995</v>
      </c>
      <c r="L2743" s="973" t="s">
        <v>996</v>
      </c>
      <c r="M2743" s="973" t="s">
        <v>2000</v>
      </c>
      <c r="N2743" s="973" t="s">
        <v>2001</v>
      </c>
      <c r="O2743" s="973" t="s">
        <v>1971</v>
      </c>
      <c r="P2743" s="973" t="s">
        <v>999</v>
      </c>
      <c r="Q2743" s="973" t="s">
        <v>1000</v>
      </c>
      <c r="R2743" s="973" t="s">
        <v>1001</v>
      </c>
      <c r="S2743" s="973" t="s">
        <v>1002</v>
      </c>
      <c r="AE2743" s="423" t="str">
        <f t="shared" si="42"/>
        <v/>
      </c>
    </row>
    <row r="2744" spans="4:31" x14ac:dyDescent="0.25">
      <c r="D2744" s="973" t="s">
        <v>990</v>
      </c>
      <c r="E2744" s="973" t="s">
        <v>991</v>
      </c>
      <c r="F2744" s="973" t="s">
        <v>992</v>
      </c>
      <c r="G2744" s="973" t="s">
        <v>1997</v>
      </c>
      <c r="H2744" s="973" t="s">
        <v>1998</v>
      </c>
      <c r="I2744" s="973" t="s">
        <v>1999</v>
      </c>
      <c r="J2744" s="973" t="s">
        <v>697</v>
      </c>
      <c r="K2744" s="973" t="s">
        <v>995</v>
      </c>
      <c r="L2744" s="973" t="s">
        <v>996</v>
      </c>
      <c r="M2744" s="973" t="s">
        <v>2000</v>
      </c>
      <c r="N2744" s="973" t="s">
        <v>2001</v>
      </c>
      <c r="O2744" s="973" t="s">
        <v>1971</v>
      </c>
      <c r="P2744" s="973" t="s">
        <v>999</v>
      </c>
      <c r="Q2744" s="973" t="s">
        <v>1000</v>
      </c>
      <c r="R2744" s="973" t="s">
        <v>1001</v>
      </c>
      <c r="S2744" s="973" t="s">
        <v>1002</v>
      </c>
      <c r="AE2744" s="423" t="str">
        <f t="shared" si="42"/>
        <v/>
      </c>
    </row>
  </sheetData>
  <sortState xmlns:xlrd2="http://schemas.microsoft.com/office/spreadsheetml/2017/richdata2"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xr:uid="{00000000-0002-0000-0400-000000000000}">
      <formula1>"SI, NO"</formula1>
    </dataValidation>
    <dataValidation type="list" allowBlank="1" showInputMessage="1" showErrorMessage="1" sqref="H150:H785" xr:uid="{00000000-0002-0000-0400-000001000000}">
      <formula1>"SI,NO"</formula1>
      <formula2>0</formula2>
    </dataValidation>
    <dataValidation type="list" allowBlank="1" sqref="G2:G785" xr:uid="{00000000-0002-0000-0400-000002000000}">
      <formula1>"Estrato Alto,Estrato Medio Alto,Estrato Medio,Estrato Medio Bajo,Estrato Bajo,Mixto Comercial,Mixto Industrial"</formula1>
      <formula2>0</formula2>
    </dataValidation>
    <dataValidation type="list" allowBlank="1" showInputMessage="1" showErrorMessage="1" sqref="I2:I785" xr:uid="{00000000-0002-0000-0400-000003000000}">
      <formula1>"Homogéneo,No Homogéneo"</formula1>
      <formula2>0</formula2>
    </dataValidation>
    <dataValidation type="list" allowBlank="1" showInputMessage="1" showErrorMessage="1" sqref="F2:F785" xr:uid="{00000000-0002-0000-0400-000004000000}">
      <formula1>"Alta,Media,Baja,Nula"</formula1>
      <formula2>0</formula2>
    </dataValidation>
    <dataValidation type="list" allowBlank="1" showInputMessage="1" showErrorMessage="1" sqref="E2:E785" xr:uid="{00000000-0002-0000-0400-000005000000}">
      <formula1>"En Disminución,En Aumento,Estable,Inestable"</formula1>
      <formula2>0</formula2>
    </dataValidation>
    <dataValidation type="list" allowBlank="1" showInputMessage="1" showErrorMessage="1" sqref="D2:D785" xr:uid="{00000000-0002-0000-0400-000006000000}">
      <formula1>"Nulo,Débil,Medio,Fuerte"</formula1>
      <formula2>0</formula2>
    </dataValidation>
    <dataValidation type="list" allowBlank="1" showInputMessage="1" showErrorMessage="1" sqref="N2:N785" xr:uid="{00000000-0002-0000-0400-000007000000}">
      <formula1>"Solera,Solerilla,No hay"</formula1>
      <formula2>0</formula2>
    </dataValidation>
    <dataValidation type="list" allowBlank="1" showInputMessage="1" showErrorMessage="1" sqref="L2:L785" xr:uid="{00000000-0002-0000-0400-000008000000}">
      <formula1>"Hormigón,Asfalto,Adoquín,Adocreto,Ripio,Tierra,Micillo,Estabilizado"</formula1>
      <formula2>0</formula2>
    </dataValidation>
    <dataValidation type="list" allowBlank="1" showInputMessage="1" showErrorMessage="1" sqref="K2:K785" xr:uid="{00000000-0002-0000-0400-000009000000}">
      <formula1>"Urbana,Rural"</formula1>
      <formula2>0</formula2>
    </dataValidation>
    <dataValidation type="list" allowBlank="1" sqref="J2:J785" xr:uid="{00000000-0002-0000-0400-00000A000000}">
      <formula1>"Agrícola,Agrohabitacional,Habitacional,Comercial,ComercialHabit.,Equip.y Servic.,Indust. Inof,Indust. Molesto"</formula1>
      <formula2>0</formula2>
    </dataValidation>
    <dataValidation type="list" allowBlank="1" showInputMessage="1" showErrorMessage="1" sqref="M2:M785" xr:uid="{00000000-0002-0000-0400-00000B000000}">
      <formula1>"Pastelón,Baldosa,Tierra"</formula1>
      <formula2>0</formula2>
    </dataValidation>
    <dataValidation type="list" allowBlank="1" sqref="R2:R785" xr:uid="{00000000-0002-0000-0400-00000C000000}">
      <formula1>"Licuado,Red Pública,Red Particular, Full eléctica,No existe"</formula1>
    </dataValidation>
    <dataValidation type="list" allowBlank="1" sqref="P2:P785" xr:uid="{00000000-0002-0000-0400-00000D000000}">
      <formula1>"Red Aérea,Red Subterránea,No Hay Red"</formula1>
      <formula2>0</formula2>
    </dataValidation>
    <dataValidation type="list" allowBlank="1" sqref="O2:O785" xr:uid="{00000000-0002-0000-0400-00000E000000}">
      <formula1>"Sí,NO"</formula1>
      <formula2>0</formula2>
    </dataValidation>
    <dataValidation type="list" allowBlank="1" sqref="Q2:Q785" xr:uid="{00000000-0002-0000-0400-00000F000000}">
      <formula1>"Matriz Pública,Matriz Privada,Sol. Particular,No cuenta"</formula1>
      <formula2>0</formula2>
    </dataValidation>
    <dataValidation type="list" allowBlank="1" showInputMessage="1" showErrorMessage="1" sqref="S2:S785" xr:uid="{00000000-0002-0000-0400-000010000000}">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A1:BU93"/>
  <sheetViews>
    <sheetView showGridLines="0" topLeftCell="A55" zoomScaleNormal="100" workbookViewId="0">
      <selection activeCell="AN84" sqref="AN84:BU84"/>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ht="15" customHeight="1" thickBot="1" x14ac:dyDescent="0.25">
      <c r="A1" s="455"/>
      <c r="B1" s="444"/>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3"/>
      <c r="AN1" s="473"/>
      <c r="AO1" s="473"/>
      <c r="AP1" s="473"/>
      <c r="AQ1" s="473"/>
      <c r="AR1" s="473"/>
      <c r="AS1" s="473"/>
      <c r="AT1" s="473"/>
      <c r="AU1" s="473"/>
      <c r="AV1" s="473"/>
      <c r="AW1" s="473"/>
      <c r="AX1" s="473"/>
      <c r="AY1" s="473"/>
      <c r="AZ1" s="473"/>
      <c r="BA1" s="473"/>
      <c r="BB1" s="473"/>
      <c r="BC1" s="473"/>
      <c r="BD1" s="473"/>
      <c r="BE1" s="473"/>
      <c r="BF1" s="473"/>
      <c r="BG1" s="473"/>
      <c r="BH1" s="473"/>
      <c r="BI1" s="473"/>
      <c r="BJ1" s="473"/>
      <c r="BK1" s="473"/>
      <c r="BL1" s="473"/>
      <c r="BM1" s="473"/>
      <c r="BN1" s="473"/>
      <c r="BO1" s="473"/>
      <c r="BP1" s="473"/>
      <c r="BQ1" s="473"/>
      <c r="BR1" s="473"/>
      <c r="BS1" s="473"/>
      <c r="BT1" s="473"/>
      <c r="BU1" s="473"/>
    </row>
    <row r="2" spans="1:73" s="291" customFormat="1" ht="15" customHeight="1" x14ac:dyDescent="0.2">
      <c r="A2" s="455"/>
      <c r="B2" s="444"/>
      <c r="C2" s="1673" t="s">
        <v>1202</v>
      </c>
      <c r="D2" s="1674"/>
      <c r="E2" s="1674"/>
      <c r="F2" s="1674"/>
      <c r="G2" s="1674"/>
      <c r="H2" s="1674"/>
      <c r="I2" s="1674"/>
      <c r="J2" s="1674"/>
      <c r="K2" s="1964" t="str">
        <f>Portada!F3</f>
        <v>Janeth Patricia Cando Arias</v>
      </c>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675" t="s">
        <v>466</v>
      </c>
      <c r="AP2" s="1675"/>
      <c r="AQ2" s="1675"/>
      <c r="AR2" s="1675"/>
      <c r="AS2" s="1675"/>
      <c r="AT2" s="1675"/>
      <c r="AU2" s="1675"/>
      <c r="AV2" s="1675"/>
      <c r="AW2" s="1675"/>
      <c r="AX2" s="1965">
        <f>Tapa!E48</f>
        <v>0</v>
      </c>
      <c r="AY2" s="1965"/>
      <c r="AZ2" s="1965"/>
      <c r="BA2" s="1965"/>
      <c r="BB2" s="1965"/>
      <c r="BC2" s="1965"/>
      <c r="BD2" s="1965"/>
      <c r="BE2" s="1965"/>
      <c r="BF2" s="1965"/>
      <c r="BG2" s="1965"/>
      <c r="BH2" s="1965"/>
      <c r="BI2" s="1965"/>
      <c r="BJ2" s="1965"/>
      <c r="BK2" s="1965"/>
      <c r="BL2" s="1965"/>
      <c r="BM2" s="1965"/>
      <c r="BN2" s="1965"/>
      <c r="BO2" s="1965"/>
      <c r="BP2" s="1965"/>
      <c r="BQ2" s="1965"/>
      <c r="BR2" s="1965"/>
      <c r="BS2" s="1965"/>
      <c r="BT2" s="1965"/>
      <c r="BU2" s="1966"/>
    </row>
    <row r="3" spans="1:73" ht="15" customHeight="1" thickBot="1" x14ac:dyDescent="0.25">
      <c r="A3" s="455"/>
      <c r="B3" s="444"/>
      <c r="C3" s="1640" t="s">
        <v>1203</v>
      </c>
      <c r="D3" s="1617"/>
      <c r="E3" s="1617"/>
      <c r="F3" s="1617"/>
      <c r="G3" s="1617"/>
      <c r="H3" s="1617"/>
      <c r="I3" s="1617"/>
      <c r="J3" s="1617"/>
      <c r="K3" s="1967" t="str">
        <f>Portada!AE3</f>
        <v>22.959.221-1</v>
      </c>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641" t="s">
        <v>908</v>
      </c>
      <c r="AP3" s="1641"/>
      <c r="AQ3" s="1641"/>
      <c r="AR3" s="1641"/>
      <c r="AS3" s="1641"/>
      <c r="AT3" s="1641"/>
      <c r="AU3" s="1641"/>
      <c r="AV3" s="1641"/>
      <c r="AW3" s="1641"/>
      <c r="AX3" s="1617" t="str">
        <f>Portada!BH2</f>
        <v>AGH -1548</v>
      </c>
      <c r="AY3" s="1617"/>
      <c r="AZ3" s="1617"/>
      <c r="BA3" s="1617"/>
      <c r="BB3" s="1617"/>
      <c r="BC3" s="1617"/>
      <c r="BD3" s="1617"/>
      <c r="BE3" s="1617"/>
      <c r="BF3" s="1617"/>
      <c r="BG3" s="1617"/>
      <c r="BH3" s="1617"/>
      <c r="BI3" s="1617"/>
      <c r="BJ3" s="1617"/>
      <c r="BK3" s="1617"/>
      <c r="BL3" s="1617"/>
      <c r="BM3" s="1617"/>
      <c r="BN3" s="1617"/>
      <c r="BO3" s="1617"/>
      <c r="BP3" s="1617"/>
      <c r="BQ3" s="1617"/>
      <c r="BR3" s="1617"/>
      <c r="BS3" s="1617"/>
      <c r="BT3" s="1617"/>
      <c r="BU3" s="1618"/>
    </row>
    <row r="4" spans="1:73" ht="15" customHeight="1" thickBot="1" x14ac:dyDescent="0.25">
      <c r="A4" s="442"/>
      <c r="B4" s="444"/>
      <c r="C4" s="588" t="s">
        <v>1525</v>
      </c>
      <c r="D4" s="588"/>
      <c r="E4" s="588"/>
      <c r="F4" s="588"/>
      <c r="G4" s="588"/>
      <c r="H4" s="588"/>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43"/>
      <c r="AM4" s="443"/>
      <c r="AN4" s="443"/>
      <c r="AO4" s="443"/>
      <c r="AP4" s="588" t="s">
        <v>1524</v>
      </c>
      <c r="AQ4" s="588"/>
      <c r="AR4" s="588"/>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443"/>
    </row>
    <row r="5" spans="1:73" ht="15" customHeight="1" x14ac:dyDescent="0.2">
      <c r="A5" s="1968" t="s">
        <v>1208</v>
      </c>
      <c r="B5" s="444"/>
      <c r="C5" s="540"/>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552"/>
      <c r="AL5" s="554"/>
      <c r="AM5" s="548"/>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74"/>
    </row>
    <row r="6" spans="1:73" ht="15" customHeight="1" x14ac:dyDescent="0.2">
      <c r="A6" s="1968"/>
      <c r="B6" s="444"/>
      <c r="C6" s="541"/>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553"/>
      <c r="AL6" s="553"/>
      <c r="AM6" s="549"/>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447"/>
    </row>
    <row r="7" spans="1:73" ht="15" customHeight="1" x14ac:dyDescent="0.2">
      <c r="A7" s="1968"/>
      <c r="B7" s="444"/>
      <c r="C7" s="541"/>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553"/>
      <c r="AL7" s="553"/>
      <c r="AM7" s="549"/>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7"/>
    </row>
    <row r="8" spans="1:73" ht="15" customHeight="1" x14ac:dyDescent="0.2">
      <c r="A8" s="1968"/>
      <c r="B8" s="444"/>
      <c r="C8" s="541"/>
      <c r="D8" s="443"/>
      <c r="E8" s="443"/>
      <c r="F8" s="443"/>
      <c r="G8" s="443"/>
      <c r="H8" s="443"/>
      <c r="I8" s="443"/>
      <c r="J8" s="443"/>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553"/>
      <c r="AL8" s="553"/>
      <c r="AM8" s="549"/>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7"/>
    </row>
    <row r="9" spans="1:73" ht="15" customHeight="1" x14ac:dyDescent="0.2">
      <c r="A9" s="1968"/>
      <c r="B9" s="444"/>
      <c r="C9" s="541"/>
      <c r="D9" s="443"/>
      <c r="E9" s="443"/>
      <c r="F9" s="443"/>
      <c r="G9" s="443"/>
      <c r="H9" s="443"/>
      <c r="I9" s="443"/>
      <c r="J9" s="443"/>
      <c r="K9" s="443"/>
      <c r="L9" s="443"/>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553"/>
      <c r="AL9" s="553"/>
      <c r="AM9" s="549"/>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7"/>
    </row>
    <row r="10" spans="1:73" ht="15" customHeight="1" x14ac:dyDescent="0.2">
      <c r="A10" s="1968"/>
      <c r="B10" s="444"/>
      <c r="C10" s="541"/>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553"/>
      <c r="AL10" s="553"/>
      <c r="AM10" s="549"/>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7"/>
    </row>
    <row r="11" spans="1:73" ht="15" customHeight="1" x14ac:dyDescent="0.2">
      <c r="A11" s="1968"/>
      <c r="B11" s="444"/>
      <c r="C11" s="541"/>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553"/>
      <c r="AL11" s="553"/>
      <c r="AM11" s="549"/>
      <c r="AN11" s="443"/>
      <c r="AO11" s="443"/>
      <c r="AP11" s="443"/>
      <c r="AQ11" s="443"/>
      <c r="AR11" s="443"/>
      <c r="AS11" s="443"/>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7"/>
    </row>
    <row r="12" spans="1:73" ht="15" customHeight="1" x14ac:dyDescent="0.2">
      <c r="A12" s="1968"/>
      <c r="B12" s="444"/>
      <c r="C12" s="541"/>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553"/>
      <c r="AL12" s="553"/>
      <c r="AM12" s="549"/>
      <c r="AN12" s="443"/>
      <c r="AO12" s="443"/>
      <c r="AP12" s="443"/>
      <c r="AQ12" s="443"/>
      <c r="AR12" s="443"/>
      <c r="AS12" s="443"/>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7"/>
    </row>
    <row r="13" spans="1:73" ht="15" customHeight="1" x14ac:dyDescent="0.2">
      <c r="A13" s="1968"/>
      <c r="B13" s="444"/>
      <c r="C13" s="541"/>
      <c r="D13" s="443"/>
      <c r="E13" s="443"/>
      <c r="F13" s="443"/>
      <c r="G13" s="443"/>
      <c r="H13" s="443"/>
      <c r="I13" s="443"/>
      <c r="J13" s="443"/>
      <c r="K13" s="443"/>
      <c r="L13" s="443"/>
      <c r="M13" s="443"/>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553"/>
      <c r="AL13" s="553"/>
      <c r="AM13" s="549"/>
      <c r="AN13" s="443"/>
      <c r="AO13" s="443"/>
      <c r="AP13" s="443"/>
      <c r="AQ13" s="443"/>
      <c r="AR13" s="443"/>
      <c r="AS13" s="443"/>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7"/>
    </row>
    <row r="14" spans="1:73" ht="15" customHeight="1" x14ac:dyDescent="0.2">
      <c r="A14" s="1968"/>
      <c r="B14" s="444"/>
      <c r="C14" s="541"/>
      <c r="D14" s="443"/>
      <c r="E14" s="443"/>
      <c r="F14" s="443"/>
      <c r="G14" s="443"/>
      <c r="H14" s="443"/>
      <c r="I14" s="443"/>
      <c r="J14" s="443"/>
      <c r="K14" s="443"/>
      <c r="L14" s="443"/>
      <c r="M14" s="443"/>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3"/>
      <c r="AK14" s="553"/>
      <c r="AL14" s="553"/>
      <c r="AM14" s="549"/>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7"/>
    </row>
    <row r="15" spans="1:73" ht="15" customHeight="1" x14ac:dyDescent="0.2">
      <c r="A15" s="1968"/>
      <c r="B15" s="444"/>
      <c r="C15" s="541"/>
      <c r="D15" s="443"/>
      <c r="E15" s="443"/>
      <c r="F15" s="443"/>
      <c r="G15" s="443"/>
      <c r="H15" s="443"/>
      <c r="I15" s="443"/>
      <c r="J15" s="443"/>
      <c r="K15" s="443"/>
      <c r="L15" s="443"/>
      <c r="M15" s="443"/>
      <c r="N15" s="443"/>
      <c r="O15" s="443"/>
      <c r="P15" s="443"/>
      <c r="Q15" s="443"/>
      <c r="R15" s="443"/>
      <c r="S15" s="443"/>
      <c r="T15" s="443"/>
      <c r="U15" s="443"/>
      <c r="V15" s="443"/>
      <c r="W15" s="443"/>
      <c r="X15" s="443"/>
      <c r="Y15" s="443"/>
      <c r="Z15" s="443"/>
      <c r="AA15" s="443"/>
      <c r="AB15" s="443"/>
      <c r="AC15" s="443"/>
      <c r="AD15" s="443"/>
      <c r="AE15" s="443"/>
      <c r="AF15" s="443"/>
      <c r="AG15" s="443"/>
      <c r="AH15" s="443"/>
      <c r="AI15" s="443"/>
      <c r="AJ15" s="443"/>
      <c r="AK15" s="553"/>
      <c r="AL15" s="553"/>
      <c r="AM15" s="549"/>
      <c r="AN15" s="443"/>
      <c r="AO15" s="443"/>
      <c r="AP15" s="443"/>
      <c r="AQ15" s="443"/>
      <c r="AR15" s="443"/>
      <c r="AS15" s="443"/>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7"/>
    </row>
    <row r="16" spans="1:73" ht="15" customHeight="1" x14ac:dyDescent="0.2">
      <c r="A16" s="1968"/>
      <c r="B16" s="444"/>
      <c r="C16" s="541"/>
      <c r="D16" s="443"/>
      <c r="E16" s="443"/>
      <c r="F16" s="443"/>
      <c r="G16" s="443"/>
      <c r="H16" s="443"/>
      <c r="I16" s="443"/>
      <c r="J16" s="443"/>
      <c r="K16" s="443"/>
      <c r="L16" s="443"/>
      <c r="M16" s="443"/>
      <c r="N16" s="443"/>
      <c r="O16" s="443"/>
      <c r="P16" s="443"/>
      <c r="Q16" s="443"/>
      <c r="R16" s="443"/>
      <c r="S16" s="443"/>
      <c r="T16" s="443"/>
      <c r="U16" s="443"/>
      <c r="V16" s="443"/>
      <c r="W16" s="443"/>
      <c r="X16" s="443"/>
      <c r="Y16" s="443"/>
      <c r="Z16" s="443"/>
      <c r="AA16" s="443"/>
      <c r="AB16" s="443"/>
      <c r="AC16" s="443"/>
      <c r="AD16" s="443"/>
      <c r="AE16" s="443"/>
      <c r="AF16" s="443"/>
      <c r="AG16" s="443"/>
      <c r="AH16" s="443"/>
      <c r="AI16" s="443"/>
      <c r="AJ16" s="443"/>
      <c r="AK16" s="553"/>
      <c r="AL16" s="553"/>
      <c r="AM16" s="549"/>
      <c r="AN16" s="443"/>
      <c r="AO16" s="443"/>
      <c r="AP16" s="443"/>
      <c r="AQ16" s="443"/>
      <c r="AR16" s="443"/>
      <c r="AS16" s="443"/>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7"/>
    </row>
    <row r="17" spans="1:73" ht="15" customHeight="1" x14ac:dyDescent="0.2">
      <c r="A17" s="1968"/>
      <c r="B17" s="444"/>
      <c r="C17" s="541"/>
      <c r="D17" s="443"/>
      <c r="E17" s="443"/>
      <c r="F17" s="443"/>
      <c r="G17" s="443"/>
      <c r="H17" s="443"/>
      <c r="I17" s="443"/>
      <c r="J17" s="443"/>
      <c r="K17" s="443"/>
      <c r="L17" s="443"/>
      <c r="M17" s="443"/>
      <c r="N17" s="443"/>
      <c r="O17" s="443"/>
      <c r="P17" s="443"/>
      <c r="Q17" s="443"/>
      <c r="R17" s="443"/>
      <c r="S17" s="443"/>
      <c r="T17" s="443"/>
      <c r="U17" s="443"/>
      <c r="V17" s="443"/>
      <c r="W17" s="443"/>
      <c r="X17" s="443"/>
      <c r="Y17" s="443"/>
      <c r="Z17" s="443"/>
      <c r="AA17" s="443"/>
      <c r="AB17" s="443"/>
      <c r="AC17" s="443"/>
      <c r="AD17" s="443"/>
      <c r="AE17" s="443"/>
      <c r="AF17" s="443"/>
      <c r="AG17" s="443"/>
      <c r="AH17" s="443"/>
      <c r="AI17" s="443"/>
      <c r="AJ17" s="443"/>
      <c r="AK17" s="553"/>
      <c r="AL17" s="553"/>
      <c r="AM17" s="549"/>
      <c r="AN17" s="443"/>
      <c r="AO17" s="443"/>
      <c r="AP17" s="443"/>
      <c r="AQ17" s="443"/>
      <c r="AR17" s="443"/>
      <c r="AS17" s="443"/>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7"/>
    </row>
    <row r="18" spans="1:73" ht="15" customHeight="1" x14ac:dyDescent="0.2">
      <c r="A18" s="1968"/>
      <c r="B18" s="444"/>
      <c r="C18" s="541"/>
      <c r="D18" s="443"/>
      <c r="E18" s="443"/>
      <c r="F18" s="443"/>
      <c r="G18" s="443"/>
      <c r="H18" s="443"/>
      <c r="I18" s="443"/>
      <c r="J18" s="443"/>
      <c r="K18" s="443"/>
      <c r="L18" s="443"/>
      <c r="M18" s="443"/>
      <c r="N18" s="443"/>
      <c r="O18" s="443"/>
      <c r="P18" s="443"/>
      <c r="Q18" s="443"/>
      <c r="R18" s="443"/>
      <c r="S18" s="443"/>
      <c r="T18" s="443"/>
      <c r="U18" s="443"/>
      <c r="V18" s="443"/>
      <c r="W18" s="443"/>
      <c r="X18" s="443"/>
      <c r="Y18" s="443"/>
      <c r="Z18" s="443"/>
      <c r="AA18" s="443"/>
      <c r="AB18" s="443"/>
      <c r="AC18" s="443"/>
      <c r="AD18" s="443"/>
      <c r="AE18" s="443"/>
      <c r="AF18" s="443"/>
      <c r="AG18" s="443"/>
      <c r="AH18" s="443"/>
      <c r="AI18" s="443"/>
      <c r="AJ18" s="443"/>
      <c r="AK18" s="553"/>
      <c r="AL18" s="553"/>
      <c r="AM18" s="549"/>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7"/>
    </row>
    <row r="19" spans="1:73" ht="15" customHeight="1" x14ac:dyDescent="0.2">
      <c r="A19" s="1968"/>
      <c r="B19" s="444"/>
      <c r="C19" s="541"/>
      <c r="D19" s="443"/>
      <c r="E19" s="443"/>
      <c r="F19" s="443"/>
      <c r="G19" s="443"/>
      <c r="H19" s="443"/>
      <c r="I19" s="443"/>
      <c r="J19" s="443"/>
      <c r="K19" s="443"/>
      <c r="L19" s="443"/>
      <c r="M19" s="443"/>
      <c r="N19" s="443"/>
      <c r="O19" s="443"/>
      <c r="P19" s="443"/>
      <c r="Q19" s="443"/>
      <c r="R19" s="443"/>
      <c r="S19" s="443"/>
      <c r="T19" s="443"/>
      <c r="U19" s="443"/>
      <c r="V19" s="443"/>
      <c r="W19" s="443"/>
      <c r="X19" s="443"/>
      <c r="Y19" s="443"/>
      <c r="Z19" s="443"/>
      <c r="AA19" s="443"/>
      <c r="AB19" s="443"/>
      <c r="AC19" s="443"/>
      <c r="AD19" s="443"/>
      <c r="AE19" s="443"/>
      <c r="AF19" s="443"/>
      <c r="AG19" s="443"/>
      <c r="AH19" s="443"/>
      <c r="AI19" s="443"/>
      <c r="AJ19" s="443"/>
      <c r="AK19" s="553"/>
      <c r="AL19" s="553"/>
      <c r="AM19" s="549"/>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7"/>
    </row>
    <row r="20" spans="1:73" ht="15" customHeight="1" x14ac:dyDescent="0.2">
      <c r="A20" s="1968"/>
      <c r="B20" s="444"/>
      <c r="C20" s="541"/>
      <c r="D20" s="443"/>
      <c r="E20" s="443"/>
      <c r="F20" s="443"/>
      <c r="G20" s="443"/>
      <c r="H20" s="443"/>
      <c r="I20" s="443"/>
      <c r="J20" s="443"/>
      <c r="K20" s="443"/>
      <c r="L20" s="443"/>
      <c r="M20" s="443"/>
      <c r="N20" s="443"/>
      <c r="O20" s="443"/>
      <c r="P20" s="443"/>
      <c r="Q20" s="443"/>
      <c r="R20" s="443"/>
      <c r="S20" s="443"/>
      <c r="T20" s="443"/>
      <c r="U20" s="443"/>
      <c r="V20" s="443"/>
      <c r="W20" s="443"/>
      <c r="X20" s="443"/>
      <c r="Y20" s="443"/>
      <c r="Z20" s="443"/>
      <c r="AA20" s="443"/>
      <c r="AB20" s="443"/>
      <c r="AC20" s="443"/>
      <c r="AD20" s="443"/>
      <c r="AE20" s="443"/>
      <c r="AF20" s="443"/>
      <c r="AG20" s="443"/>
      <c r="AH20" s="443"/>
      <c r="AI20" s="443"/>
      <c r="AJ20" s="443"/>
      <c r="AK20" s="553"/>
      <c r="AL20" s="553"/>
      <c r="AM20" s="549"/>
      <c r="AN20" s="443"/>
      <c r="AO20" s="443"/>
      <c r="AP20" s="443"/>
      <c r="AQ20" s="443"/>
      <c r="AR20" s="443"/>
      <c r="AS20" s="443"/>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7"/>
    </row>
    <row r="21" spans="1:73" ht="15" customHeight="1" x14ac:dyDescent="0.2">
      <c r="A21" s="1968"/>
      <c r="B21" s="444"/>
      <c r="C21" s="541"/>
      <c r="D21" s="443"/>
      <c r="E21" s="443"/>
      <c r="F21" s="443"/>
      <c r="G21" s="443"/>
      <c r="H21" s="443"/>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43"/>
      <c r="AK21" s="553"/>
      <c r="AL21" s="553"/>
      <c r="AM21" s="553"/>
      <c r="AN21" s="443"/>
      <c r="AO21" s="443"/>
      <c r="AP21" s="443"/>
      <c r="AQ21" s="443"/>
      <c r="AR21" s="443"/>
      <c r="AS21" s="443"/>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7"/>
    </row>
    <row r="22" spans="1:73" ht="15" customHeight="1" x14ac:dyDescent="0.2">
      <c r="A22" s="1968"/>
      <c r="B22" s="444"/>
      <c r="C22" s="541"/>
      <c r="D22" s="443"/>
      <c r="E22" s="443"/>
      <c r="F22" s="443"/>
      <c r="G22" s="443"/>
      <c r="H22" s="443"/>
      <c r="I22" s="443"/>
      <c r="J22" s="443"/>
      <c r="K22" s="443"/>
      <c r="L22" s="443"/>
      <c r="M22" s="443"/>
      <c r="N22" s="443"/>
      <c r="O22" s="443"/>
      <c r="P22" s="443"/>
      <c r="Q22" s="443"/>
      <c r="R22" s="443"/>
      <c r="S22" s="443"/>
      <c r="T22" s="443"/>
      <c r="U22" s="443"/>
      <c r="V22" s="443"/>
      <c r="W22" s="443"/>
      <c r="X22" s="443"/>
      <c r="Y22" s="443"/>
      <c r="Z22" s="443"/>
      <c r="AA22" s="443"/>
      <c r="AB22" s="443"/>
      <c r="AC22" s="443"/>
      <c r="AD22" s="443"/>
      <c r="AE22" s="443"/>
      <c r="AF22" s="443"/>
      <c r="AG22" s="443"/>
      <c r="AH22" s="443"/>
      <c r="AI22" s="443"/>
      <c r="AJ22" s="443"/>
      <c r="AK22" s="553"/>
      <c r="AL22" s="553"/>
      <c r="AM22" s="549"/>
      <c r="AN22" s="443"/>
      <c r="AO22" s="443"/>
      <c r="AP22" s="443"/>
      <c r="AQ22" s="443"/>
      <c r="AR22" s="443"/>
      <c r="AS22" s="443"/>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7"/>
    </row>
    <row r="23" spans="1:73" ht="15" customHeight="1" x14ac:dyDescent="0.2">
      <c r="A23" s="1968"/>
      <c r="B23" s="444"/>
      <c r="C23" s="541"/>
      <c r="D23" s="44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443"/>
      <c r="AI23" s="443"/>
      <c r="AJ23" s="443"/>
      <c r="AK23" s="553"/>
      <c r="AL23" s="553"/>
      <c r="AM23" s="549"/>
      <c r="AN23" s="443"/>
      <c r="AO23" s="443"/>
      <c r="AP23" s="443"/>
      <c r="AQ23" s="443"/>
      <c r="AR23" s="443"/>
      <c r="AS23" s="443"/>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7"/>
    </row>
    <row r="24" spans="1:73" ht="15" customHeight="1" x14ac:dyDescent="0.2">
      <c r="A24" s="1968"/>
      <c r="B24" s="542"/>
      <c r="C24" s="1973" t="s">
        <v>1503</v>
      </c>
      <c r="D24" s="1969"/>
      <c r="E24" s="1969"/>
      <c r="F24" s="1969"/>
      <c r="G24" s="1969"/>
      <c r="H24" s="1969"/>
      <c r="I24" s="1969"/>
      <c r="J24" s="1969"/>
      <c r="K24" s="1969"/>
      <c r="L24" s="1969"/>
      <c r="M24" s="1969"/>
      <c r="N24" s="1969"/>
      <c r="O24" s="1969"/>
      <c r="P24" s="1969"/>
      <c r="Q24" s="1969"/>
      <c r="R24" s="1969"/>
      <c r="S24" s="1969"/>
      <c r="T24" s="1969"/>
      <c r="U24" s="1969"/>
      <c r="V24" s="1969"/>
      <c r="W24" s="1969"/>
      <c r="X24" s="1969"/>
      <c r="Y24" s="1969"/>
      <c r="Z24" s="1969"/>
      <c r="AA24" s="1969"/>
      <c r="AB24" s="1969"/>
      <c r="AC24" s="1969"/>
      <c r="AD24" s="1969"/>
      <c r="AE24" s="1969"/>
      <c r="AF24" s="1969"/>
      <c r="AG24" s="1969"/>
      <c r="AH24" s="1969"/>
      <c r="AI24" s="1969"/>
      <c r="AJ24" s="1969"/>
      <c r="AK24" s="1969"/>
      <c r="AL24" s="550"/>
      <c r="AM24" s="551"/>
      <c r="AN24" s="1971" t="s">
        <v>1504</v>
      </c>
      <c r="AO24" s="1971"/>
      <c r="AP24" s="1971"/>
      <c r="AQ24" s="1971"/>
      <c r="AR24" s="1971"/>
      <c r="AS24" s="1971"/>
      <c r="AT24" s="1971"/>
      <c r="AU24" s="1971"/>
      <c r="AV24" s="1971"/>
      <c r="AW24" s="1971"/>
      <c r="AX24" s="1971"/>
      <c r="AY24" s="1971"/>
      <c r="AZ24" s="1971"/>
      <c r="BA24" s="1971"/>
      <c r="BB24" s="1971"/>
      <c r="BC24" s="1971"/>
      <c r="BD24" s="1971"/>
      <c r="BE24" s="1971"/>
      <c r="BF24" s="1971"/>
      <c r="BG24" s="1971"/>
      <c r="BH24" s="1971"/>
      <c r="BI24" s="1971"/>
      <c r="BJ24" s="1971"/>
      <c r="BK24" s="1971"/>
      <c r="BL24" s="1971"/>
      <c r="BM24" s="1971"/>
      <c r="BN24" s="1971"/>
      <c r="BO24" s="1971"/>
      <c r="BP24" s="1971"/>
      <c r="BQ24" s="1971"/>
      <c r="BR24" s="1971"/>
      <c r="BS24" s="1971"/>
      <c r="BT24" s="1971"/>
      <c r="BU24" s="1972"/>
    </row>
    <row r="25" spans="1:73" ht="15" customHeight="1" x14ac:dyDescent="0.2">
      <c r="A25" s="1968"/>
      <c r="B25" s="444"/>
      <c r="C25" s="45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553"/>
      <c r="AL25" s="553"/>
      <c r="AM25" s="549"/>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501"/>
    </row>
    <row r="26" spans="1:73" ht="15" customHeight="1" x14ac:dyDescent="0.2">
      <c r="A26" s="1968"/>
      <c r="B26" s="444"/>
      <c r="C26" s="453"/>
      <c r="D26" s="443"/>
      <c r="E26" s="443"/>
      <c r="F26" s="443"/>
      <c r="G26" s="443"/>
      <c r="H26" s="443"/>
      <c r="I26" s="443"/>
      <c r="J26" s="443"/>
      <c r="K26" s="443"/>
      <c r="L26" s="443"/>
      <c r="M26" s="443"/>
      <c r="N26" s="443"/>
      <c r="O26" s="443"/>
      <c r="P26" s="443"/>
      <c r="Q26" s="443"/>
      <c r="R26" s="443"/>
      <c r="S26" s="443"/>
      <c r="T26" s="443"/>
      <c r="U26" s="443"/>
      <c r="V26" s="443"/>
      <c r="W26" s="443"/>
      <c r="X26" s="443"/>
      <c r="Y26" s="443"/>
      <c r="Z26" s="443"/>
      <c r="AA26" s="443"/>
      <c r="AB26" s="443"/>
      <c r="AC26" s="443"/>
      <c r="AD26" s="443"/>
      <c r="AE26" s="443"/>
      <c r="AF26" s="443"/>
      <c r="AG26" s="443"/>
      <c r="AH26" s="443"/>
      <c r="AI26" s="443"/>
      <c r="AJ26" s="443"/>
      <c r="AK26" s="553"/>
      <c r="AL26" s="553"/>
      <c r="AM26" s="549"/>
      <c r="AN26" s="443"/>
      <c r="AO26" s="443"/>
      <c r="AP26" s="443"/>
      <c r="AQ26" s="443"/>
      <c r="AR26" s="443"/>
      <c r="AS26" s="443"/>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7"/>
    </row>
    <row r="27" spans="1:73" ht="15" customHeight="1" x14ac:dyDescent="0.2">
      <c r="A27" s="1968"/>
      <c r="B27" s="444"/>
      <c r="C27" s="453"/>
      <c r="D27" s="443"/>
      <c r="E27" s="443"/>
      <c r="F27" s="443"/>
      <c r="G27" s="443"/>
      <c r="H27" s="443"/>
      <c r="I27" s="443"/>
      <c r="J27" s="443"/>
      <c r="K27" s="443"/>
      <c r="L27" s="443"/>
      <c r="M27" s="443"/>
      <c r="N27" s="443"/>
      <c r="O27" s="443"/>
      <c r="P27" s="443"/>
      <c r="Q27" s="443"/>
      <c r="R27" s="443"/>
      <c r="S27" s="443"/>
      <c r="T27" s="443"/>
      <c r="U27" s="443"/>
      <c r="V27" s="443"/>
      <c r="W27" s="443"/>
      <c r="X27" s="443"/>
      <c r="Y27" s="443"/>
      <c r="Z27" s="443"/>
      <c r="AA27" s="443"/>
      <c r="AB27" s="443"/>
      <c r="AC27" s="443"/>
      <c r="AD27" s="443"/>
      <c r="AE27" s="443"/>
      <c r="AF27" s="443"/>
      <c r="AG27" s="443"/>
      <c r="AH27" s="443"/>
      <c r="AI27" s="443"/>
      <c r="AJ27" s="443"/>
      <c r="AK27" s="553"/>
      <c r="AL27" s="553"/>
      <c r="AM27" s="549"/>
      <c r="AN27" s="443"/>
      <c r="AO27" s="443"/>
      <c r="AP27" s="443"/>
      <c r="AQ27" s="443"/>
      <c r="AR27" s="443"/>
      <c r="AS27" s="443"/>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7"/>
    </row>
    <row r="28" spans="1:73" ht="15" customHeight="1" x14ac:dyDescent="0.2">
      <c r="A28" s="1968"/>
      <c r="B28" s="444"/>
      <c r="C28" s="453"/>
      <c r="D28" s="443"/>
      <c r="E28" s="443"/>
      <c r="F28" s="443"/>
      <c r="G28" s="443"/>
      <c r="H28" s="443"/>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553"/>
      <c r="AL28" s="553"/>
      <c r="AM28" s="549"/>
      <c r="AN28" s="443"/>
      <c r="AO28" s="443"/>
      <c r="AP28" s="443"/>
      <c r="AQ28" s="443"/>
      <c r="AR28" s="443"/>
      <c r="AS28" s="443"/>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7"/>
    </row>
    <row r="29" spans="1:73" ht="15" customHeight="1" x14ac:dyDescent="0.2">
      <c r="A29" s="1968"/>
      <c r="B29" s="444"/>
      <c r="C29" s="45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553"/>
      <c r="AL29" s="553"/>
      <c r="AM29" s="549"/>
      <c r="AN29" s="443"/>
      <c r="AO29" s="443"/>
      <c r="AP29" s="443"/>
      <c r="AQ29" s="443"/>
      <c r="AR29" s="443"/>
      <c r="AS29" s="443"/>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7"/>
    </row>
    <row r="30" spans="1:73" ht="15" customHeight="1" x14ac:dyDescent="0.2">
      <c r="A30" s="1968"/>
      <c r="B30" s="444"/>
      <c r="C30" s="453"/>
      <c r="D30" s="443"/>
      <c r="E30" s="443"/>
      <c r="F30" s="443"/>
      <c r="G30" s="443"/>
      <c r="H30" s="443"/>
      <c r="I30" s="443"/>
      <c r="J30" s="443"/>
      <c r="K30" s="443"/>
      <c r="L30" s="443"/>
      <c r="M30" s="443"/>
      <c r="N30" s="443"/>
      <c r="O30" s="443"/>
      <c r="P30" s="443"/>
      <c r="Q30" s="443"/>
      <c r="R30" s="443"/>
      <c r="S30" s="443"/>
      <c r="T30" s="443"/>
      <c r="U30" s="443"/>
      <c r="V30" s="443"/>
      <c r="W30" s="443"/>
      <c r="X30" s="443"/>
      <c r="Y30" s="443"/>
      <c r="Z30" s="443"/>
      <c r="AA30" s="443"/>
      <c r="AB30" s="443"/>
      <c r="AC30" s="443"/>
      <c r="AD30" s="443"/>
      <c r="AE30" s="443"/>
      <c r="AF30" s="443"/>
      <c r="AG30" s="443"/>
      <c r="AH30" s="443"/>
      <c r="AI30" s="443"/>
      <c r="AJ30" s="443"/>
      <c r="AK30" s="553"/>
      <c r="AL30" s="553"/>
      <c r="AM30" s="549"/>
      <c r="AN30" s="443"/>
      <c r="AO30" s="443"/>
      <c r="AP30" s="443"/>
      <c r="AQ30" s="443"/>
      <c r="AR30" s="443"/>
      <c r="AS30" s="443"/>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7"/>
    </row>
    <row r="31" spans="1:73" ht="15" customHeight="1" x14ac:dyDescent="0.2">
      <c r="A31" s="1968"/>
      <c r="B31" s="444"/>
      <c r="C31" s="453"/>
      <c r="D31" s="443"/>
      <c r="E31" s="443"/>
      <c r="F31" s="443"/>
      <c r="G31" s="443"/>
      <c r="H31" s="443"/>
      <c r="I31" s="443"/>
      <c r="J31" s="443"/>
      <c r="K31" s="443"/>
      <c r="L31" s="443"/>
      <c r="M31" s="443"/>
      <c r="N31" s="443"/>
      <c r="O31" s="443"/>
      <c r="P31" s="443"/>
      <c r="Q31" s="443"/>
      <c r="R31" s="443"/>
      <c r="S31" s="443"/>
      <c r="T31" s="443"/>
      <c r="U31" s="443"/>
      <c r="V31" s="443"/>
      <c r="W31" s="443"/>
      <c r="X31" s="443"/>
      <c r="Y31" s="443"/>
      <c r="Z31" s="443"/>
      <c r="AA31" s="443"/>
      <c r="AB31" s="443"/>
      <c r="AC31" s="443"/>
      <c r="AD31" s="443"/>
      <c r="AE31" s="443"/>
      <c r="AF31" s="443"/>
      <c r="AG31" s="443"/>
      <c r="AH31" s="443"/>
      <c r="AI31" s="443"/>
      <c r="AJ31" s="443"/>
      <c r="AK31" s="553"/>
      <c r="AL31" s="553"/>
      <c r="AM31" s="549"/>
      <c r="AN31" s="443"/>
      <c r="AO31" s="443"/>
      <c r="AP31" s="443"/>
      <c r="AQ31" s="443"/>
      <c r="AR31" s="443"/>
      <c r="AS31" s="443"/>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7"/>
    </row>
    <row r="32" spans="1:73" ht="15" customHeight="1" x14ac:dyDescent="0.2">
      <c r="A32" s="1968"/>
      <c r="B32" s="444"/>
      <c r="C32" s="453"/>
      <c r="D32" s="443"/>
      <c r="E32" s="443"/>
      <c r="F32" s="443"/>
      <c r="G32" s="443"/>
      <c r="H32" s="443"/>
      <c r="I32" s="443"/>
      <c r="J32" s="443"/>
      <c r="K32" s="443"/>
      <c r="L32" s="443"/>
      <c r="M32" s="443"/>
      <c r="N32" s="443"/>
      <c r="O32" s="443"/>
      <c r="P32" s="443"/>
      <c r="Q32" s="443"/>
      <c r="R32" s="443"/>
      <c r="S32" s="443"/>
      <c r="T32" s="443"/>
      <c r="U32" s="443"/>
      <c r="V32" s="443"/>
      <c r="W32" s="443"/>
      <c r="X32" s="443"/>
      <c r="Y32" s="443"/>
      <c r="Z32" s="443"/>
      <c r="AA32" s="443"/>
      <c r="AB32" s="443"/>
      <c r="AC32" s="443"/>
      <c r="AD32" s="443"/>
      <c r="AE32" s="443"/>
      <c r="AF32" s="443"/>
      <c r="AG32" s="443"/>
      <c r="AH32" s="443"/>
      <c r="AI32" s="443"/>
      <c r="AJ32" s="443"/>
      <c r="AK32" s="553"/>
      <c r="AL32" s="553"/>
      <c r="AM32" s="549"/>
      <c r="AN32" s="443"/>
      <c r="AO32" s="443"/>
      <c r="AP32" s="443"/>
      <c r="AQ32" s="443"/>
      <c r="AR32" s="443"/>
      <c r="AS32" s="443"/>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7"/>
    </row>
    <row r="33" spans="1:73" ht="15" customHeight="1" x14ac:dyDescent="0.2">
      <c r="A33" s="1968"/>
      <c r="B33" s="444"/>
      <c r="C33" s="453"/>
      <c r="D33" s="443"/>
      <c r="E33" s="443"/>
      <c r="F33" s="443"/>
      <c r="G33" s="443"/>
      <c r="H33" s="443"/>
      <c r="I33" s="443"/>
      <c r="J33" s="443"/>
      <c r="K33" s="443"/>
      <c r="L33" s="443"/>
      <c r="M33" s="443"/>
      <c r="N33" s="443"/>
      <c r="O33" s="443"/>
      <c r="P33" s="443"/>
      <c r="Q33" s="443"/>
      <c r="R33" s="443"/>
      <c r="S33" s="443"/>
      <c r="T33" s="443"/>
      <c r="U33" s="443"/>
      <c r="V33" s="443"/>
      <c r="W33" s="443"/>
      <c r="X33" s="443"/>
      <c r="Y33" s="443"/>
      <c r="Z33" s="443"/>
      <c r="AA33" s="443"/>
      <c r="AB33" s="443"/>
      <c r="AC33" s="443"/>
      <c r="AD33" s="443"/>
      <c r="AE33" s="443"/>
      <c r="AF33" s="443"/>
      <c r="AG33" s="443"/>
      <c r="AH33" s="443"/>
      <c r="AI33" s="443"/>
      <c r="AJ33" s="443"/>
      <c r="AK33" s="553"/>
      <c r="AL33" s="553"/>
      <c r="AM33" s="549"/>
      <c r="AN33" s="443"/>
      <c r="AO33" s="443"/>
      <c r="AP33" s="443"/>
      <c r="AQ33" s="443"/>
      <c r="AR33" s="443"/>
      <c r="AS33" s="443"/>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7"/>
    </row>
    <row r="34" spans="1:73" ht="15" customHeight="1" x14ac:dyDescent="0.2">
      <c r="A34" s="1968"/>
      <c r="B34" s="444"/>
      <c r="C34" s="453"/>
      <c r="D34" s="443"/>
      <c r="E34" s="443"/>
      <c r="F34" s="443"/>
      <c r="G34" s="443"/>
      <c r="H34" s="443"/>
      <c r="I34" s="443"/>
      <c r="J34" s="443"/>
      <c r="K34" s="443"/>
      <c r="L34" s="443"/>
      <c r="M34" s="443"/>
      <c r="N34" s="443"/>
      <c r="O34" s="443"/>
      <c r="P34" s="443"/>
      <c r="Q34" s="443"/>
      <c r="R34" s="443"/>
      <c r="S34" s="443"/>
      <c r="T34" s="443"/>
      <c r="U34" s="443"/>
      <c r="V34" s="443"/>
      <c r="W34" s="443"/>
      <c r="X34" s="443"/>
      <c r="Y34" s="443"/>
      <c r="Z34" s="443"/>
      <c r="AA34" s="443"/>
      <c r="AB34" s="443"/>
      <c r="AC34" s="443"/>
      <c r="AD34" s="443"/>
      <c r="AE34" s="443"/>
      <c r="AF34" s="443"/>
      <c r="AG34" s="443"/>
      <c r="AH34" s="443"/>
      <c r="AI34" s="443"/>
      <c r="AJ34" s="443"/>
      <c r="AK34" s="553"/>
      <c r="AL34" s="553"/>
      <c r="AM34" s="549"/>
      <c r="AN34" s="443"/>
      <c r="AO34" s="443"/>
      <c r="AP34" s="443"/>
      <c r="AQ34" s="443"/>
      <c r="AR34" s="443"/>
      <c r="AS34" s="443"/>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7"/>
    </row>
    <row r="35" spans="1:73" ht="15" customHeight="1" x14ac:dyDescent="0.2">
      <c r="A35" s="1968"/>
      <c r="B35" s="444"/>
      <c r="C35" s="453"/>
      <c r="D35" s="443"/>
      <c r="E35" s="443"/>
      <c r="F35" s="443"/>
      <c r="G35" s="443"/>
      <c r="H35" s="443"/>
      <c r="I35" s="443"/>
      <c r="J35" s="443"/>
      <c r="K35" s="443"/>
      <c r="L35" s="443"/>
      <c r="M35" s="443"/>
      <c r="N35" s="443"/>
      <c r="O35" s="443"/>
      <c r="P35" s="443"/>
      <c r="Q35" s="443"/>
      <c r="R35" s="443"/>
      <c r="S35" s="443"/>
      <c r="T35" s="443"/>
      <c r="U35" s="443"/>
      <c r="V35" s="443"/>
      <c r="W35" s="443"/>
      <c r="X35" s="443"/>
      <c r="Y35" s="443"/>
      <c r="Z35" s="443"/>
      <c r="AA35" s="443"/>
      <c r="AB35" s="443"/>
      <c r="AC35" s="443"/>
      <c r="AD35" s="443"/>
      <c r="AE35" s="443"/>
      <c r="AF35" s="443"/>
      <c r="AG35" s="443"/>
      <c r="AH35" s="443"/>
      <c r="AI35" s="443"/>
      <c r="AJ35" s="443"/>
      <c r="AK35" s="553"/>
      <c r="AL35" s="553"/>
      <c r="AM35" s="549"/>
      <c r="AN35" s="443"/>
      <c r="AO35" s="443"/>
      <c r="AP35" s="443"/>
      <c r="AQ35" s="443"/>
      <c r="AR35" s="443"/>
      <c r="AS35" s="443"/>
      <c r="AT35" s="443"/>
      <c r="AU35" s="443"/>
      <c r="AV35" s="443"/>
      <c r="AW35" s="443"/>
      <c r="AX35" s="443"/>
      <c r="AY35" s="443"/>
      <c r="AZ35" s="443"/>
      <c r="BA35" s="443"/>
      <c r="BB35" s="443"/>
      <c r="BC35" s="443"/>
      <c r="BD35" s="443"/>
      <c r="BE35" s="443"/>
      <c r="BF35" s="443"/>
      <c r="BG35" s="443"/>
      <c r="BH35" s="443"/>
      <c r="BI35" s="443"/>
      <c r="BJ35" s="443"/>
      <c r="BK35" s="443"/>
      <c r="BL35" s="443"/>
      <c r="BM35" s="443"/>
      <c r="BN35" s="443"/>
      <c r="BO35" s="443"/>
      <c r="BP35" s="443"/>
      <c r="BQ35" s="443"/>
      <c r="BR35" s="443"/>
      <c r="BS35" s="443"/>
      <c r="BT35" s="443"/>
      <c r="BU35" s="447"/>
    </row>
    <row r="36" spans="1:73" ht="15" customHeight="1" x14ac:dyDescent="0.2">
      <c r="A36" s="1968"/>
      <c r="B36" s="444"/>
      <c r="C36" s="45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553"/>
      <c r="AL36" s="553"/>
      <c r="AM36" s="549"/>
      <c r="AN36" s="443"/>
      <c r="AO36" s="443"/>
      <c r="AP36" s="443"/>
      <c r="AQ36" s="443"/>
      <c r="AR36" s="443"/>
      <c r="AS36" s="443"/>
      <c r="AT36" s="443"/>
      <c r="AU36" s="443"/>
      <c r="AV36" s="443"/>
      <c r="AW36" s="443"/>
      <c r="AX36" s="443"/>
      <c r="AY36" s="443"/>
      <c r="AZ36" s="443"/>
      <c r="BA36" s="443"/>
      <c r="BB36" s="443"/>
      <c r="BC36" s="443"/>
      <c r="BD36" s="443"/>
      <c r="BE36" s="443"/>
      <c r="BF36" s="443"/>
      <c r="BG36" s="443"/>
      <c r="BH36" s="443"/>
      <c r="BI36" s="443"/>
      <c r="BJ36" s="443"/>
      <c r="BK36" s="443"/>
      <c r="BL36" s="443"/>
      <c r="BM36" s="443"/>
      <c r="BN36" s="443"/>
      <c r="BO36" s="443"/>
      <c r="BP36" s="443"/>
      <c r="BQ36" s="443"/>
      <c r="BR36" s="443"/>
      <c r="BS36" s="443"/>
      <c r="BT36" s="443"/>
      <c r="BU36" s="447"/>
    </row>
    <row r="37" spans="1:73" ht="15" customHeight="1" x14ac:dyDescent="0.2">
      <c r="A37" s="1968"/>
      <c r="B37" s="444"/>
      <c r="C37" s="453"/>
      <c r="D37" s="443"/>
      <c r="E37" s="443"/>
      <c r="F37" s="443"/>
      <c r="G37" s="443"/>
      <c r="H37" s="443"/>
      <c r="I37" s="443"/>
      <c r="J37" s="443"/>
      <c r="K37" s="443"/>
      <c r="L37" s="443"/>
      <c r="M37" s="443"/>
      <c r="N37" s="443"/>
      <c r="O37" s="443"/>
      <c r="P37" s="443"/>
      <c r="Q37" s="443"/>
      <c r="R37" s="443"/>
      <c r="S37" s="443"/>
      <c r="T37" s="443"/>
      <c r="U37" s="443"/>
      <c r="V37" s="443"/>
      <c r="W37" s="443"/>
      <c r="X37" s="443"/>
      <c r="Y37" s="443"/>
      <c r="Z37" s="443"/>
      <c r="AA37" s="443"/>
      <c r="AB37" s="443"/>
      <c r="AC37" s="443"/>
      <c r="AD37" s="443"/>
      <c r="AE37" s="443"/>
      <c r="AF37" s="443"/>
      <c r="AG37" s="443"/>
      <c r="AH37" s="443"/>
      <c r="AI37" s="443"/>
      <c r="AJ37" s="443"/>
      <c r="AK37" s="553"/>
      <c r="AL37" s="553"/>
      <c r="AM37" s="549"/>
      <c r="AN37" s="443"/>
      <c r="AO37" s="443"/>
      <c r="AP37" s="443"/>
      <c r="AQ37" s="443"/>
      <c r="AR37" s="443"/>
      <c r="AS37" s="443"/>
      <c r="AT37" s="443"/>
      <c r="AU37" s="443"/>
      <c r="AV37" s="443"/>
      <c r="AW37" s="443"/>
      <c r="AX37" s="443"/>
      <c r="AY37" s="443"/>
      <c r="AZ37" s="443"/>
      <c r="BA37" s="443"/>
      <c r="BB37" s="443"/>
      <c r="BC37" s="443"/>
      <c r="BD37" s="443"/>
      <c r="BE37" s="443"/>
      <c r="BF37" s="443"/>
      <c r="BG37" s="443"/>
      <c r="BH37" s="443"/>
      <c r="BI37" s="443"/>
      <c r="BJ37" s="443"/>
      <c r="BK37" s="443"/>
      <c r="BL37" s="443"/>
      <c r="BM37" s="443"/>
      <c r="BN37" s="443"/>
      <c r="BO37" s="443"/>
      <c r="BP37" s="443"/>
      <c r="BQ37" s="443"/>
      <c r="BR37" s="443"/>
      <c r="BS37" s="443"/>
      <c r="BT37" s="443"/>
      <c r="BU37" s="447"/>
    </row>
    <row r="38" spans="1:73" ht="15" customHeight="1" x14ac:dyDescent="0.2">
      <c r="A38" s="1968"/>
      <c r="B38" s="444"/>
      <c r="C38" s="453"/>
      <c r="D38" s="443"/>
      <c r="E38" s="443"/>
      <c r="F38" s="443"/>
      <c r="G38" s="443"/>
      <c r="H38" s="443"/>
      <c r="I38" s="443"/>
      <c r="J38" s="443"/>
      <c r="K38" s="443"/>
      <c r="L38" s="443"/>
      <c r="M38" s="443"/>
      <c r="N38" s="443"/>
      <c r="O38" s="443"/>
      <c r="P38" s="443"/>
      <c r="Q38" s="443"/>
      <c r="R38" s="443"/>
      <c r="S38" s="443"/>
      <c r="T38" s="443"/>
      <c r="U38" s="443"/>
      <c r="V38" s="443"/>
      <c r="W38" s="443"/>
      <c r="X38" s="443"/>
      <c r="Y38" s="443"/>
      <c r="Z38" s="443"/>
      <c r="AA38" s="443"/>
      <c r="AB38" s="443"/>
      <c r="AC38" s="443"/>
      <c r="AD38" s="443"/>
      <c r="AE38" s="443"/>
      <c r="AF38" s="443"/>
      <c r="AG38" s="443"/>
      <c r="AH38" s="443"/>
      <c r="AI38" s="443"/>
      <c r="AJ38" s="443"/>
      <c r="AK38" s="553"/>
      <c r="AL38" s="553"/>
      <c r="AM38" s="549"/>
      <c r="AN38" s="443"/>
      <c r="AO38" s="443"/>
      <c r="AP38" s="443"/>
      <c r="AQ38" s="443"/>
      <c r="AR38" s="443"/>
      <c r="AS38" s="443"/>
      <c r="AT38" s="443"/>
      <c r="AU38" s="443"/>
      <c r="AV38" s="443"/>
      <c r="AW38" s="443"/>
      <c r="AX38" s="443"/>
      <c r="AY38" s="443"/>
      <c r="AZ38" s="443"/>
      <c r="BA38" s="443"/>
      <c r="BB38" s="443"/>
      <c r="BC38" s="443"/>
      <c r="BD38" s="443"/>
      <c r="BE38" s="443"/>
      <c r="BF38" s="443"/>
      <c r="BG38" s="443"/>
      <c r="BH38" s="443"/>
      <c r="BI38" s="443"/>
      <c r="BJ38" s="443"/>
      <c r="BK38" s="443"/>
      <c r="BL38" s="443"/>
      <c r="BM38" s="443"/>
      <c r="BN38" s="443"/>
      <c r="BO38" s="443"/>
      <c r="BP38" s="443"/>
      <c r="BQ38" s="443"/>
      <c r="BR38" s="443"/>
      <c r="BS38" s="443"/>
      <c r="BT38" s="443"/>
      <c r="BU38" s="447"/>
    </row>
    <row r="39" spans="1:73" ht="15" customHeight="1" x14ac:dyDescent="0.2">
      <c r="A39" s="1968"/>
      <c r="B39" s="444"/>
      <c r="C39" s="453"/>
      <c r="D39" s="443"/>
      <c r="E39" s="443"/>
      <c r="F39" s="443"/>
      <c r="G39" s="443"/>
      <c r="H39" s="443"/>
      <c r="I39" s="443"/>
      <c r="J39" s="443"/>
      <c r="K39" s="443"/>
      <c r="L39" s="443"/>
      <c r="M39" s="443"/>
      <c r="N39" s="443"/>
      <c r="O39" s="443"/>
      <c r="P39" s="443"/>
      <c r="Q39" s="443"/>
      <c r="R39" s="443"/>
      <c r="S39" s="443"/>
      <c r="T39" s="443"/>
      <c r="U39" s="443"/>
      <c r="V39" s="443"/>
      <c r="W39" s="443"/>
      <c r="X39" s="443"/>
      <c r="Y39" s="443"/>
      <c r="Z39" s="443"/>
      <c r="AA39" s="443"/>
      <c r="AB39" s="443"/>
      <c r="AC39" s="443"/>
      <c r="AD39" s="443"/>
      <c r="AE39" s="443"/>
      <c r="AF39" s="443"/>
      <c r="AG39" s="443"/>
      <c r="AH39" s="443"/>
      <c r="AI39" s="443"/>
      <c r="AJ39" s="443"/>
      <c r="AK39" s="553"/>
      <c r="AL39" s="553"/>
      <c r="AM39" s="549"/>
      <c r="AN39" s="443"/>
      <c r="AO39" s="443"/>
      <c r="AP39" s="443"/>
      <c r="AQ39" s="443"/>
      <c r="AR39" s="443"/>
      <c r="AS39" s="443"/>
      <c r="AT39" s="443"/>
      <c r="AU39" s="443"/>
      <c r="AV39" s="443"/>
      <c r="AW39" s="443"/>
      <c r="AX39" s="443"/>
      <c r="AY39" s="443"/>
      <c r="AZ39" s="443"/>
      <c r="BA39" s="443"/>
      <c r="BB39" s="443"/>
      <c r="BC39" s="443"/>
      <c r="BD39" s="443"/>
      <c r="BE39" s="443"/>
      <c r="BF39" s="443"/>
      <c r="BG39" s="443"/>
      <c r="BH39" s="443"/>
      <c r="BI39" s="443"/>
      <c r="BJ39" s="443"/>
      <c r="BK39" s="443"/>
      <c r="BL39" s="443"/>
      <c r="BM39" s="443"/>
      <c r="BN39" s="443"/>
      <c r="BO39" s="443"/>
      <c r="BP39" s="443"/>
      <c r="BQ39" s="443"/>
      <c r="BR39" s="443"/>
      <c r="BS39" s="443"/>
      <c r="BT39" s="443"/>
      <c r="BU39" s="447"/>
    </row>
    <row r="40" spans="1:73" ht="15" customHeight="1" x14ac:dyDescent="0.2">
      <c r="A40" s="1968"/>
      <c r="B40" s="444"/>
      <c r="C40" s="45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553"/>
      <c r="AL40" s="553"/>
      <c r="AM40" s="549"/>
      <c r="AN40" s="443"/>
      <c r="AO40" s="443"/>
      <c r="AP40" s="443"/>
      <c r="AQ40" s="443"/>
      <c r="AR40" s="443"/>
      <c r="AS40" s="443"/>
      <c r="AT40" s="443"/>
      <c r="AU40" s="443"/>
      <c r="AV40" s="443"/>
      <c r="AW40" s="443"/>
      <c r="AX40" s="443"/>
      <c r="AY40" s="443"/>
      <c r="AZ40" s="443"/>
      <c r="BA40" s="443"/>
      <c r="BB40" s="443"/>
      <c r="BC40" s="443"/>
      <c r="BD40" s="443"/>
      <c r="BE40" s="443"/>
      <c r="BF40" s="443"/>
      <c r="BG40" s="443"/>
      <c r="BH40" s="443"/>
      <c r="BI40" s="443"/>
      <c r="BJ40" s="443"/>
      <c r="BK40" s="443"/>
      <c r="BL40" s="443"/>
      <c r="BM40" s="443"/>
      <c r="BN40" s="443"/>
      <c r="BO40" s="443"/>
      <c r="BP40" s="443"/>
      <c r="BQ40" s="443"/>
      <c r="BR40" s="443"/>
      <c r="BS40" s="443"/>
      <c r="BT40" s="443"/>
      <c r="BU40" s="447"/>
    </row>
    <row r="41" spans="1:73" ht="15" customHeight="1" x14ac:dyDescent="0.2">
      <c r="A41" s="1968"/>
      <c r="B41" s="444"/>
      <c r="C41" s="45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553"/>
      <c r="AL41" s="553"/>
      <c r="AM41" s="553"/>
      <c r="AN41" s="443"/>
      <c r="AO41" s="443"/>
      <c r="AP41" s="443"/>
      <c r="AQ41" s="443"/>
      <c r="AR41" s="443"/>
      <c r="AS41" s="443"/>
      <c r="AT41" s="443"/>
      <c r="AU41" s="443"/>
      <c r="AV41" s="443"/>
      <c r="AW41" s="443"/>
      <c r="AX41" s="443"/>
      <c r="AY41" s="443"/>
      <c r="AZ41" s="443"/>
      <c r="BA41" s="443"/>
      <c r="BB41" s="443"/>
      <c r="BC41" s="443"/>
      <c r="BD41" s="443"/>
      <c r="BE41" s="443"/>
      <c r="BF41" s="443"/>
      <c r="BG41" s="443"/>
      <c r="BH41" s="443"/>
      <c r="BI41" s="443"/>
      <c r="BJ41" s="443"/>
      <c r="BK41" s="443"/>
      <c r="BL41" s="443"/>
      <c r="BM41" s="443"/>
      <c r="BN41" s="443"/>
      <c r="BO41" s="443"/>
      <c r="BP41" s="443"/>
      <c r="BQ41" s="443"/>
      <c r="BR41" s="443"/>
      <c r="BS41" s="443"/>
      <c r="BT41" s="443"/>
      <c r="BU41" s="447"/>
    </row>
    <row r="42" spans="1:73" ht="15" customHeight="1" x14ac:dyDescent="0.2">
      <c r="A42" s="1968"/>
      <c r="B42" s="444"/>
      <c r="C42" s="453"/>
      <c r="D42" s="443"/>
      <c r="E42" s="443"/>
      <c r="F42" s="443"/>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c r="AG42" s="443"/>
      <c r="AH42" s="443"/>
      <c r="AI42" s="443"/>
      <c r="AJ42" s="443"/>
      <c r="AK42" s="553"/>
      <c r="AL42" s="553"/>
      <c r="AM42" s="549"/>
      <c r="AN42" s="443"/>
      <c r="AO42" s="443"/>
      <c r="AP42" s="443"/>
      <c r="AQ42" s="443"/>
      <c r="AR42" s="443"/>
      <c r="AS42" s="443"/>
      <c r="AT42" s="443"/>
      <c r="AU42" s="443"/>
      <c r="AV42" s="443"/>
      <c r="AW42" s="443"/>
      <c r="AX42" s="443"/>
      <c r="AY42" s="443"/>
      <c r="AZ42" s="443"/>
      <c r="BA42" s="443"/>
      <c r="BB42" s="443"/>
      <c r="BC42" s="443"/>
      <c r="BD42" s="443"/>
      <c r="BE42" s="443"/>
      <c r="BF42" s="443"/>
      <c r="BG42" s="443"/>
      <c r="BH42" s="443"/>
      <c r="BI42" s="443"/>
      <c r="BJ42" s="443"/>
      <c r="BK42" s="443"/>
      <c r="BL42" s="443"/>
      <c r="BM42" s="443"/>
      <c r="BN42" s="443"/>
      <c r="BO42" s="443"/>
      <c r="BP42" s="443"/>
      <c r="BQ42" s="443"/>
      <c r="BR42" s="443"/>
      <c r="BS42" s="443"/>
      <c r="BT42" s="443"/>
      <c r="BU42" s="447"/>
    </row>
    <row r="43" spans="1:73" ht="15" customHeight="1" x14ac:dyDescent="0.2">
      <c r="A43" s="1968"/>
      <c r="B43" s="444"/>
      <c r="C43" s="453"/>
      <c r="D43" s="443"/>
      <c r="E43" s="443"/>
      <c r="F43" s="443"/>
      <c r="G43" s="443"/>
      <c r="H43" s="443"/>
      <c r="I43" s="443"/>
      <c r="J43" s="443"/>
      <c r="K43" s="443"/>
      <c r="L43" s="443"/>
      <c r="M43" s="443"/>
      <c r="N43" s="443"/>
      <c r="O43" s="443"/>
      <c r="P43" s="443"/>
      <c r="Q43" s="443"/>
      <c r="R43" s="443"/>
      <c r="S43" s="443"/>
      <c r="T43" s="443"/>
      <c r="U43" s="443"/>
      <c r="V43" s="443"/>
      <c r="W43" s="443"/>
      <c r="X43" s="443"/>
      <c r="Y43" s="443"/>
      <c r="Z43" s="443"/>
      <c r="AA43" s="443"/>
      <c r="AB43" s="443"/>
      <c r="AC43" s="443"/>
      <c r="AD43" s="443"/>
      <c r="AE43" s="443"/>
      <c r="AF43" s="443"/>
      <c r="AG43" s="443"/>
      <c r="AH43" s="443"/>
      <c r="AI43" s="443"/>
      <c r="AJ43" s="443"/>
      <c r="AK43" s="553"/>
      <c r="AL43" s="553"/>
      <c r="AM43" s="549"/>
      <c r="AN43" s="443"/>
      <c r="AO43" s="443"/>
      <c r="AP43" s="443"/>
      <c r="AQ43" s="443"/>
      <c r="AR43" s="443"/>
      <c r="AS43" s="443"/>
      <c r="AT43" s="443"/>
      <c r="AU43" s="443"/>
      <c r="AV43" s="443"/>
      <c r="AW43" s="443"/>
      <c r="AX43" s="443"/>
      <c r="AY43" s="443"/>
      <c r="AZ43" s="443"/>
      <c r="BA43" s="443"/>
      <c r="BB43" s="443"/>
      <c r="BC43" s="443"/>
      <c r="BD43" s="443"/>
      <c r="BE43" s="443"/>
      <c r="BF43" s="443"/>
      <c r="BG43" s="443"/>
      <c r="BH43" s="443"/>
      <c r="BI43" s="443"/>
      <c r="BJ43" s="443"/>
      <c r="BK43" s="443"/>
      <c r="BL43" s="443"/>
      <c r="BM43" s="443"/>
      <c r="BN43" s="443"/>
      <c r="BO43" s="443"/>
      <c r="BP43" s="443"/>
      <c r="BQ43" s="443"/>
      <c r="BR43" s="443"/>
      <c r="BS43" s="443"/>
      <c r="BT43" s="443"/>
      <c r="BU43" s="447"/>
    </row>
    <row r="44" spans="1:73" ht="15" customHeight="1" x14ac:dyDescent="0.2">
      <c r="A44" s="1968"/>
      <c r="B44" s="444"/>
      <c r="C44" s="1969" t="s">
        <v>917</v>
      </c>
      <c r="D44" s="1969"/>
      <c r="E44" s="1969"/>
      <c r="F44" s="1969"/>
      <c r="G44" s="1969"/>
      <c r="H44" s="1969"/>
      <c r="I44" s="1969"/>
      <c r="J44" s="1969"/>
      <c r="K44" s="1969"/>
      <c r="L44" s="1969"/>
      <c r="M44" s="1969"/>
      <c r="N44" s="1969"/>
      <c r="O44" s="1969"/>
      <c r="P44" s="1969"/>
      <c r="Q44" s="1969"/>
      <c r="R44" s="1969"/>
      <c r="S44" s="1969"/>
      <c r="T44" s="1969"/>
      <c r="U44" s="1969"/>
      <c r="V44" s="1969"/>
      <c r="W44" s="1969"/>
      <c r="X44" s="1969"/>
      <c r="Y44" s="1969"/>
      <c r="Z44" s="1969"/>
      <c r="AA44" s="1969"/>
      <c r="AB44" s="1969"/>
      <c r="AC44" s="1969"/>
      <c r="AD44" s="1969"/>
      <c r="AE44" s="1969"/>
      <c r="AF44" s="1969"/>
      <c r="AG44" s="1969"/>
      <c r="AH44" s="1969"/>
      <c r="AI44" s="1969"/>
      <c r="AJ44" s="1969"/>
      <c r="AK44" s="1969"/>
      <c r="AL44" s="550"/>
      <c r="AM44" s="551"/>
      <c r="AN44" s="1969" t="s">
        <v>511</v>
      </c>
      <c r="AO44" s="1969"/>
      <c r="AP44" s="1969"/>
      <c r="AQ44" s="1969"/>
      <c r="AR44" s="1969"/>
      <c r="AS44" s="1969"/>
      <c r="AT44" s="1969"/>
      <c r="AU44" s="1969"/>
      <c r="AV44" s="1969"/>
      <c r="AW44" s="1969"/>
      <c r="AX44" s="1969"/>
      <c r="AY44" s="1969"/>
      <c r="AZ44" s="1969"/>
      <c r="BA44" s="1969"/>
      <c r="BB44" s="1969"/>
      <c r="BC44" s="1969"/>
      <c r="BD44" s="1969"/>
      <c r="BE44" s="1969"/>
      <c r="BF44" s="1969"/>
      <c r="BG44" s="1969"/>
      <c r="BH44" s="1969"/>
      <c r="BI44" s="1969"/>
      <c r="BJ44" s="1969"/>
      <c r="BK44" s="1969"/>
      <c r="BL44" s="1969"/>
      <c r="BM44" s="1969"/>
      <c r="BN44" s="1969"/>
      <c r="BO44" s="1969"/>
      <c r="BP44" s="1969"/>
      <c r="BQ44" s="1969"/>
      <c r="BR44" s="1969"/>
      <c r="BS44" s="1969"/>
      <c r="BT44" s="1969"/>
      <c r="BU44" s="1969"/>
    </row>
    <row r="45" spans="1:73" ht="15" customHeight="1" x14ac:dyDescent="0.2">
      <c r="A45" s="1968"/>
      <c r="B45" s="444"/>
      <c r="C45" s="453"/>
      <c r="D45" s="443"/>
      <c r="E45" s="443"/>
      <c r="F45" s="443"/>
      <c r="G45" s="443"/>
      <c r="H45" s="443"/>
      <c r="I45" s="443"/>
      <c r="J45" s="443"/>
      <c r="K45" s="443"/>
      <c r="L45" s="443"/>
      <c r="M45" s="443"/>
      <c r="N45" s="443"/>
      <c r="O45" s="443"/>
      <c r="P45" s="443"/>
      <c r="Q45" s="443"/>
      <c r="R45" s="443"/>
      <c r="S45" s="443"/>
      <c r="T45" s="443"/>
      <c r="U45" s="443"/>
      <c r="V45" s="443"/>
      <c r="W45" s="443"/>
      <c r="X45" s="443"/>
      <c r="Y45" s="443"/>
      <c r="Z45" s="443"/>
      <c r="AA45" s="443"/>
      <c r="AB45" s="443"/>
      <c r="AC45" s="443"/>
      <c r="AD45" s="443"/>
      <c r="AE45" s="443"/>
      <c r="AF45" s="443"/>
      <c r="AG45" s="443"/>
      <c r="AH45" s="443"/>
      <c r="AI45" s="443"/>
      <c r="AJ45" s="443"/>
      <c r="AK45" s="553"/>
      <c r="AL45" s="553"/>
      <c r="AM45" s="549"/>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501"/>
    </row>
    <row r="46" spans="1:73" ht="15" customHeight="1" x14ac:dyDescent="0.2">
      <c r="A46" s="1968"/>
      <c r="B46" s="444"/>
      <c r="C46" s="45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553"/>
      <c r="AL46" s="553"/>
      <c r="AM46" s="549"/>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43"/>
      <c r="BL46" s="443"/>
      <c r="BM46" s="443"/>
      <c r="BN46" s="443"/>
      <c r="BO46" s="443"/>
      <c r="BP46" s="443"/>
      <c r="BQ46" s="443"/>
      <c r="BR46" s="443"/>
      <c r="BS46" s="443"/>
      <c r="BT46" s="443"/>
      <c r="BU46" s="447"/>
    </row>
    <row r="47" spans="1:73" ht="15" customHeight="1" x14ac:dyDescent="0.2">
      <c r="A47" s="1968"/>
      <c r="B47" s="444"/>
      <c r="C47" s="453"/>
      <c r="D47" s="443"/>
      <c r="E47" s="443"/>
      <c r="F47" s="443"/>
      <c r="G47" s="443"/>
      <c r="H47" s="443"/>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553"/>
      <c r="AL47" s="553"/>
      <c r="AM47" s="549"/>
      <c r="AN47" s="443"/>
      <c r="AO47" s="443"/>
      <c r="AP47" s="443"/>
      <c r="AQ47" s="443"/>
      <c r="AR47" s="443"/>
      <c r="AS47" s="443"/>
      <c r="AT47" s="443"/>
      <c r="AU47" s="443"/>
      <c r="AV47" s="443"/>
      <c r="AW47" s="443"/>
      <c r="AX47" s="443"/>
      <c r="AY47" s="443"/>
      <c r="AZ47" s="443"/>
      <c r="BA47" s="443"/>
      <c r="BB47" s="443"/>
      <c r="BC47" s="443"/>
      <c r="BD47" s="443"/>
      <c r="BE47" s="443"/>
      <c r="BF47" s="443"/>
      <c r="BG47" s="443"/>
      <c r="BH47" s="443"/>
      <c r="BI47" s="443"/>
      <c r="BJ47" s="443"/>
      <c r="BK47" s="443"/>
      <c r="BL47" s="443"/>
      <c r="BM47" s="443"/>
      <c r="BN47" s="443"/>
      <c r="BO47" s="443"/>
      <c r="BP47" s="443"/>
      <c r="BQ47" s="443"/>
      <c r="BR47" s="443"/>
      <c r="BS47" s="443"/>
      <c r="BT47" s="443"/>
      <c r="BU47" s="447"/>
    </row>
    <row r="48" spans="1:73" ht="15" customHeight="1" x14ac:dyDescent="0.2">
      <c r="A48" s="1968"/>
      <c r="B48" s="444"/>
      <c r="C48" s="453"/>
      <c r="D48" s="443"/>
      <c r="E48" s="443"/>
      <c r="F48" s="443"/>
      <c r="G48" s="443"/>
      <c r="H48" s="443"/>
      <c r="I48" s="443"/>
      <c r="J48" s="443"/>
      <c r="K48" s="443"/>
      <c r="L48" s="443"/>
      <c r="M48" s="443"/>
      <c r="N48" s="443"/>
      <c r="O48" s="443"/>
      <c r="P48" s="443"/>
      <c r="Q48" s="443"/>
      <c r="R48" s="443"/>
      <c r="S48" s="443"/>
      <c r="T48" s="443"/>
      <c r="U48" s="443"/>
      <c r="V48" s="443"/>
      <c r="W48" s="443"/>
      <c r="X48" s="443"/>
      <c r="Y48" s="443"/>
      <c r="Z48" s="443"/>
      <c r="AA48" s="443"/>
      <c r="AB48" s="443"/>
      <c r="AC48" s="443"/>
      <c r="AD48" s="443"/>
      <c r="AE48" s="443"/>
      <c r="AF48" s="443"/>
      <c r="AG48" s="443"/>
      <c r="AH48" s="443"/>
      <c r="AI48" s="443"/>
      <c r="AJ48" s="443"/>
      <c r="AK48" s="553"/>
      <c r="AL48" s="553"/>
      <c r="AM48" s="549"/>
      <c r="AN48" s="443"/>
      <c r="AO48" s="443"/>
      <c r="AP48" s="443"/>
      <c r="AQ48" s="443"/>
      <c r="AR48" s="443"/>
      <c r="AS48" s="443"/>
      <c r="AT48" s="443"/>
      <c r="AU48" s="443"/>
      <c r="AV48" s="443"/>
      <c r="AW48" s="443"/>
      <c r="AX48" s="443"/>
      <c r="AY48" s="443"/>
      <c r="AZ48" s="443"/>
      <c r="BA48" s="443"/>
      <c r="BB48" s="443"/>
      <c r="BC48" s="443"/>
      <c r="BD48" s="443"/>
      <c r="BE48" s="443"/>
      <c r="BF48" s="443"/>
      <c r="BG48" s="443"/>
      <c r="BH48" s="443"/>
      <c r="BI48" s="443"/>
      <c r="BJ48" s="443"/>
      <c r="BK48" s="443"/>
      <c r="BL48" s="443"/>
      <c r="BM48" s="443"/>
      <c r="BN48" s="443"/>
      <c r="BO48" s="443"/>
      <c r="BP48" s="443"/>
      <c r="BQ48" s="443"/>
      <c r="BR48" s="443"/>
      <c r="BS48" s="443"/>
      <c r="BT48" s="443"/>
      <c r="BU48" s="447"/>
    </row>
    <row r="49" spans="1:73" ht="15" customHeight="1" x14ac:dyDescent="0.2">
      <c r="A49" s="1968"/>
      <c r="B49" s="444"/>
      <c r="C49" s="453"/>
      <c r="D49" s="443"/>
      <c r="E49" s="443"/>
      <c r="F49" s="443"/>
      <c r="G49" s="443"/>
      <c r="H49" s="443"/>
      <c r="I49" s="443"/>
      <c r="J49" s="443"/>
      <c r="K49" s="443"/>
      <c r="L49" s="443"/>
      <c r="M49" s="443"/>
      <c r="N49" s="443"/>
      <c r="O49" s="443"/>
      <c r="P49" s="443"/>
      <c r="Q49" s="443"/>
      <c r="R49" s="443"/>
      <c r="S49" s="443"/>
      <c r="T49" s="443"/>
      <c r="U49" s="443"/>
      <c r="V49" s="443"/>
      <c r="W49" s="443"/>
      <c r="X49" s="443"/>
      <c r="Y49" s="443"/>
      <c r="Z49" s="443"/>
      <c r="AA49" s="443"/>
      <c r="AB49" s="443"/>
      <c r="AC49" s="443"/>
      <c r="AD49" s="443"/>
      <c r="AE49" s="443"/>
      <c r="AF49" s="443"/>
      <c r="AG49" s="443"/>
      <c r="AH49" s="443"/>
      <c r="AI49" s="443"/>
      <c r="AJ49" s="443"/>
      <c r="AK49" s="553"/>
      <c r="AL49" s="553"/>
      <c r="AM49" s="549"/>
      <c r="AN49" s="443"/>
      <c r="AO49" s="443"/>
      <c r="AP49" s="443"/>
      <c r="AQ49" s="443"/>
      <c r="AR49" s="443"/>
      <c r="AS49" s="443"/>
      <c r="AT49" s="443"/>
      <c r="AU49" s="443"/>
      <c r="AV49" s="443"/>
      <c r="AW49" s="443"/>
      <c r="AX49" s="443"/>
      <c r="AY49" s="443"/>
      <c r="AZ49" s="443"/>
      <c r="BA49" s="443"/>
      <c r="BB49" s="443"/>
      <c r="BC49" s="443"/>
      <c r="BD49" s="443"/>
      <c r="BE49" s="443"/>
      <c r="BF49" s="443"/>
      <c r="BG49" s="443"/>
      <c r="BH49" s="443"/>
      <c r="BI49" s="443"/>
      <c r="BJ49" s="443"/>
      <c r="BK49" s="443"/>
      <c r="BL49" s="443"/>
      <c r="BM49" s="443"/>
      <c r="BN49" s="443"/>
      <c r="BO49" s="443"/>
      <c r="BP49" s="443"/>
      <c r="BQ49" s="443"/>
      <c r="BR49" s="443"/>
      <c r="BS49" s="443"/>
      <c r="BT49" s="443"/>
      <c r="BU49" s="447"/>
    </row>
    <row r="50" spans="1:73" ht="15" customHeight="1" x14ac:dyDescent="0.2">
      <c r="A50" s="1968"/>
      <c r="B50" s="444"/>
      <c r="C50" s="453"/>
      <c r="D50" s="443"/>
      <c r="E50" s="443"/>
      <c r="F50" s="443"/>
      <c r="G50" s="443"/>
      <c r="H50" s="443"/>
      <c r="I50" s="443"/>
      <c r="J50" s="443"/>
      <c r="K50" s="443"/>
      <c r="L50" s="443"/>
      <c r="M50" s="443"/>
      <c r="N50" s="443"/>
      <c r="O50" s="443"/>
      <c r="P50" s="443"/>
      <c r="Q50" s="443"/>
      <c r="R50" s="443"/>
      <c r="S50" s="443"/>
      <c r="T50" s="443"/>
      <c r="U50" s="443"/>
      <c r="V50" s="443"/>
      <c r="W50" s="443"/>
      <c r="X50" s="443"/>
      <c r="Y50" s="443"/>
      <c r="Z50" s="443"/>
      <c r="AA50" s="443"/>
      <c r="AB50" s="443"/>
      <c r="AC50" s="443"/>
      <c r="AD50" s="443"/>
      <c r="AE50" s="443"/>
      <c r="AF50" s="443"/>
      <c r="AG50" s="443"/>
      <c r="AH50" s="443"/>
      <c r="AI50" s="443"/>
      <c r="AJ50" s="443"/>
      <c r="AK50" s="553"/>
      <c r="AL50" s="553"/>
      <c r="AM50" s="549"/>
      <c r="AN50" s="443"/>
      <c r="AO50" s="443"/>
      <c r="AP50" s="443"/>
      <c r="AQ50" s="443"/>
      <c r="AR50" s="443"/>
      <c r="AS50" s="443"/>
      <c r="AT50" s="443"/>
      <c r="AU50" s="443"/>
      <c r="AV50" s="443"/>
      <c r="AW50" s="443"/>
      <c r="AX50" s="443"/>
      <c r="AY50" s="443"/>
      <c r="AZ50" s="443"/>
      <c r="BA50" s="443"/>
      <c r="BB50" s="443"/>
      <c r="BC50" s="443"/>
      <c r="BD50" s="443"/>
      <c r="BE50" s="443"/>
      <c r="BF50" s="443"/>
      <c r="BG50" s="443"/>
      <c r="BH50" s="443"/>
      <c r="BI50" s="443"/>
      <c r="BJ50" s="443"/>
      <c r="BK50" s="443"/>
      <c r="BL50" s="443"/>
      <c r="BM50" s="443"/>
      <c r="BN50" s="443"/>
      <c r="BO50" s="443"/>
      <c r="BP50" s="443"/>
      <c r="BQ50" s="443"/>
      <c r="BR50" s="443"/>
      <c r="BS50" s="443"/>
      <c r="BT50" s="443"/>
      <c r="BU50" s="447"/>
    </row>
    <row r="51" spans="1:73" ht="15" customHeight="1" x14ac:dyDescent="0.2">
      <c r="A51" s="1968"/>
      <c r="B51" s="444"/>
      <c r="C51" s="453"/>
      <c r="D51" s="443"/>
      <c r="E51" s="443"/>
      <c r="F51" s="443"/>
      <c r="G51" s="443"/>
      <c r="H51" s="443"/>
      <c r="I51" s="443"/>
      <c r="J51" s="443"/>
      <c r="K51" s="443"/>
      <c r="L51" s="443"/>
      <c r="M51" s="443"/>
      <c r="N51" s="443"/>
      <c r="O51" s="443"/>
      <c r="P51" s="443"/>
      <c r="Q51" s="443"/>
      <c r="R51" s="443"/>
      <c r="S51" s="443"/>
      <c r="T51" s="443"/>
      <c r="U51" s="443"/>
      <c r="V51" s="443"/>
      <c r="W51" s="443"/>
      <c r="X51" s="443"/>
      <c r="Y51" s="443"/>
      <c r="Z51" s="443"/>
      <c r="AA51" s="443"/>
      <c r="AB51" s="443"/>
      <c r="AC51" s="443"/>
      <c r="AD51" s="443"/>
      <c r="AE51" s="443"/>
      <c r="AF51" s="443"/>
      <c r="AG51" s="443"/>
      <c r="AH51" s="443"/>
      <c r="AI51" s="443"/>
      <c r="AJ51" s="443"/>
      <c r="AK51" s="553"/>
      <c r="AL51" s="553"/>
      <c r="AM51" s="549"/>
      <c r="AN51" s="443"/>
      <c r="AO51" s="443"/>
      <c r="AP51" s="443"/>
      <c r="AQ51" s="443"/>
      <c r="AR51" s="443"/>
      <c r="AS51" s="443"/>
      <c r="AT51" s="443"/>
      <c r="AU51" s="443"/>
      <c r="AV51" s="443"/>
      <c r="AW51" s="443"/>
      <c r="AX51" s="443"/>
      <c r="AY51" s="443"/>
      <c r="AZ51" s="443"/>
      <c r="BA51" s="443"/>
      <c r="BB51" s="443"/>
      <c r="BC51" s="443"/>
      <c r="BD51" s="443"/>
      <c r="BE51" s="443"/>
      <c r="BF51" s="443"/>
      <c r="BG51" s="443"/>
      <c r="BH51" s="443"/>
      <c r="BI51" s="443"/>
      <c r="BJ51" s="443"/>
      <c r="BK51" s="443"/>
      <c r="BL51" s="443"/>
      <c r="BM51" s="443"/>
      <c r="BN51" s="443"/>
      <c r="BO51" s="443"/>
      <c r="BP51" s="443"/>
      <c r="BQ51" s="443"/>
      <c r="BR51" s="443"/>
      <c r="BS51" s="443"/>
      <c r="BT51" s="443"/>
      <c r="BU51" s="447"/>
    </row>
    <row r="52" spans="1:73" ht="15" customHeight="1" x14ac:dyDescent="0.2">
      <c r="A52" s="1968"/>
      <c r="B52" s="444"/>
      <c r="C52" s="453"/>
      <c r="D52" s="443"/>
      <c r="E52" s="443"/>
      <c r="F52" s="443"/>
      <c r="G52" s="443"/>
      <c r="H52" s="443"/>
      <c r="I52" s="443"/>
      <c r="J52" s="443"/>
      <c r="K52" s="443"/>
      <c r="L52" s="443"/>
      <c r="M52" s="443"/>
      <c r="N52" s="443"/>
      <c r="O52" s="443"/>
      <c r="P52" s="443"/>
      <c r="Q52" s="443"/>
      <c r="R52" s="443"/>
      <c r="S52" s="443"/>
      <c r="T52" s="443"/>
      <c r="U52" s="443"/>
      <c r="V52" s="443"/>
      <c r="W52" s="443"/>
      <c r="X52" s="443"/>
      <c r="Y52" s="443"/>
      <c r="Z52" s="443"/>
      <c r="AA52" s="443"/>
      <c r="AB52" s="443"/>
      <c r="AC52" s="443"/>
      <c r="AD52" s="443"/>
      <c r="AE52" s="443"/>
      <c r="AF52" s="443"/>
      <c r="AG52" s="443"/>
      <c r="AH52" s="443"/>
      <c r="AI52" s="443"/>
      <c r="AJ52" s="443"/>
      <c r="AK52" s="553"/>
      <c r="AL52" s="553"/>
      <c r="AM52" s="549"/>
      <c r="AN52" s="443"/>
      <c r="AO52" s="443"/>
      <c r="AP52" s="443"/>
      <c r="AQ52" s="443"/>
      <c r="AR52" s="443"/>
      <c r="AS52" s="443"/>
      <c r="AT52" s="443"/>
      <c r="AU52" s="443"/>
      <c r="AV52" s="443"/>
      <c r="AW52" s="443"/>
      <c r="AX52" s="443"/>
      <c r="AY52" s="443"/>
      <c r="AZ52" s="443"/>
      <c r="BA52" s="443"/>
      <c r="BB52" s="443"/>
      <c r="BC52" s="443"/>
      <c r="BD52" s="443"/>
      <c r="BE52" s="443"/>
      <c r="BF52" s="443"/>
      <c r="BG52" s="443"/>
      <c r="BH52" s="443"/>
      <c r="BI52" s="443"/>
      <c r="BJ52" s="443"/>
      <c r="BK52" s="443"/>
      <c r="BL52" s="443"/>
      <c r="BM52" s="443"/>
      <c r="BN52" s="443"/>
      <c r="BO52" s="443"/>
      <c r="BP52" s="443"/>
      <c r="BQ52" s="443"/>
      <c r="BR52" s="443"/>
      <c r="BS52" s="443"/>
      <c r="BT52" s="443"/>
      <c r="BU52" s="447"/>
    </row>
    <row r="53" spans="1:73" ht="15" customHeight="1" x14ac:dyDescent="0.2">
      <c r="A53" s="1968"/>
      <c r="B53" s="444"/>
      <c r="C53" s="453"/>
      <c r="D53" s="443"/>
      <c r="E53" s="443"/>
      <c r="F53" s="443"/>
      <c r="G53" s="443"/>
      <c r="H53" s="443"/>
      <c r="I53" s="443"/>
      <c r="J53" s="443"/>
      <c r="K53" s="443"/>
      <c r="L53" s="443"/>
      <c r="M53" s="443"/>
      <c r="N53" s="443"/>
      <c r="O53" s="443"/>
      <c r="P53" s="443"/>
      <c r="Q53" s="443"/>
      <c r="R53" s="443"/>
      <c r="S53" s="443"/>
      <c r="T53" s="443"/>
      <c r="U53" s="443"/>
      <c r="V53" s="443"/>
      <c r="W53" s="443"/>
      <c r="X53" s="443"/>
      <c r="Y53" s="443"/>
      <c r="Z53" s="443"/>
      <c r="AA53" s="443"/>
      <c r="AB53" s="443"/>
      <c r="AC53" s="443"/>
      <c r="AD53" s="443"/>
      <c r="AE53" s="443"/>
      <c r="AF53" s="443"/>
      <c r="AG53" s="443"/>
      <c r="AH53" s="443"/>
      <c r="AI53" s="443"/>
      <c r="AJ53" s="443"/>
      <c r="AK53" s="553"/>
      <c r="AL53" s="553"/>
      <c r="AM53" s="549"/>
      <c r="AN53" s="443"/>
      <c r="AO53" s="443"/>
      <c r="AP53" s="443"/>
      <c r="AQ53" s="443"/>
      <c r="AR53" s="443"/>
      <c r="AS53" s="443"/>
      <c r="AT53" s="443"/>
      <c r="AU53" s="443"/>
      <c r="AV53" s="443"/>
      <c r="AW53" s="443"/>
      <c r="AX53" s="443"/>
      <c r="AY53" s="443"/>
      <c r="AZ53" s="443"/>
      <c r="BA53" s="443"/>
      <c r="BB53" s="443"/>
      <c r="BC53" s="443"/>
      <c r="BD53" s="443"/>
      <c r="BE53" s="443"/>
      <c r="BF53" s="443"/>
      <c r="BG53" s="443"/>
      <c r="BH53" s="443"/>
      <c r="BI53" s="443"/>
      <c r="BJ53" s="443"/>
      <c r="BK53" s="443"/>
      <c r="BL53" s="443"/>
      <c r="BM53" s="443"/>
      <c r="BN53" s="443"/>
      <c r="BO53" s="443"/>
      <c r="BP53" s="443"/>
      <c r="BQ53" s="443"/>
      <c r="BR53" s="443"/>
      <c r="BS53" s="443"/>
      <c r="BT53" s="443"/>
      <c r="BU53" s="447"/>
    </row>
    <row r="54" spans="1:73" ht="15" customHeight="1" x14ac:dyDescent="0.2">
      <c r="A54" s="1968"/>
      <c r="B54" s="444"/>
      <c r="C54" s="453"/>
      <c r="D54" s="443"/>
      <c r="E54" s="443"/>
      <c r="F54" s="443"/>
      <c r="G54" s="443"/>
      <c r="H54" s="443"/>
      <c r="I54" s="443"/>
      <c r="J54" s="443"/>
      <c r="K54" s="443"/>
      <c r="L54" s="443"/>
      <c r="M54" s="443"/>
      <c r="N54" s="443"/>
      <c r="O54" s="443"/>
      <c r="P54" s="443"/>
      <c r="Q54" s="443"/>
      <c r="R54" s="443"/>
      <c r="S54" s="443"/>
      <c r="T54" s="443"/>
      <c r="U54" s="443"/>
      <c r="V54" s="443"/>
      <c r="W54" s="443"/>
      <c r="X54" s="443"/>
      <c r="Y54" s="443"/>
      <c r="Z54" s="443"/>
      <c r="AA54" s="443"/>
      <c r="AB54" s="443"/>
      <c r="AC54" s="443"/>
      <c r="AD54" s="443"/>
      <c r="AE54" s="443"/>
      <c r="AF54" s="443"/>
      <c r="AG54" s="443"/>
      <c r="AH54" s="443"/>
      <c r="AI54" s="443"/>
      <c r="AJ54" s="443"/>
      <c r="AK54" s="553"/>
      <c r="AL54" s="553"/>
      <c r="AM54" s="549"/>
      <c r="AN54" s="443"/>
      <c r="AO54" s="443"/>
      <c r="AP54" s="443"/>
      <c r="AQ54" s="443"/>
      <c r="AR54" s="443"/>
      <c r="AS54" s="443"/>
      <c r="AT54" s="443"/>
      <c r="AU54" s="443"/>
      <c r="AV54" s="443"/>
      <c r="AW54" s="443"/>
      <c r="AX54" s="443"/>
      <c r="AY54" s="443"/>
      <c r="AZ54" s="443"/>
      <c r="BA54" s="443"/>
      <c r="BB54" s="443"/>
      <c r="BC54" s="443"/>
      <c r="BD54" s="443"/>
      <c r="BE54" s="443"/>
      <c r="BF54" s="443"/>
      <c r="BG54" s="443"/>
      <c r="BH54" s="443"/>
      <c r="BI54" s="443"/>
      <c r="BJ54" s="443"/>
      <c r="BK54" s="443"/>
      <c r="BL54" s="443"/>
      <c r="BM54" s="443"/>
      <c r="BN54" s="443"/>
      <c r="BO54" s="443"/>
      <c r="BP54" s="443"/>
      <c r="BQ54" s="443"/>
      <c r="BR54" s="443"/>
      <c r="BS54" s="443"/>
      <c r="BT54" s="443"/>
      <c r="BU54" s="447"/>
    </row>
    <row r="55" spans="1:73" ht="15" customHeight="1" x14ac:dyDescent="0.2">
      <c r="A55" s="1968"/>
      <c r="B55" s="444"/>
      <c r="C55" s="453"/>
      <c r="D55" s="443"/>
      <c r="E55" s="443"/>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553"/>
      <c r="AL55" s="553"/>
      <c r="AM55" s="549"/>
      <c r="AN55" s="443"/>
      <c r="AO55" s="443"/>
      <c r="AP55" s="443"/>
      <c r="AQ55" s="443"/>
      <c r="AR55" s="443"/>
      <c r="AS55" s="443"/>
      <c r="AT55" s="443"/>
      <c r="AU55" s="443"/>
      <c r="AV55" s="443"/>
      <c r="AW55" s="443"/>
      <c r="AX55" s="443"/>
      <c r="AY55" s="443"/>
      <c r="AZ55" s="443"/>
      <c r="BA55" s="443"/>
      <c r="BB55" s="443"/>
      <c r="BC55" s="443"/>
      <c r="BD55" s="443"/>
      <c r="BE55" s="443"/>
      <c r="BF55" s="443"/>
      <c r="BG55" s="443"/>
      <c r="BH55" s="443"/>
      <c r="BI55" s="443"/>
      <c r="BJ55" s="443"/>
      <c r="BK55" s="443"/>
      <c r="BL55" s="443"/>
      <c r="BM55" s="443"/>
      <c r="BN55" s="443"/>
      <c r="BO55" s="443"/>
      <c r="BP55" s="443"/>
      <c r="BQ55" s="443"/>
      <c r="BR55" s="443"/>
      <c r="BS55" s="443"/>
      <c r="BT55" s="443"/>
      <c r="BU55" s="447"/>
    </row>
    <row r="56" spans="1:73" ht="15" customHeight="1" x14ac:dyDescent="0.2">
      <c r="A56" s="1968"/>
      <c r="B56" s="444"/>
      <c r="C56" s="453"/>
      <c r="D56" s="443"/>
      <c r="E56" s="443"/>
      <c r="F56" s="443"/>
      <c r="G56" s="443"/>
      <c r="H56" s="443"/>
      <c r="I56" s="443"/>
      <c r="J56" s="443"/>
      <c r="K56" s="443"/>
      <c r="L56" s="443"/>
      <c r="M56" s="443"/>
      <c r="N56" s="443"/>
      <c r="O56" s="443"/>
      <c r="P56" s="443"/>
      <c r="Q56" s="443"/>
      <c r="R56" s="443"/>
      <c r="S56" s="443"/>
      <c r="T56" s="443"/>
      <c r="U56" s="443"/>
      <c r="V56" s="443"/>
      <c r="W56" s="443"/>
      <c r="X56" s="443"/>
      <c r="Y56" s="443"/>
      <c r="Z56" s="443"/>
      <c r="AA56" s="443"/>
      <c r="AB56" s="443"/>
      <c r="AC56" s="443"/>
      <c r="AD56" s="443"/>
      <c r="AE56" s="443"/>
      <c r="AF56" s="443"/>
      <c r="AG56" s="443"/>
      <c r="AH56" s="443"/>
      <c r="AI56" s="443"/>
      <c r="AJ56" s="443"/>
      <c r="AK56" s="553"/>
      <c r="AL56" s="553"/>
      <c r="AM56" s="549"/>
      <c r="AN56" s="443"/>
      <c r="AO56" s="443"/>
      <c r="AP56" s="443"/>
      <c r="AQ56" s="443"/>
      <c r="AR56" s="443"/>
      <c r="AS56" s="443"/>
      <c r="AT56" s="443"/>
      <c r="AU56" s="443"/>
      <c r="AV56" s="443"/>
      <c r="AW56" s="443"/>
      <c r="AX56" s="443"/>
      <c r="AY56" s="443"/>
      <c r="AZ56" s="443"/>
      <c r="BA56" s="443"/>
      <c r="BB56" s="443"/>
      <c r="BC56" s="443"/>
      <c r="BD56" s="443"/>
      <c r="BE56" s="443"/>
      <c r="BF56" s="443"/>
      <c r="BG56" s="443"/>
      <c r="BH56" s="443"/>
      <c r="BI56" s="443"/>
      <c r="BJ56" s="443"/>
      <c r="BK56" s="443"/>
      <c r="BL56" s="443"/>
      <c r="BM56" s="443"/>
      <c r="BN56" s="443"/>
      <c r="BO56" s="443"/>
      <c r="BP56" s="443"/>
      <c r="BQ56" s="443"/>
      <c r="BR56" s="443"/>
      <c r="BS56" s="443"/>
      <c r="BT56" s="443"/>
      <c r="BU56" s="447"/>
    </row>
    <row r="57" spans="1:73" ht="15" customHeight="1" x14ac:dyDescent="0.2">
      <c r="A57" s="1968"/>
      <c r="B57" s="444"/>
      <c r="C57" s="453"/>
      <c r="D57" s="443"/>
      <c r="E57" s="443"/>
      <c r="F57" s="443"/>
      <c r="G57" s="443"/>
      <c r="H57" s="443"/>
      <c r="I57" s="443"/>
      <c r="J57" s="443"/>
      <c r="K57" s="443"/>
      <c r="L57" s="443"/>
      <c r="M57" s="443"/>
      <c r="N57" s="443"/>
      <c r="O57" s="443"/>
      <c r="P57" s="443"/>
      <c r="Q57" s="443"/>
      <c r="R57" s="443"/>
      <c r="S57" s="443"/>
      <c r="T57" s="443"/>
      <c r="U57" s="443"/>
      <c r="V57" s="443"/>
      <c r="W57" s="443"/>
      <c r="X57" s="443"/>
      <c r="Y57" s="443"/>
      <c r="Z57" s="443"/>
      <c r="AA57" s="443"/>
      <c r="AB57" s="443"/>
      <c r="AC57" s="443"/>
      <c r="AD57" s="443"/>
      <c r="AE57" s="443"/>
      <c r="AF57" s="443"/>
      <c r="AG57" s="443"/>
      <c r="AH57" s="443"/>
      <c r="AI57" s="443"/>
      <c r="AJ57" s="443"/>
      <c r="AK57" s="553"/>
      <c r="AL57" s="553"/>
      <c r="AM57" s="549"/>
      <c r="AN57" s="443"/>
      <c r="AO57" s="443"/>
      <c r="AP57" s="443"/>
      <c r="AQ57" s="443"/>
      <c r="AR57" s="443"/>
      <c r="AS57" s="443"/>
      <c r="AT57" s="443"/>
      <c r="AU57" s="443"/>
      <c r="AV57" s="443"/>
      <c r="AW57" s="443"/>
      <c r="AX57" s="443"/>
      <c r="AY57" s="443"/>
      <c r="AZ57" s="443"/>
      <c r="BA57" s="443"/>
      <c r="BB57" s="443"/>
      <c r="BC57" s="443"/>
      <c r="BD57" s="443"/>
      <c r="BE57" s="443"/>
      <c r="BF57" s="443"/>
      <c r="BG57" s="443"/>
      <c r="BH57" s="443"/>
      <c r="BI57" s="443"/>
      <c r="BJ57" s="443"/>
      <c r="BK57" s="443"/>
      <c r="BL57" s="443"/>
      <c r="BM57" s="443"/>
      <c r="BN57" s="443"/>
      <c r="BO57" s="443"/>
      <c r="BP57" s="443"/>
      <c r="BQ57" s="443"/>
      <c r="BR57" s="443"/>
      <c r="BS57" s="443"/>
      <c r="BT57" s="443"/>
      <c r="BU57" s="447"/>
    </row>
    <row r="58" spans="1:73" ht="15" customHeight="1" x14ac:dyDescent="0.2">
      <c r="A58" s="1968"/>
      <c r="B58" s="444"/>
      <c r="C58" s="453"/>
      <c r="D58" s="443"/>
      <c r="E58" s="443"/>
      <c r="F58" s="443"/>
      <c r="G58" s="443"/>
      <c r="H58" s="443"/>
      <c r="I58" s="443"/>
      <c r="J58" s="443"/>
      <c r="K58" s="443"/>
      <c r="L58" s="443"/>
      <c r="M58" s="443"/>
      <c r="N58" s="443"/>
      <c r="O58" s="443"/>
      <c r="P58" s="443"/>
      <c r="Q58" s="443"/>
      <c r="R58" s="443"/>
      <c r="S58" s="443"/>
      <c r="T58" s="443"/>
      <c r="U58" s="443"/>
      <c r="V58" s="443"/>
      <c r="W58" s="443"/>
      <c r="X58" s="443"/>
      <c r="Y58" s="443"/>
      <c r="Z58" s="443"/>
      <c r="AA58" s="443"/>
      <c r="AB58" s="443"/>
      <c r="AC58" s="443"/>
      <c r="AD58" s="443"/>
      <c r="AE58" s="443"/>
      <c r="AF58" s="443"/>
      <c r="AG58" s="443"/>
      <c r="AH58" s="443"/>
      <c r="AI58" s="443"/>
      <c r="AJ58" s="443"/>
      <c r="AK58" s="553"/>
      <c r="AL58" s="553"/>
      <c r="AM58" s="549"/>
      <c r="AN58" s="443"/>
      <c r="AO58" s="443"/>
      <c r="AP58" s="443"/>
      <c r="AQ58" s="443"/>
      <c r="AR58" s="443"/>
      <c r="AS58" s="443"/>
      <c r="AT58" s="443"/>
      <c r="AU58" s="443"/>
      <c r="AV58" s="443"/>
      <c r="AW58" s="443"/>
      <c r="AX58" s="443"/>
      <c r="AY58" s="443"/>
      <c r="AZ58" s="443"/>
      <c r="BA58" s="443"/>
      <c r="BB58" s="443"/>
      <c r="BC58" s="443"/>
      <c r="BD58" s="443"/>
      <c r="BE58" s="443"/>
      <c r="BF58" s="443"/>
      <c r="BG58" s="443"/>
      <c r="BH58" s="443"/>
      <c r="BI58" s="443"/>
      <c r="BJ58" s="443"/>
      <c r="BK58" s="443"/>
      <c r="BL58" s="443"/>
      <c r="BM58" s="443"/>
      <c r="BN58" s="443"/>
      <c r="BO58" s="443"/>
      <c r="BP58" s="443"/>
      <c r="BQ58" s="443"/>
      <c r="BR58" s="443"/>
      <c r="BS58" s="443"/>
      <c r="BT58" s="443"/>
      <c r="BU58" s="447"/>
    </row>
    <row r="59" spans="1:73" ht="15" customHeight="1" x14ac:dyDescent="0.2">
      <c r="A59" s="1968"/>
      <c r="B59" s="444"/>
      <c r="C59" s="453"/>
      <c r="D59" s="443"/>
      <c r="E59" s="443"/>
      <c r="F59" s="443"/>
      <c r="G59" s="443"/>
      <c r="H59" s="443"/>
      <c r="I59" s="443"/>
      <c r="J59" s="443"/>
      <c r="K59" s="443"/>
      <c r="L59" s="443"/>
      <c r="M59" s="443"/>
      <c r="N59" s="443"/>
      <c r="O59" s="443"/>
      <c r="P59" s="443"/>
      <c r="Q59" s="443"/>
      <c r="R59" s="443"/>
      <c r="S59" s="443"/>
      <c r="T59" s="443"/>
      <c r="U59" s="443"/>
      <c r="V59" s="443"/>
      <c r="W59" s="443"/>
      <c r="X59" s="443"/>
      <c r="Y59" s="443"/>
      <c r="Z59" s="443"/>
      <c r="AA59" s="443"/>
      <c r="AB59" s="443"/>
      <c r="AC59" s="443"/>
      <c r="AD59" s="443"/>
      <c r="AE59" s="443"/>
      <c r="AF59" s="443"/>
      <c r="AG59" s="443"/>
      <c r="AH59" s="443"/>
      <c r="AI59" s="443"/>
      <c r="AJ59" s="443"/>
      <c r="AK59" s="553"/>
      <c r="AL59" s="553"/>
      <c r="AM59" s="549"/>
      <c r="AN59" s="443"/>
      <c r="AO59" s="443"/>
      <c r="AP59" s="443"/>
      <c r="AQ59" s="443"/>
      <c r="AR59" s="443"/>
      <c r="AS59" s="443"/>
      <c r="AT59" s="443"/>
      <c r="AU59" s="443"/>
      <c r="AV59" s="443"/>
      <c r="AW59" s="443"/>
      <c r="AX59" s="443"/>
      <c r="AY59" s="443"/>
      <c r="AZ59" s="443"/>
      <c r="BA59" s="443"/>
      <c r="BB59" s="443"/>
      <c r="BC59" s="443"/>
      <c r="BD59" s="443"/>
      <c r="BE59" s="443"/>
      <c r="BF59" s="443"/>
      <c r="BG59" s="443"/>
      <c r="BH59" s="443"/>
      <c r="BI59" s="443"/>
      <c r="BJ59" s="443"/>
      <c r="BK59" s="443"/>
      <c r="BL59" s="443"/>
      <c r="BM59" s="443"/>
      <c r="BN59" s="443"/>
      <c r="BO59" s="443"/>
      <c r="BP59" s="443"/>
      <c r="BQ59" s="443"/>
      <c r="BR59" s="443"/>
      <c r="BS59" s="443"/>
      <c r="BT59" s="443"/>
      <c r="BU59" s="447"/>
    </row>
    <row r="60" spans="1:73" ht="15" customHeight="1" x14ac:dyDescent="0.2">
      <c r="A60" s="1968"/>
      <c r="B60" s="444"/>
      <c r="C60" s="453"/>
      <c r="D60" s="443"/>
      <c r="E60" s="443"/>
      <c r="F60" s="443"/>
      <c r="G60" s="443"/>
      <c r="H60" s="443"/>
      <c r="I60" s="443"/>
      <c r="J60" s="443"/>
      <c r="K60" s="443"/>
      <c r="L60" s="443"/>
      <c r="M60" s="443"/>
      <c r="N60" s="443"/>
      <c r="O60" s="443"/>
      <c r="P60" s="443"/>
      <c r="Q60" s="443"/>
      <c r="R60" s="443"/>
      <c r="S60" s="443"/>
      <c r="T60" s="443"/>
      <c r="U60" s="443"/>
      <c r="V60" s="443"/>
      <c r="W60" s="443"/>
      <c r="X60" s="443"/>
      <c r="Y60" s="443"/>
      <c r="Z60" s="443"/>
      <c r="AA60" s="443"/>
      <c r="AB60" s="443"/>
      <c r="AC60" s="443"/>
      <c r="AD60" s="443"/>
      <c r="AE60" s="443"/>
      <c r="AF60" s="443"/>
      <c r="AG60" s="443"/>
      <c r="AH60" s="443"/>
      <c r="AI60" s="443"/>
      <c r="AJ60" s="443"/>
      <c r="AK60" s="553"/>
      <c r="AL60" s="553"/>
      <c r="AM60" s="549"/>
      <c r="AN60" s="443"/>
      <c r="AO60" s="443"/>
      <c r="AP60" s="443"/>
      <c r="AQ60" s="443"/>
      <c r="AR60" s="443"/>
      <c r="AS60" s="443"/>
      <c r="AT60" s="443"/>
      <c r="AU60" s="443"/>
      <c r="AV60" s="443"/>
      <c r="AW60" s="443"/>
      <c r="AX60" s="443"/>
      <c r="AY60" s="443"/>
      <c r="AZ60" s="443"/>
      <c r="BA60" s="443"/>
      <c r="BB60" s="443"/>
      <c r="BC60" s="443"/>
      <c r="BD60" s="443"/>
      <c r="BE60" s="443"/>
      <c r="BF60" s="443"/>
      <c r="BG60" s="443"/>
      <c r="BH60" s="443"/>
      <c r="BI60" s="443"/>
      <c r="BJ60" s="443"/>
      <c r="BK60" s="443"/>
      <c r="BL60" s="443"/>
      <c r="BM60" s="443"/>
      <c r="BN60" s="443"/>
      <c r="BO60" s="443"/>
      <c r="BP60" s="443"/>
      <c r="BQ60" s="443"/>
      <c r="BR60" s="443"/>
      <c r="BS60" s="443"/>
      <c r="BT60" s="443"/>
      <c r="BU60" s="447"/>
    </row>
    <row r="61" spans="1:73" ht="15" customHeight="1" x14ac:dyDescent="0.2">
      <c r="A61" s="1968"/>
      <c r="B61" s="444"/>
      <c r="C61" s="453"/>
      <c r="D61" s="443"/>
      <c r="E61" s="443"/>
      <c r="F61" s="443"/>
      <c r="G61" s="443"/>
      <c r="H61" s="443"/>
      <c r="I61" s="443"/>
      <c r="J61" s="443"/>
      <c r="K61" s="443"/>
      <c r="L61" s="443"/>
      <c r="M61" s="443"/>
      <c r="N61" s="443"/>
      <c r="O61" s="443"/>
      <c r="P61" s="443"/>
      <c r="Q61" s="443"/>
      <c r="R61" s="443"/>
      <c r="S61" s="443"/>
      <c r="T61" s="443"/>
      <c r="U61" s="443"/>
      <c r="V61" s="443"/>
      <c r="W61" s="443"/>
      <c r="X61" s="443"/>
      <c r="Y61" s="443"/>
      <c r="Z61" s="443"/>
      <c r="AA61" s="443"/>
      <c r="AB61" s="443"/>
      <c r="AC61" s="443"/>
      <c r="AD61" s="443"/>
      <c r="AE61" s="443"/>
      <c r="AF61" s="443"/>
      <c r="AG61" s="443"/>
      <c r="AH61" s="443"/>
      <c r="AI61" s="443"/>
      <c r="AJ61" s="443"/>
      <c r="AK61" s="553"/>
      <c r="AL61" s="553"/>
      <c r="AM61" s="553"/>
      <c r="AN61" s="443"/>
      <c r="AO61" s="443"/>
      <c r="AP61" s="443"/>
      <c r="AQ61" s="443"/>
      <c r="AR61" s="443"/>
      <c r="AS61" s="443"/>
      <c r="AT61" s="443"/>
      <c r="AU61" s="443"/>
      <c r="AV61" s="443"/>
      <c r="AW61" s="443"/>
      <c r="AX61" s="443"/>
      <c r="AY61" s="443"/>
      <c r="AZ61" s="443"/>
      <c r="BA61" s="443"/>
      <c r="BB61" s="443"/>
      <c r="BC61" s="443"/>
      <c r="BD61" s="443"/>
      <c r="BE61" s="443"/>
      <c r="BF61" s="443"/>
      <c r="BG61" s="443"/>
      <c r="BH61" s="443"/>
      <c r="BI61" s="443"/>
      <c r="BJ61" s="443"/>
      <c r="BK61" s="443"/>
      <c r="BL61" s="443"/>
      <c r="BM61" s="443"/>
      <c r="BN61" s="443"/>
      <c r="BO61" s="443"/>
      <c r="BP61" s="443"/>
      <c r="BQ61" s="443"/>
      <c r="BR61" s="443"/>
      <c r="BS61" s="443"/>
      <c r="BT61" s="443"/>
      <c r="BU61" s="447"/>
    </row>
    <row r="62" spans="1:73" ht="15" customHeight="1" x14ac:dyDescent="0.2">
      <c r="A62" s="1968"/>
      <c r="B62" s="444"/>
      <c r="C62" s="453"/>
      <c r="D62" s="443"/>
      <c r="E62" s="443"/>
      <c r="F62" s="443"/>
      <c r="G62" s="443"/>
      <c r="H62" s="443"/>
      <c r="I62" s="443"/>
      <c r="J62" s="443"/>
      <c r="K62" s="443"/>
      <c r="L62" s="443"/>
      <c r="M62" s="443"/>
      <c r="N62" s="443"/>
      <c r="O62" s="443"/>
      <c r="P62" s="443"/>
      <c r="Q62" s="443"/>
      <c r="R62" s="443"/>
      <c r="S62" s="443"/>
      <c r="T62" s="443"/>
      <c r="U62" s="443"/>
      <c r="V62" s="443"/>
      <c r="W62" s="443"/>
      <c r="X62" s="443"/>
      <c r="Y62" s="443"/>
      <c r="Z62" s="443"/>
      <c r="AA62" s="443"/>
      <c r="AB62" s="443"/>
      <c r="AC62" s="443"/>
      <c r="AD62" s="443"/>
      <c r="AE62" s="443"/>
      <c r="AF62" s="443"/>
      <c r="AG62" s="443"/>
      <c r="AH62" s="443"/>
      <c r="AI62" s="443"/>
      <c r="AJ62" s="443"/>
      <c r="AK62" s="553"/>
      <c r="AL62" s="553"/>
      <c r="AM62" s="549"/>
      <c r="AN62" s="443"/>
      <c r="AO62" s="443"/>
      <c r="AP62" s="443"/>
      <c r="AQ62" s="443"/>
      <c r="AR62" s="443"/>
      <c r="AS62" s="443"/>
      <c r="AT62" s="443"/>
      <c r="AU62" s="443"/>
      <c r="AV62" s="443"/>
      <c r="AW62" s="443"/>
      <c r="AX62" s="443"/>
      <c r="AY62" s="443"/>
      <c r="AZ62" s="443"/>
      <c r="BA62" s="443"/>
      <c r="BB62" s="443"/>
      <c r="BC62" s="443"/>
      <c r="BD62" s="443"/>
      <c r="BE62" s="443"/>
      <c r="BF62" s="443"/>
      <c r="BG62" s="443"/>
      <c r="BH62" s="443"/>
      <c r="BI62" s="443"/>
      <c r="BJ62" s="443"/>
      <c r="BK62" s="443"/>
      <c r="BL62" s="443"/>
      <c r="BM62" s="443"/>
      <c r="BN62" s="443"/>
      <c r="BO62" s="443"/>
      <c r="BP62" s="443"/>
      <c r="BQ62" s="443"/>
      <c r="BR62" s="443"/>
      <c r="BS62" s="443"/>
      <c r="BT62" s="443"/>
      <c r="BU62" s="447"/>
    </row>
    <row r="63" spans="1:73" ht="15" customHeight="1" x14ac:dyDescent="0.2">
      <c r="A63" s="1968"/>
      <c r="B63" s="444"/>
      <c r="C63" s="453"/>
      <c r="D63" s="443"/>
      <c r="E63" s="443"/>
      <c r="F63" s="443"/>
      <c r="G63" s="443"/>
      <c r="H63" s="443"/>
      <c r="I63" s="443"/>
      <c r="J63" s="443"/>
      <c r="K63" s="443"/>
      <c r="L63" s="443"/>
      <c r="M63" s="443"/>
      <c r="N63" s="443"/>
      <c r="O63" s="443"/>
      <c r="P63" s="443"/>
      <c r="Q63" s="443"/>
      <c r="R63" s="443"/>
      <c r="S63" s="443"/>
      <c r="T63" s="443"/>
      <c r="U63" s="443"/>
      <c r="V63" s="443"/>
      <c r="W63" s="443"/>
      <c r="X63" s="443"/>
      <c r="Y63" s="443"/>
      <c r="Z63" s="443"/>
      <c r="AA63" s="443"/>
      <c r="AB63" s="443"/>
      <c r="AC63" s="443"/>
      <c r="AD63" s="443"/>
      <c r="AE63" s="443"/>
      <c r="AF63" s="443"/>
      <c r="AG63" s="443"/>
      <c r="AH63" s="443"/>
      <c r="AI63" s="443"/>
      <c r="AJ63" s="443"/>
      <c r="AK63" s="553"/>
      <c r="AL63" s="553"/>
      <c r="AM63" s="549"/>
      <c r="AN63" s="443"/>
      <c r="AO63" s="443"/>
      <c r="AP63" s="443"/>
      <c r="AQ63" s="443"/>
      <c r="AR63" s="443"/>
      <c r="AS63" s="443"/>
      <c r="AT63" s="443"/>
      <c r="AU63" s="443"/>
      <c r="AV63" s="443"/>
      <c r="AW63" s="443"/>
      <c r="AX63" s="443"/>
      <c r="AY63" s="443"/>
      <c r="AZ63" s="443"/>
      <c r="BA63" s="443"/>
      <c r="BB63" s="443"/>
      <c r="BC63" s="443"/>
      <c r="BD63" s="443"/>
      <c r="BE63" s="443"/>
      <c r="BF63" s="443"/>
      <c r="BG63" s="443"/>
      <c r="BH63" s="443"/>
      <c r="BI63" s="443"/>
      <c r="BJ63" s="443"/>
      <c r="BK63" s="443"/>
      <c r="BL63" s="443"/>
      <c r="BM63" s="443"/>
      <c r="BN63" s="443"/>
      <c r="BO63" s="443"/>
      <c r="BP63" s="443"/>
      <c r="BQ63" s="443"/>
      <c r="BR63" s="443"/>
      <c r="BS63" s="443"/>
      <c r="BT63" s="443"/>
      <c r="BU63" s="447"/>
    </row>
    <row r="64" spans="1:73" ht="15" customHeight="1" x14ac:dyDescent="0.2">
      <c r="A64" s="1968"/>
      <c r="B64" s="444"/>
      <c r="C64" s="1969" t="s">
        <v>1846</v>
      </c>
      <c r="D64" s="1974"/>
      <c r="E64" s="1974"/>
      <c r="F64" s="1974"/>
      <c r="G64" s="1974"/>
      <c r="H64" s="1974"/>
      <c r="I64" s="1974"/>
      <c r="J64" s="1974"/>
      <c r="K64" s="1974"/>
      <c r="L64" s="1974"/>
      <c r="M64" s="1974"/>
      <c r="N64" s="1974"/>
      <c r="O64" s="1974"/>
      <c r="P64" s="1974"/>
      <c r="Q64" s="1974"/>
      <c r="R64" s="1974"/>
      <c r="S64" s="1974"/>
      <c r="T64" s="1974"/>
      <c r="U64" s="1974"/>
      <c r="V64" s="1974"/>
      <c r="W64" s="1974"/>
      <c r="X64" s="1974"/>
      <c r="Y64" s="1974"/>
      <c r="Z64" s="1974"/>
      <c r="AA64" s="1974"/>
      <c r="AB64" s="1974"/>
      <c r="AC64" s="1974"/>
      <c r="AD64" s="1974"/>
      <c r="AE64" s="1974"/>
      <c r="AF64" s="1974"/>
      <c r="AG64" s="1974"/>
      <c r="AH64" s="1974"/>
      <c r="AI64" s="1974"/>
      <c r="AJ64" s="1974"/>
      <c r="AK64" s="1974"/>
      <c r="AL64" s="550"/>
      <c r="AM64" s="547"/>
      <c r="AN64" s="1969" t="s">
        <v>765</v>
      </c>
      <c r="AO64" s="1969"/>
      <c r="AP64" s="1969"/>
      <c r="AQ64" s="1969"/>
      <c r="AR64" s="1969"/>
      <c r="AS64" s="1969"/>
      <c r="AT64" s="1969"/>
      <c r="AU64" s="1969"/>
      <c r="AV64" s="1969"/>
      <c r="AW64" s="1969"/>
      <c r="AX64" s="1969"/>
      <c r="AY64" s="1969"/>
      <c r="AZ64" s="1969"/>
      <c r="BA64" s="1969"/>
      <c r="BB64" s="1969"/>
      <c r="BC64" s="1969"/>
      <c r="BD64" s="1969"/>
      <c r="BE64" s="1969"/>
      <c r="BF64" s="1969"/>
      <c r="BG64" s="1969"/>
      <c r="BH64" s="1969"/>
      <c r="BI64" s="1969"/>
      <c r="BJ64" s="1969"/>
      <c r="BK64" s="1969"/>
      <c r="BL64" s="1969"/>
      <c r="BM64" s="1969"/>
      <c r="BN64" s="1969"/>
      <c r="BO64" s="1969"/>
      <c r="BP64" s="1969"/>
      <c r="BQ64" s="1969"/>
      <c r="BR64" s="1969"/>
      <c r="BS64" s="1969"/>
      <c r="BT64" s="1969"/>
      <c r="BU64" s="1970"/>
    </row>
    <row r="65" spans="1:73" ht="15" customHeight="1" x14ac:dyDescent="0.2">
      <c r="A65" s="1968"/>
      <c r="B65" s="444"/>
      <c r="C65" s="45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553"/>
      <c r="AL65" s="553"/>
      <c r="AM65" s="549"/>
      <c r="AN65" s="443"/>
      <c r="AO65" s="443"/>
      <c r="AP65" s="443"/>
      <c r="AQ65" s="443"/>
      <c r="AR65" s="443"/>
      <c r="AS65" s="443"/>
      <c r="AT65" s="443"/>
      <c r="AU65" s="443"/>
      <c r="AV65" s="443"/>
      <c r="AW65" s="443"/>
      <c r="AX65" s="443"/>
      <c r="AY65" s="443"/>
      <c r="AZ65" s="443"/>
      <c r="BA65" s="443"/>
      <c r="BB65" s="443"/>
      <c r="BC65" s="443"/>
      <c r="BD65" s="443"/>
      <c r="BE65" s="443"/>
      <c r="BF65" s="443"/>
      <c r="BG65" s="443"/>
      <c r="BH65" s="443"/>
      <c r="BI65" s="443"/>
      <c r="BJ65" s="443"/>
      <c r="BK65" s="443"/>
      <c r="BL65" s="443"/>
      <c r="BM65" s="443"/>
      <c r="BN65" s="443"/>
      <c r="BO65" s="443"/>
      <c r="BP65" s="443"/>
      <c r="BQ65" s="443"/>
      <c r="BR65" s="443"/>
      <c r="BS65" s="443"/>
      <c r="BT65" s="443"/>
      <c r="BU65" s="447"/>
    </row>
    <row r="66" spans="1:73" ht="15" customHeight="1" x14ac:dyDescent="0.2">
      <c r="A66" s="1968"/>
      <c r="B66" s="444"/>
      <c r="C66" s="453"/>
      <c r="D66" s="443"/>
      <c r="E66" s="443"/>
      <c r="F66" s="443"/>
      <c r="G66" s="443"/>
      <c r="H66" s="443"/>
      <c r="I66" s="443"/>
      <c r="J66" s="443"/>
      <c r="K66" s="443"/>
      <c r="L66" s="443"/>
      <c r="M66" s="443"/>
      <c r="N66" s="443"/>
      <c r="O66" s="443"/>
      <c r="P66" s="443"/>
      <c r="Q66" s="443"/>
      <c r="R66" s="443"/>
      <c r="S66" s="443"/>
      <c r="T66" s="443"/>
      <c r="U66" s="443"/>
      <c r="V66" s="443"/>
      <c r="W66" s="443"/>
      <c r="X66" s="443"/>
      <c r="Y66" s="443"/>
      <c r="Z66" s="443"/>
      <c r="AA66" s="443"/>
      <c r="AB66" s="443"/>
      <c r="AC66" s="443"/>
      <c r="AD66" s="443"/>
      <c r="AE66" s="443"/>
      <c r="AF66" s="443"/>
      <c r="AG66" s="443"/>
      <c r="AH66" s="443"/>
      <c r="AI66" s="443"/>
      <c r="AJ66" s="443"/>
      <c r="AK66" s="553"/>
      <c r="AL66" s="553"/>
      <c r="AM66" s="549"/>
      <c r="AN66" s="443"/>
      <c r="AO66" s="443"/>
      <c r="AP66" s="443"/>
      <c r="AQ66" s="443"/>
      <c r="AR66" s="443"/>
      <c r="AS66" s="443"/>
      <c r="AT66" s="443"/>
      <c r="AU66" s="443"/>
      <c r="AV66" s="443"/>
      <c r="AW66" s="443"/>
      <c r="AX66" s="443"/>
      <c r="AY66" s="443"/>
      <c r="AZ66" s="443"/>
      <c r="BA66" s="443"/>
      <c r="BB66" s="443"/>
      <c r="BC66" s="443"/>
      <c r="BD66" s="443"/>
      <c r="BE66" s="443"/>
      <c r="BF66" s="443"/>
      <c r="BG66" s="443"/>
      <c r="BH66" s="443"/>
      <c r="BI66" s="443"/>
      <c r="BJ66" s="443"/>
      <c r="BK66" s="443"/>
      <c r="BL66" s="443"/>
      <c r="BM66" s="443"/>
      <c r="BN66" s="443"/>
      <c r="BO66" s="443"/>
      <c r="BP66" s="443"/>
      <c r="BQ66" s="443"/>
      <c r="BR66" s="443"/>
      <c r="BS66" s="443"/>
      <c r="BT66" s="443"/>
      <c r="BU66" s="447"/>
    </row>
    <row r="67" spans="1:73" ht="15" customHeight="1" x14ac:dyDescent="0.2">
      <c r="A67" s="1968"/>
      <c r="B67" s="444"/>
      <c r="C67" s="453"/>
      <c r="D67" s="443"/>
      <c r="E67" s="443"/>
      <c r="F67" s="443"/>
      <c r="G67" s="443"/>
      <c r="H67" s="443"/>
      <c r="I67" s="443"/>
      <c r="J67" s="443"/>
      <c r="K67" s="443"/>
      <c r="L67" s="443"/>
      <c r="M67" s="443"/>
      <c r="N67" s="443"/>
      <c r="O67" s="443"/>
      <c r="P67" s="443"/>
      <c r="Q67" s="443"/>
      <c r="R67" s="443"/>
      <c r="S67" s="443"/>
      <c r="T67" s="443"/>
      <c r="U67" s="443"/>
      <c r="V67" s="443"/>
      <c r="W67" s="443"/>
      <c r="X67" s="443"/>
      <c r="Y67" s="443"/>
      <c r="Z67" s="443"/>
      <c r="AA67" s="443"/>
      <c r="AB67" s="443"/>
      <c r="AC67" s="443"/>
      <c r="AD67" s="443"/>
      <c r="AE67" s="443"/>
      <c r="AF67" s="443"/>
      <c r="AG67" s="443"/>
      <c r="AH67" s="443"/>
      <c r="AI67" s="443"/>
      <c r="AJ67" s="443"/>
      <c r="AK67" s="553"/>
      <c r="AL67" s="553"/>
      <c r="AM67" s="549"/>
      <c r="AN67" s="443"/>
      <c r="AO67" s="443"/>
      <c r="AP67" s="443"/>
      <c r="AQ67" s="443"/>
      <c r="AR67" s="443"/>
      <c r="AS67" s="443"/>
      <c r="AT67" s="443"/>
      <c r="AU67" s="443"/>
      <c r="AV67" s="443"/>
      <c r="AW67" s="443"/>
      <c r="AX67" s="443"/>
      <c r="AY67" s="443"/>
      <c r="AZ67" s="443"/>
      <c r="BA67" s="443"/>
      <c r="BB67" s="443"/>
      <c r="BC67" s="443"/>
      <c r="BD67" s="443"/>
      <c r="BE67" s="443"/>
      <c r="BF67" s="443"/>
      <c r="BG67" s="443"/>
      <c r="BH67" s="443"/>
      <c r="BI67" s="443"/>
      <c r="BJ67" s="443"/>
      <c r="BK67" s="443"/>
      <c r="BL67" s="443"/>
      <c r="BM67" s="443"/>
      <c r="BN67" s="443"/>
      <c r="BO67" s="443"/>
      <c r="BP67" s="443"/>
      <c r="BQ67" s="443"/>
      <c r="BR67" s="443"/>
      <c r="BS67" s="443"/>
      <c r="BT67" s="443"/>
      <c r="BU67" s="447"/>
    </row>
    <row r="68" spans="1:73" ht="15" customHeight="1" x14ac:dyDescent="0.2">
      <c r="A68" s="1968"/>
      <c r="B68" s="444"/>
      <c r="C68" s="453"/>
      <c r="D68" s="443"/>
      <c r="E68" s="443"/>
      <c r="F68" s="443"/>
      <c r="G68" s="443"/>
      <c r="H68" s="443"/>
      <c r="I68" s="443"/>
      <c r="J68" s="443"/>
      <c r="K68" s="443"/>
      <c r="L68" s="443"/>
      <c r="M68" s="443"/>
      <c r="N68" s="443"/>
      <c r="O68" s="443"/>
      <c r="P68" s="443"/>
      <c r="Q68" s="443"/>
      <c r="R68" s="443"/>
      <c r="S68" s="443"/>
      <c r="T68" s="443"/>
      <c r="U68" s="443"/>
      <c r="V68" s="443"/>
      <c r="W68" s="443"/>
      <c r="X68" s="443"/>
      <c r="Y68" s="443"/>
      <c r="Z68" s="443"/>
      <c r="AA68" s="443"/>
      <c r="AB68" s="443"/>
      <c r="AC68" s="443"/>
      <c r="AD68" s="443"/>
      <c r="AE68" s="443"/>
      <c r="AF68" s="443"/>
      <c r="AG68" s="443"/>
      <c r="AH68" s="443"/>
      <c r="AI68" s="443"/>
      <c r="AJ68" s="443"/>
      <c r="AK68" s="553"/>
      <c r="AL68" s="553"/>
      <c r="AM68" s="549"/>
      <c r="AN68" s="443"/>
      <c r="AO68" s="443"/>
      <c r="AP68" s="443"/>
      <c r="AQ68" s="443"/>
      <c r="AR68" s="443"/>
      <c r="AS68" s="443"/>
      <c r="AT68" s="443"/>
      <c r="AU68" s="443"/>
      <c r="AV68" s="443"/>
      <c r="AW68" s="443"/>
      <c r="AX68" s="443"/>
      <c r="AY68" s="443"/>
      <c r="AZ68" s="443"/>
      <c r="BA68" s="443"/>
      <c r="BB68" s="443"/>
      <c r="BC68" s="443"/>
      <c r="BD68" s="443"/>
      <c r="BE68" s="443"/>
      <c r="BF68" s="443"/>
      <c r="BG68" s="443"/>
      <c r="BH68" s="443"/>
      <c r="BI68" s="443"/>
      <c r="BJ68" s="443"/>
      <c r="BK68" s="443"/>
      <c r="BL68" s="443"/>
      <c r="BM68" s="443"/>
      <c r="BN68" s="443"/>
      <c r="BO68" s="443"/>
      <c r="BP68" s="443"/>
      <c r="BQ68" s="443"/>
      <c r="BR68" s="443"/>
      <c r="BS68" s="443"/>
      <c r="BT68" s="443"/>
      <c r="BU68" s="447"/>
    </row>
    <row r="69" spans="1:73" ht="15" customHeight="1" x14ac:dyDescent="0.2">
      <c r="A69" s="1968"/>
      <c r="B69" s="444"/>
      <c r="C69" s="45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553"/>
      <c r="AL69" s="553"/>
      <c r="AM69" s="549"/>
      <c r="AN69" s="443"/>
      <c r="AO69" s="443"/>
      <c r="AP69" s="443"/>
      <c r="AQ69" s="443"/>
      <c r="AR69" s="443"/>
      <c r="AS69" s="443"/>
      <c r="AT69" s="443"/>
      <c r="AU69" s="443"/>
      <c r="AV69" s="443"/>
      <c r="AW69" s="443"/>
      <c r="AX69" s="443"/>
      <c r="AY69" s="443"/>
      <c r="AZ69" s="443"/>
      <c r="BA69" s="443"/>
      <c r="BB69" s="443"/>
      <c r="BC69" s="443"/>
      <c r="BD69" s="443"/>
      <c r="BE69" s="443"/>
      <c r="BF69" s="443"/>
      <c r="BG69" s="443"/>
      <c r="BH69" s="443"/>
      <c r="BI69" s="443"/>
      <c r="BJ69" s="443"/>
      <c r="BK69" s="443"/>
      <c r="BL69" s="443"/>
      <c r="BM69" s="443"/>
      <c r="BN69" s="443"/>
      <c r="BO69" s="443"/>
      <c r="BP69" s="443"/>
      <c r="BQ69" s="443"/>
      <c r="BR69" s="443"/>
      <c r="BS69" s="443"/>
      <c r="BT69" s="443"/>
      <c r="BU69" s="447"/>
    </row>
    <row r="70" spans="1:73" ht="15" customHeight="1" x14ac:dyDescent="0.2">
      <c r="A70" s="1968"/>
      <c r="B70" s="444"/>
      <c r="C70" s="453"/>
      <c r="D70" s="443"/>
      <c r="E70" s="443"/>
      <c r="F70" s="443"/>
      <c r="G70" s="443"/>
      <c r="H70" s="443"/>
      <c r="I70" s="443"/>
      <c r="J70" s="443"/>
      <c r="K70" s="443"/>
      <c r="L70" s="443"/>
      <c r="M70" s="443"/>
      <c r="N70" s="443"/>
      <c r="O70" s="443"/>
      <c r="P70" s="443"/>
      <c r="Q70" s="443"/>
      <c r="R70" s="443"/>
      <c r="S70" s="443"/>
      <c r="T70" s="443"/>
      <c r="U70" s="443"/>
      <c r="V70" s="443"/>
      <c r="W70" s="443"/>
      <c r="X70" s="443"/>
      <c r="Y70" s="443"/>
      <c r="Z70" s="443"/>
      <c r="AA70" s="443"/>
      <c r="AB70" s="443"/>
      <c r="AC70" s="443"/>
      <c r="AD70" s="443"/>
      <c r="AE70" s="443"/>
      <c r="AF70" s="443"/>
      <c r="AG70" s="443"/>
      <c r="AH70" s="443"/>
      <c r="AI70" s="443"/>
      <c r="AJ70" s="443"/>
      <c r="AK70" s="553"/>
      <c r="AL70" s="553"/>
      <c r="AM70" s="549"/>
      <c r="AN70" s="443"/>
      <c r="AO70" s="443"/>
      <c r="AP70" s="443"/>
      <c r="AQ70" s="443"/>
      <c r="AR70" s="443"/>
      <c r="AS70" s="443"/>
      <c r="AT70" s="443"/>
      <c r="AU70" s="443"/>
      <c r="AV70" s="443"/>
      <c r="AW70" s="443"/>
      <c r="AX70" s="443"/>
      <c r="AY70" s="443"/>
      <c r="AZ70" s="443"/>
      <c r="BA70" s="443"/>
      <c r="BB70" s="443"/>
      <c r="BC70" s="443"/>
      <c r="BD70" s="443"/>
      <c r="BE70" s="443"/>
      <c r="BF70" s="443"/>
      <c r="BG70" s="443"/>
      <c r="BH70" s="443"/>
      <c r="BI70" s="443"/>
      <c r="BJ70" s="443"/>
      <c r="BK70" s="443"/>
      <c r="BL70" s="443"/>
      <c r="BM70" s="443"/>
      <c r="BN70" s="443"/>
      <c r="BO70" s="443"/>
      <c r="BP70" s="443"/>
      <c r="BQ70" s="443"/>
      <c r="BR70" s="443"/>
      <c r="BS70" s="443"/>
      <c r="BT70" s="443"/>
      <c r="BU70" s="447"/>
    </row>
    <row r="71" spans="1:73" ht="15" customHeight="1" x14ac:dyDescent="0.2">
      <c r="A71" s="1968"/>
      <c r="B71" s="444"/>
      <c r="C71" s="45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553"/>
      <c r="AL71" s="553"/>
      <c r="AM71" s="549"/>
      <c r="AN71" s="443"/>
      <c r="AO71" s="443"/>
      <c r="AP71" s="443"/>
      <c r="AQ71" s="443"/>
      <c r="AR71" s="443"/>
      <c r="AS71" s="443"/>
      <c r="AT71" s="443"/>
      <c r="AU71" s="443"/>
      <c r="AV71" s="443"/>
      <c r="AW71" s="443"/>
      <c r="AX71" s="443"/>
      <c r="AY71" s="443"/>
      <c r="AZ71" s="443"/>
      <c r="BA71" s="443"/>
      <c r="BB71" s="443"/>
      <c r="BC71" s="443"/>
      <c r="BD71" s="443"/>
      <c r="BE71" s="443"/>
      <c r="BF71" s="443"/>
      <c r="BG71" s="443"/>
      <c r="BH71" s="443"/>
      <c r="BI71" s="443"/>
      <c r="BJ71" s="443"/>
      <c r="BK71" s="443"/>
      <c r="BL71" s="443"/>
      <c r="BM71" s="443"/>
      <c r="BN71" s="443"/>
      <c r="BO71" s="443"/>
      <c r="BP71" s="443"/>
      <c r="BQ71" s="443"/>
      <c r="BR71" s="443"/>
      <c r="BS71" s="443"/>
      <c r="BT71" s="443"/>
      <c r="BU71" s="447"/>
    </row>
    <row r="72" spans="1:73" ht="15" customHeight="1" x14ac:dyDescent="0.2">
      <c r="A72" s="1968"/>
      <c r="B72" s="444"/>
      <c r="C72" s="453"/>
      <c r="D72" s="443"/>
      <c r="E72" s="443"/>
      <c r="F72" s="443"/>
      <c r="G72" s="443"/>
      <c r="H72" s="443"/>
      <c r="I72" s="443"/>
      <c r="J72" s="443"/>
      <c r="K72" s="443"/>
      <c r="L72" s="443"/>
      <c r="M72" s="443"/>
      <c r="N72" s="443"/>
      <c r="O72" s="443"/>
      <c r="P72" s="443"/>
      <c r="Q72" s="443"/>
      <c r="R72" s="443"/>
      <c r="S72" s="443"/>
      <c r="T72" s="443"/>
      <c r="U72" s="443"/>
      <c r="V72" s="443"/>
      <c r="W72" s="443"/>
      <c r="X72" s="443"/>
      <c r="Y72" s="443"/>
      <c r="Z72" s="443"/>
      <c r="AA72" s="443"/>
      <c r="AB72" s="443"/>
      <c r="AC72" s="443"/>
      <c r="AD72" s="443"/>
      <c r="AE72" s="443"/>
      <c r="AF72" s="443"/>
      <c r="AG72" s="443"/>
      <c r="AH72" s="443"/>
      <c r="AI72" s="443"/>
      <c r="AJ72" s="443"/>
      <c r="AK72" s="553"/>
      <c r="AL72" s="553"/>
      <c r="AM72" s="549"/>
      <c r="AN72" s="443"/>
      <c r="AO72" s="443"/>
      <c r="AP72" s="443"/>
      <c r="AQ72" s="443"/>
      <c r="AR72" s="443"/>
      <c r="AS72" s="443"/>
      <c r="AT72" s="443"/>
      <c r="AU72" s="443"/>
      <c r="AV72" s="443"/>
      <c r="AW72" s="443"/>
      <c r="AX72" s="443"/>
      <c r="AY72" s="443"/>
      <c r="AZ72" s="443"/>
      <c r="BA72" s="443"/>
      <c r="BB72" s="443"/>
      <c r="BC72" s="443"/>
      <c r="BD72" s="443"/>
      <c r="BE72" s="443"/>
      <c r="BF72" s="443"/>
      <c r="BG72" s="443"/>
      <c r="BH72" s="443"/>
      <c r="BI72" s="443"/>
      <c r="BJ72" s="443"/>
      <c r="BK72" s="443"/>
      <c r="BL72" s="443"/>
      <c r="BM72" s="443"/>
      <c r="BN72" s="443"/>
      <c r="BO72" s="443"/>
      <c r="BP72" s="443"/>
      <c r="BQ72" s="443"/>
      <c r="BR72" s="443"/>
      <c r="BS72" s="443"/>
      <c r="BT72" s="443"/>
      <c r="BU72" s="447"/>
    </row>
    <row r="73" spans="1:73" ht="15" customHeight="1" x14ac:dyDescent="0.2">
      <c r="A73" s="1968"/>
      <c r="B73" s="444"/>
      <c r="C73" s="45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553"/>
      <c r="AL73" s="553"/>
      <c r="AM73" s="549"/>
      <c r="AN73" s="443"/>
      <c r="AO73" s="443"/>
      <c r="AP73" s="443"/>
      <c r="AQ73" s="443"/>
      <c r="AR73" s="443"/>
      <c r="AS73" s="443"/>
      <c r="AT73" s="443"/>
      <c r="AU73" s="443"/>
      <c r="AV73" s="443"/>
      <c r="AW73" s="443"/>
      <c r="AX73" s="443"/>
      <c r="AY73" s="443"/>
      <c r="AZ73" s="443"/>
      <c r="BA73" s="443"/>
      <c r="BB73" s="443"/>
      <c r="BC73" s="443"/>
      <c r="BD73" s="443"/>
      <c r="BE73" s="443"/>
      <c r="BF73" s="443"/>
      <c r="BG73" s="443"/>
      <c r="BH73" s="443"/>
      <c r="BI73" s="443"/>
      <c r="BJ73" s="443"/>
      <c r="BK73" s="443"/>
      <c r="BL73" s="443"/>
      <c r="BM73" s="443"/>
      <c r="BN73" s="443"/>
      <c r="BO73" s="443"/>
      <c r="BP73" s="443"/>
      <c r="BQ73" s="443"/>
      <c r="BR73" s="443"/>
      <c r="BS73" s="443"/>
      <c r="BT73" s="443"/>
      <c r="BU73" s="447"/>
    </row>
    <row r="74" spans="1:73" ht="15" customHeight="1" x14ac:dyDescent="0.2">
      <c r="A74" s="1968"/>
      <c r="B74" s="444"/>
      <c r="C74" s="453"/>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553"/>
      <c r="AL74" s="553"/>
      <c r="AM74" s="549"/>
      <c r="AN74" s="443"/>
      <c r="AO74" s="443"/>
      <c r="AP74" s="443"/>
      <c r="AQ74" s="443"/>
      <c r="AR74" s="443"/>
      <c r="AS74" s="443"/>
      <c r="AT74" s="443"/>
      <c r="AU74" s="443"/>
      <c r="AV74" s="443"/>
      <c r="AW74" s="443"/>
      <c r="AX74" s="443"/>
      <c r="AY74" s="443"/>
      <c r="AZ74" s="443"/>
      <c r="BA74" s="443"/>
      <c r="BB74" s="443"/>
      <c r="BC74" s="443"/>
      <c r="BD74" s="443"/>
      <c r="BE74" s="443"/>
      <c r="BF74" s="443"/>
      <c r="BG74" s="443"/>
      <c r="BH74" s="443"/>
      <c r="BI74" s="443"/>
      <c r="BJ74" s="443"/>
      <c r="BK74" s="443"/>
      <c r="BL74" s="443"/>
      <c r="BM74" s="443"/>
      <c r="BN74" s="443"/>
      <c r="BO74" s="443"/>
      <c r="BP74" s="443"/>
      <c r="BQ74" s="443"/>
      <c r="BR74" s="443"/>
      <c r="BS74" s="443"/>
      <c r="BT74" s="443"/>
      <c r="BU74" s="447"/>
    </row>
    <row r="75" spans="1:73" ht="15" customHeight="1" x14ac:dyDescent="0.2">
      <c r="A75" s="1968"/>
      <c r="B75" s="444"/>
      <c r="C75" s="45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553"/>
      <c r="AL75" s="553"/>
      <c r="AM75" s="549"/>
      <c r="AN75" s="443"/>
      <c r="AO75" s="443"/>
      <c r="AP75" s="443"/>
      <c r="AQ75" s="443"/>
      <c r="AR75" s="443"/>
      <c r="AS75" s="443"/>
      <c r="AT75" s="443"/>
      <c r="AU75" s="443"/>
      <c r="AV75" s="443"/>
      <c r="AW75" s="443"/>
      <c r="AX75" s="443"/>
      <c r="AY75" s="443"/>
      <c r="AZ75" s="443"/>
      <c r="BA75" s="443"/>
      <c r="BB75" s="443"/>
      <c r="BC75" s="443"/>
      <c r="BD75" s="443"/>
      <c r="BE75" s="443"/>
      <c r="BF75" s="443"/>
      <c r="BG75" s="443"/>
      <c r="BH75" s="443"/>
      <c r="BI75" s="443"/>
      <c r="BJ75" s="443"/>
      <c r="BK75" s="443"/>
      <c r="BL75" s="443"/>
      <c r="BM75" s="443"/>
      <c r="BN75" s="443"/>
      <c r="BO75" s="443"/>
      <c r="BP75" s="443"/>
      <c r="BQ75" s="443"/>
      <c r="BR75" s="443"/>
      <c r="BS75" s="443"/>
      <c r="BT75" s="443"/>
      <c r="BU75" s="447"/>
    </row>
    <row r="76" spans="1:73" ht="15" customHeight="1" x14ac:dyDescent="0.2">
      <c r="A76" s="1968"/>
      <c r="B76" s="444"/>
      <c r="C76" s="453"/>
      <c r="D76" s="443"/>
      <c r="E76" s="443"/>
      <c r="F76" s="443"/>
      <c r="G76" s="443"/>
      <c r="H76" s="443"/>
      <c r="I76" s="443"/>
      <c r="J76" s="443"/>
      <c r="K76" s="443"/>
      <c r="L76" s="443"/>
      <c r="M76" s="443"/>
      <c r="N76" s="443"/>
      <c r="O76" s="443"/>
      <c r="P76" s="443"/>
      <c r="Q76" s="443"/>
      <c r="R76" s="443"/>
      <c r="S76" s="443"/>
      <c r="T76" s="443"/>
      <c r="U76" s="443"/>
      <c r="V76" s="443"/>
      <c r="W76" s="443"/>
      <c r="X76" s="443"/>
      <c r="Y76" s="443"/>
      <c r="Z76" s="443"/>
      <c r="AA76" s="443"/>
      <c r="AB76" s="443"/>
      <c r="AC76" s="443"/>
      <c r="AD76" s="443"/>
      <c r="AE76" s="443"/>
      <c r="AF76" s="443"/>
      <c r="AG76" s="443"/>
      <c r="AH76" s="443"/>
      <c r="AI76" s="443"/>
      <c r="AJ76" s="443"/>
      <c r="AK76" s="553"/>
      <c r="AL76" s="553"/>
      <c r="AM76" s="549"/>
      <c r="AN76" s="443"/>
      <c r="AO76" s="443"/>
      <c r="AP76" s="443"/>
      <c r="AQ76" s="443"/>
      <c r="AR76" s="443"/>
      <c r="AS76" s="443"/>
      <c r="AT76" s="443"/>
      <c r="AU76" s="443"/>
      <c r="AV76" s="443"/>
      <c r="AW76" s="443"/>
      <c r="AX76" s="443"/>
      <c r="AY76" s="443"/>
      <c r="AZ76" s="443"/>
      <c r="BA76" s="443"/>
      <c r="BB76" s="443"/>
      <c r="BC76" s="443"/>
      <c r="BD76" s="443"/>
      <c r="BE76" s="443"/>
      <c r="BF76" s="443"/>
      <c r="BG76" s="443"/>
      <c r="BH76" s="443"/>
      <c r="BI76" s="443"/>
      <c r="BJ76" s="443"/>
      <c r="BK76" s="443"/>
      <c r="BL76" s="443"/>
      <c r="BM76" s="443"/>
      <c r="BN76" s="443"/>
      <c r="BO76" s="443"/>
      <c r="BP76" s="443"/>
      <c r="BQ76" s="443"/>
      <c r="BR76" s="443"/>
      <c r="BS76" s="443"/>
      <c r="BT76" s="443"/>
      <c r="BU76" s="447"/>
    </row>
    <row r="77" spans="1:73" ht="15" customHeight="1" x14ac:dyDescent="0.2">
      <c r="A77" s="1968"/>
      <c r="B77" s="444"/>
      <c r="C77" s="45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553"/>
      <c r="AL77" s="553"/>
      <c r="AM77" s="549"/>
      <c r="AN77" s="443"/>
      <c r="AO77" s="443"/>
      <c r="AP77" s="443"/>
      <c r="AQ77" s="443"/>
      <c r="AR77" s="443"/>
      <c r="AS77" s="443"/>
      <c r="AT77" s="443"/>
      <c r="AU77" s="443"/>
      <c r="AV77" s="443"/>
      <c r="AW77" s="443"/>
      <c r="AX77" s="443"/>
      <c r="AY77" s="443"/>
      <c r="AZ77" s="443"/>
      <c r="BA77" s="443"/>
      <c r="BB77" s="443"/>
      <c r="BC77" s="443"/>
      <c r="BD77" s="443"/>
      <c r="BE77" s="443"/>
      <c r="BF77" s="443"/>
      <c r="BG77" s="443"/>
      <c r="BH77" s="443"/>
      <c r="BI77" s="443"/>
      <c r="BJ77" s="443"/>
      <c r="BK77" s="443"/>
      <c r="BL77" s="443"/>
      <c r="BM77" s="443"/>
      <c r="BN77" s="443"/>
      <c r="BO77" s="443"/>
      <c r="BP77" s="443"/>
      <c r="BQ77" s="443"/>
      <c r="BR77" s="443"/>
      <c r="BS77" s="443"/>
      <c r="BT77" s="443"/>
      <c r="BU77" s="447"/>
    </row>
    <row r="78" spans="1:73" ht="15" customHeight="1" x14ac:dyDescent="0.2">
      <c r="A78" s="1968"/>
      <c r="B78" s="444"/>
      <c r="C78" s="453"/>
      <c r="D78" s="443"/>
      <c r="E78" s="443"/>
      <c r="F78" s="443"/>
      <c r="G78" s="443"/>
      <c r="H78" s="443"/>
      <c r="I78" s="443"/>
      <c r="J78" s="443"/>
      <c r="K78" s="443"/>
      <c r="L78" s="443"/>
      <c r="M78" s="443"/>
      <c r="N78" s="443"/>
      <c r="O78" s="443"/>
      <c r="P78" s="443"/>
      <c r="Q78" s="443"/>
      <c r="R78" s="443"/>
      <c r="S78" s="443"/>
      <c r="T78" s="443"/>
      <c r="U78" s="443"/>
      <c r="V78" s="443"/>
      <c r="W78" s="443"/>
      <c r="X78" s="443"/>
      <c r="Y78" s="443"/>
      <c r="Z78" s="443"/>
      <c r="AA78" s="443"/>
      <c r="AB78" s="443"/>
      <c r="AC78" s="443"/>
      <c r="AD78" s="443"/>
      <c r="AE78" s="443"/>
      <c r="AF78" s="443"/>
      <c r="AG78" s="443"/>
      <c r="AH78" s="443"/>
      <c r="AI78" s="443"/>
      <c r="AJ78" s="443"/>
      <c r="AK78" s="553"/>
      <c r="AL78" s="553"/>
      <c r="AM78" s="549"/>
      <c r="AN78" s="443"/>
      <c r="AO78" s="443"/>
      <c r="AP78" s="443"/>
      <c r="AQ78" s="443"/>
      <c r="AR78" s="443"/>
      <c r="AS78" s="443"/>
      <c r="AT78" s="443"/>
      <c r="AU78" s="443"/>
      <c r="AV78" s="443"/>
      <c r="AW78" s="443"/>
      <c r="AX78" s="443"/>
      <c r="AY78" s="443"/>
      <c r="AZ78" s="443"/>
      <c r="BA78" s="443"/>
      <c r="BB78" s="443"/>
      <c r="BC78" s="443"/>
      <c r="BD78" s="443"/>
      <c r="BE78" s="443"/>
      <c r="BF78" s="443"/>
      <c r="BG78" s="443"/>
      <c r="BH78" s="443"/>
      <c r="BI78" s="443"/>
      <c r="BJ78" s="443"/>
      <c r="BK78" s="443"/>
      <c r="BL78" s="443"/>
      <c r="BM78" s="443"/>
      <c r="BN78" s="443"/>
      <c r="BO78" s="443"/>
      <c r="BP78" s="443"/>
      <c r="BQ78" s="443"/>
      <c r="BR78" s="443"/>
      <c r="BS78" s="443"/>
      <c r="BT78" s="443"/>
      <c r="BU78" s="447"/>
    </row>
    <row r="79" spans="1:73" ht="15" customHeight="1" x14ac:dyDescent="0.2">
      <c r="A79" s="1968"/>
      <c r="B79" s="444"/>
      <c r="C79" s="453"/>
      <c r="D79" s="443"/>
      <c r="E79" s="443"/>
      <c r="F79" s="443"/>
      <c r="G79" s="443"/>
      <c r="H79" s="443"/>
      <c r="I79" s="443"/>
      <c r="J79" s="443"/>
      <c r="K79" s="443"/>
      <c r="L79" s="443"/>
      <c r="M79" s="443"/>
      <c r="N79" s="443"/>
      <c r="O79" s="443"/>
      <c r="P79" s="443"/>
      <c r="Q79" s="443"/>
      <c r="R79" s="443"/>
      <c r="S79" s="443"/>
      <c r="T79" s="443"/>
      <c r="U79" s="443"/>
      <c r="V79" s="443"/>
      <c r="W79" s="443"/>
      <c r="X79" s="443"/>
      <c r="Y79" s="443"/>
      <c r="Z79" s="443"/>
      <c r="AA79" s="443"/>
      <c r="AB79" s="443"/>
      <c r="AC79" s="443"/>
      <c r="AD79" s="443"/>
      <c r="AE79" s="443"/>
      <c r="AF79" s="443"/>
      <c r="AG79" s="443"/>
      <c r="AH79" s="443"/>
      <c r="AI79" s="443"/>
      <c r="AJ79" s="443"/>
      <c r="AK79" s="553"/>
      <c r="AL79" s="553"/>
      <c r="AM79" s="549"/>
      <c r="AN79" s="443"/>
      <c r="AO79" s="443"/>
      <c r="AP79" s="443"/>
      <c r="AQ79" s="443"/>
      <c r="AR79" s="443"/>
      <c r="AS79" s="443"/>
      <c r="AT79" s="443"/>
      <c r="AU79" s="443"/>
      <c r="AV79" s="443"/>
      <c r="AW79" s="443"/>
      <c r="AX79" s="443"/>
      <c r="AY79" s="443"/>
      <c r="AZ79" s="443"/>
      <c r="BA79" s="443"/>
      <c r="BB79" s="443"/>
      <c r="BC79" s="443"/>
      <c r="BD79" s="443"/>
      <c r="BE79" s="443"/>
      <c r="BF79" s="443"/>
      <c r="BG79" s="443"/>
      <c r="BH79" s="443"/>
      <c r="BI79" s="443"/>
      <c r="BJ79" s="443"/>
      <c r="BK79" s="443"/>
      <c r="BL79" s="443"/>
      <c r="BM79" s="443"/>
      <c r="BN79" s="443"/>
      <c r="BO79" s="443"/>
      <c r="BP79" s="443"/>
      <c r="BQ79" s="443"/>
      <c r="BR79" s="443"/>
      <c r="BS79" s="443"/>
      <c r="BT79" s="443"/>
      <c r="BU79" s="447"/>
    </row>
    <row r="80" spans="1:73" ht="15" customHeight="1" x14ac:dyDescent="0.2">
      <c r="A80" s="1968"/>
      <c r="B80" s="444"/>
      <c r="C80" s="45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553"/>
      <c r="AL80" s="553"/>
      <c r="AM80" s="549"/>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7"/>
    </row>
    <row r="81" spans="1:73" ht="15" customHeight="1" x14ac:dyDescent="0.2">
      <c r="A81" s="1968"/>
      <c r="B81" s="444"/>
      <c r="C81" s="45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553"/>
      <c r="AL81" s="553"/>
      <c r="AM81" s="553"/>
      <c r="AN81" s="443"/>
      <c r="AO81" s="443"/>
      <c r="AP81" s="443"/>
      <c r="AQ81" s="443"/>
      <c r="AR81" s="443"/>
      <c r="AS81" s="443"/>
      <c r="AT81" s="443"/>
      <c r="AU81" s="443"/>
      <c r="AV81" s="443"/>
      <c r="AW81" s="443"/>
      <c r="AX81" s="443"/>
      <c r="AY81" s="443"/>
      <c r="AZ81" s="443"/>
      <c r="BA81" s="443"/>
      <c r="BB81" s="443"/>
      <c r="BC81" s="443"/>
      <c r="BD81" s="443"/>
      <c r="BE81" s="443"/>
      <c r="BF81" s="443"/>
      <c r="BG81" s="443"/>
      <c r="BH81" s="443"/>
      <c r="BI81" s="443"/>
      <c r="BJ81" s="443"/>
      <c r="BK81" s="443"/>
      <c r="BL81" s="443"/>
      <c r="BM81" s="443"/>
      <c r="BN81" s="443"/>
      <c r="BO81" s="443"/>
      <c r="BP81" s="443"/>
      <c r="BQ81" s="443"/>
      <c r="BR81" s="443"/>
      <c r="BS81" s="443"/>
      <c r="BT81" s="443"/>
      <c r="BU81" s="447"/>
    </row>
    <row r="82" spans="1:73" ht="15" customHeight="1" x14ac:dyDescent="0.2">
      <c r="A82" s="1968"/>
      <c r="B82" s="444"/>
      <c r="C82" s="45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553"/>
      <c r="AL82" s="553"/>
      <c r="AM82" s="549"/>
      <c r="AN82" s="443"/>
      <c r="AO82" s="443"/>
      <c r="AP82" s="443"/>
      <c r="AQ82" s="443"/>
      <c r="AR82" s="443"/>
      <c r="AS82" s="443"/>
      <c r="AT82" s="443"/>
      <c r="AU82" s="443"/>
      <c r="AV82" s="443"/>
      <c r="AW82" s="443"/>
      <c r="AX82" s="443"/>
      <c r="AY82" s="443"/>
      <c r="AZ82" s="443"/>
      <c r="BA82" s="443"/>
      <c r="BB82" s="443"/>
      <c r="BC82" s="443"/>
      <c r="BD82" s="443"/>
      <c r="BE82" s="443"/>
      <c r="BF82" s="443"/>
      <c r="BG82" s="443"/>
      <c r="BH82" s="443"/>
      <c r="BI82" s="443"/>
      <c r="BJ82" s="443"/>
      <c r="BK82" s="443"/>
      <c r="BL82" s="443"/>
      <c r="BM82" s="443"/>
      <c r="BN82" s="443"/>
      <c r="BO82" s="443"/>
      <c r="BP82" s="443"/>
      <c r="BQ82" s="443"/>
      <c r="BR82" s="443"/>
      <c r="BS82" s="443"/>
      <c r="BT82" s="443"/>
      <c r="BU82" s="447"/>
    </row>
    <row r="83" spans="1:73" ht="15" customHeight="1" x14ac:dyDescent="0.2">
      <c r="A83" s="1968"/>
      <c r="B83" s="444"/>
      <c r="C83" s="45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c r="AC83" s="443"/>
      <c r="AD83" s="443"/>
      <c r="AE83" s="443"/>
      <c r="AF83" s="443"/>
      <c r="AG83" s="443"/>
      <c r="AH83" s="443"/>
      <c r="AI83" s="443"/>
      <c r="AJ83" s="443"/>
      <c r="AK83" s="553"/>
      <c r="AL83" s="553"/>
      <c r="AM83" s="549"/>
      <c r="AN83" s="443"/>
      <c r="AO83" s="443"/>
      <c r="AP83" s="443"/>
      <c r="AQ83" s="443"/>
      <c r="AR83" s="443"/>
      <c r="AS83" s="443"/>
      <c r="AT83" s="443"/>
      <c r="AU83" s="443"/>
      <c r="AV83" s="443"/>
      <c r="AW83" s="443"/>
      <c r="AX83" s="443"/>
      <c r="AY83" s="443"/>
      <c r="AZ83" s="443"/>
      <c r="BA83" s="443"/>
      <c r="BB83" s="443"/>
      <c r="BC83" s="443"/>
      <c r="BD83" s="443"/>
      <c r="BE83" s="443"/>
      <c r="BF83" s="443"/>
      <c r="BG83" s="443"/>
      <c r="BH83" s="443"/>
      <c r="BI83" s="443"/>
      <c r="BJ83" s="443"/>
      <c r="BK83" s="443"/>
      <c r="BL83" s="443"/>
      <c r="BM83" s="443"/>
      <c r="BN83" s="443"/>
      <c r="BO83" s="443"/>
      <c r="BP83" s="443"/>
      <c r="BQ83" s="443"/>
      <c r="BR83" s="443"/>
      <c r="BS83" s="443"/>
      <c r="BT83" s="443"/>
      <c r="BU83" s="447"/>
    </row>
    <row r="84" spans="1:73" ht="15" customHeight="1" x14ac:dyDescent="0.2">
      <c r="A84" s="1968"/>
      <c r="B84" s="444"/>
      <c r="C84" s="1969" t="s">
        <v>823</v>
      </c>
      <c r="D84" s="1974"/>
      <c r="E84" s="1974"/>
      <c r="F84" s="1974"/>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c r="AK84" s="1974"/>
      <c r="AL84" s="550"/>
      <c r="AM84" s="547"/>
      <c r="AN84" s="1969" t="s">
        <v>823</v>
      </c>
      <c r="AO84" s="1969"/>
      <c r="AP84" s="1969"/>
      <c r="AQ84" s="1969"/>
      <c r="AR84" s="1969"/>
      <c r="AS84" s="1969"/>
      <c r="AT84" s="1969"/>
      <c r="AU84" s="1969"/>
      <c r="AV84" s="1969"/>
      <c r="AW84" s="1969"/>
      <c r="AX84" s="1969"/>
      <c r="AY84" s="1969"/>
      <c r="AZ84" s="1969"/>
      <c r="BA84" s="1969"/>
      <c r="BB84" s="1969"/>
      <c r="BC84" s="1969"/>
      <c r="BD84" s="1969"/>
      <c r="BE84" s="1969"/>
      <c r="BF84" s="1969"/>
      <c r="BG84" s="1969"/>
      <c r="BH84" s="1969"/>
      <c r="BI84" s="1969"/>
      <c r="BJ84" s="1969"/>
      <c r="BK84" s="1969"/>
      <c r="BL84" s="1969"/>
      <c r="BM84" s="1969"/>
      <c r="BN84" s="1969"/>
      <c r="BO84" s="1969"/>
      <c r="BP84" s="1969"/>
      <c r="BQ84" s="1969"/>
      <c r="BR84" s="1969"/>
      <c r="BS84" s="1969"/>
      <c r="BT84" s="1969"/>
      <c r="BU84" s="1970"/>
    </row>
    <row r="87" spans="1:73" x14ac:dyDescent="0.2">
      <c r="P87" s="918" t="s">
        <v>1912</v>
      </c>
      <c r="Q87" s="887"/>
      <c r="R87" s="887"/>
      <c r="S87" s="887"/>
      <c r="T87" s="887"/>
      <c r="U87" s="887"/>
      <c r="V87" s="887"/>
      <c r="W87" s="887"/>
      <c r="X87" s="887"/>
      <c r="Y87" s="887"/>
      <c r="Z87" s="887"/>
      <c r="AA87" s="887"/>
      <c r="AB87" s="887"/>
      <c r="AC87" s="887"/>
      <c r="AD87" s="887"/>
      <c r="AE87" s="887"/>
      <c r="AF87" s="887"/>
      <c r="AG87" s="887"/>
      <c r="AH87" s="887"/>
      <c r="AI87" s="887"/>
      <c r="AJ87" s="887"/>
      <c r="AK87" s="887"/>
      <c r="AL87" s="887"/>
      <c r="AM87" s="887"/>
      <c r="AN87" s="887"/>
      <c r="AO87" s="887"/>
      <c r="AP87" s="887"/>
      <c r="AQ87" s="887"/>
      <c r="AR87" s="887"/>
      <c r="AS87" s="887"/>
      <c r="AT87" s="887"/>
      <c r="AU87" s="887"/>
      <c r="AV87" s="887"/>
      <c r="AW87" s="887"/>
      <c r="AX87" s="887"/>
      <c r="AY87" s="887"/>
      <c r="AZ87" s="887"/>
      <c r="BA87" s="887"/>
      <c r="BB87" s="887"/>
      <c r="BC87" s="887"/>
      <c r="BD87" s="887"/>
      <c r="BE87" s="887"/>
      <c r="BF87" s="887"/>
      <c r="BG87" s="887"/>
      <c r="BH87" s="887"/>
      <c r="BI87" s="887"/>
      <c r="BJ87" s="887"/>
      <c r="BK87" s="887"/>
      <c r="BL87" s="887"/>
      <c r="BM87" s="887"/>
      <c r="BN87" s="887"/>
      <c r="BO87" s="887"/>
      <c r="BP87" s="887"/>
      <c r="BQ87" s="887"/>
      <c r="BR87" s="887"/>
      <c r="BS87" s="887"/>
      <c r="BT87" s="887"/>
      <c r="BU87" s="887"/>
    </row>
    <row r="88" spans="1:73" x14ac:dyDescent="0.2">
      <c r="P88" s="918" t="s">
        <v>1892</v>
      </c>
      <c r="Q88" s="896"/>
      <c r="R88" s="896"/>
      <c r="S88" s="896"/>
      <c r="T88" s="896"/>
      <c r="U88" s="896"/>
      <c r="V88" s="896"/>
      <c r="W88" s="896"/>
      <c r="X88" s="896"/>
      <c r="Y88" s="896"/>
      <c r="Z88" s="896"/>
      <c r="AA88" s="896"/>
      <c r="AB88" s="896"/>
      <c r="AC88" s="896"/>
      <c r="AD88" s="896"/>
      <c r="AE88" s="896"/>
      <c r="AF88" s="896"/>
      <c r="AG88" s="896"/>
      <c r="AH88" s="896"/>
      <c r="AI88" s="896"/>
      <c r="AJ88" s="896"/>
      <c r="AK88" s="896"/>
      <c r="AL88" s="896"/>
      <c r="AM88" s="896"/>
      <c r="AN88" s="896"/>
      <c r="AO88" s="896"/>
      <c r="AP88" s="896"/>
      <c r="AQ88" s="896"/>
      <c r="AR88" s="896"/>
      <c r="AS88" s="896"/>
      <c r="AT88" s="896"/>
      <c r="AU88" s="896"/>
      <c r="AV88" s="896"/>
      <c r="AW88" s="896"/>
      <c r="AX88" s="896"/>
      <c r="AY88" s="896"/>
      <c r="AZ88" s="896"/>
      <c r="BA88" s="896"/>
      <c r="BB88" s="896"/>
      <c r="BC88" s="896"/>
      <c r="BD88" s="896"/>
      <c r="BE88" s="896"/>
      <c r="BF88" s="896"/>
      <c r="BG88" s="896"/>
      <c r="BH88" s="896"/>
      <c r="BI88" s="896"/>
      <c r="BJ88" s="896"/>
      <c r="BK88" s="896"/>
      <c r="BL88" s="896"/>
      <c r="BM88" s="896"/>
      <c r="BN88" s="896"/>
      <c r="BO88" s="896"/>
      <c r="BP88" s="896"/>
      <c r="BQ88" s="896"/>
      <c r="BR88" s="896"/>
      <c r="BS88" s="896"/>
      <c r="BT88" s="896"/>
      <c r="BU88" s="896"/>
    </row>
    <row r="90" spans="1:73" x14ac:dyDescent="0.2">
      <c r="P90" s="918" t="s">
        <v>1891</v>
      </c>
      <c r="Q90" s="887"/>
      <c r="R90" s="887"/>
      <c r="S90" s="887"/>
      <c r="T90" s="887"/>
      <c r="U90" s="887"/>
      <c r="V90" s="887"/>
      <c r="W90" s="887"/>
      <c r="X90" s="887"/>
      <c r="Y90" s="887"/>
      <c r="Z90" s="887"/>
      <c r="AA90" s="887"/>
      <c r="AB90" s="887"/>
      <c r="AC90" s="887"/>
      <c r="AD90" s="887"/>
      <c r="AE90" s="887"/>
      <c r="AF90" s="887"/>
      <c r="AG90" s="887"/>
      <c r="AH90" s="887"/>
      <c r="AI90" s="887"/>
      <c r="AJ90" s="887"/>
      <c r="AK90" s="887"/>
      <c r="AL90" s="887"/>
      <c r="AM90" s="887"/>
      <c r="AN90" s="887"/>
      <c r="AO90" s="887"/>
      <c r="AP90" s="887"/>
      <c r="AQ90" s="887"/>
      <c r="AR90" s="887"/>
    </row>
    <row r="92" spans="1:73" x14ac:dyDescent="0.2">
      <c r="P92" s="918" t="s">
        <v>1884</v>
      </c>
      <c r="Q92" s="887"/>
      <c r="R92" s="887"/>
      <c r="S92" s="887"/>
      <c r="T92" s="887"/>
      <c r="U92" s="887"/>
      <c r="V92" s="887"/>
      <c r="W92" s="887"/>
      <c r="X92" s="887"/>
      <c r="Y92" s="887"/>
      <c r="Z92" s="887"/>
      <c r="AA92" s="887"/>
      <c r="AB92" s="887"/>
      <c r="AC92" s="887"/>
      <c r="AD92" s="887"/>
      <c r="AE92" s="887"/>
      <c r="AF92" s="887"/>
      <c r="AG92" s="887"/>
      <c r="AH92" s="887"/>
      <c r="AI92" s="887"/>
      <c r="AJ92" s="887"/>
      <c r="AK92" s="887"/>
      <c r="AL92" s="887"/>
      <c r="AM92" s="887"/>
      <c r="AN92" s="887"/>
      <c r="AO92" s="887"/>
      <c r="AP92" s="887"/>
      <c r="AQ92" s="887"/>
      <c r="AR92" s="887"/>
      <c r="AS92" s="887"/>
      <c r="AT92" s="887"/>
      <c r="AU92" s="887"/>
      <c r="AV92" s="887"/>
      <c r="AW92" s="887"/>
      <c r="AX92" s="887"/>
      <c r="AY92" s="887"/>
      <c r="AZ92" s="887"/>
      <c r="BA92" s="887"/>
      <c r="BB92" s="887"/>
      <c r="BC92" s="887"/>
      <c r="BD92" s="887"/>
      <c r="BE92" s="887"/>
      <c r="BF92" s="887"/>
      <c r="BG92" s="887"/>
      <c r="BH92" s="887"/>
      <c r="BI92" s="887"/>
      <c r="BJ92" s="887"/>
      <c r="BK92" s="887"/>
      <c r="BL92" s="887"/>
      <c r="BM92" s="887"/>
      <c r="BN92" s="887"/>
      <c r="BO92" s="887"/>
      <c r="BP92" s="887"/>
      <c r="BQ92" s="887"/>
      <c r="BR92" s="887"/>
      <c r="BS92" s="887"/>
      <c r="BT92" s="887"/>
      <c r="BU92" s="887"/>
    </row>
    <row r="93" spans="1:73" x14ac:dyDescent="0.2">
      <c r="P93" s="918" t="s">
        <v>1885</v>
      </c>
      <c r="Q93" s="887"/>
      <c r="R93" s="887"/>
      <c r="S93" s="887"/>
      <c r="T93" s="887"/>
      <c r="U93" s="887"/>
      <c r="V93" s="887"/>
      <c r="W93" s="887"/>
      <c r="X93" s="887"/>
      <c r="Y93" s="887"/>
      <c r="Z93" s="887"/>
      <c r="AA93" s="887"/>
      <c r="AB93" s="887"/>
      <c r="AC93" s="887"/>
      <c r="AD93" s="887"/>
      <c r="AE93" s="887"/>
      <c r="AF93" s="887"/>
      <c r="AG93" s="887"/>
      <c r="AH93" s="887"/>
      <c r="AI93" s="887"/>
      <c r="AJ93" s="887"/>
      <c r="AK93" s="887"/>
      <c r="AL93" s="887"/>
      <c r="AM93" s="887"/>
      <c r="AN93" s="887"/>
      <c r="AO93" s="887"/>
      <c r="AP93" s="887"/>
      <c r="AQ93" s="887"/>
      <c r="AR93" s="887"/>
      <c r="AS93" s="887"/>
      <c r="AT93" s="887"/>
      <c r="AU93" s="887"/>
      <c r="AV93" s="887"/>
      <c r="AW93" s="887"/>
      <c r="AX93" s="887"/>
      <c r="AY93" s="887"/>
      <c r="AZ93" s="887"/>
      <c r="BA93" s="887"/>
      <c r="BB93" s="887"/>
      <c r="BC93" s="887"/>
      <c r="BD93" s="887"/>
      <c r="BE93" s="887"/>
      <c r="BF93" s="887"/>
      <c r="BG93" s="887"/>
      <c r="BH93" s="887"/>
      <c r="BI93" s="887"/>
      <c r="BJ93" s="887"/>
      <c r="BK93" s="887"/>
      <c r="BL93" s="887"/>
      <c r="BM93" s="887"/>
      <c r="BN93" s="887"/>
      <c r="BO93" s="887"/>
      <c r="BP93" s="887"/>
      <c r="BQ93" s="887"/>
      <c r="BR93" s="887"/>
      <c r="BS93" s="887"/>
      <c r="BT93" s="887"/>
      <c r="BU93" s="887"/>
    </row>
  </sheetData>
  <dataConsolidate/>
  <mergeCells count="17">
    <mergeCell ref="A5:A84"/>
    <mergeCell ref="AN84:BU84"/>
    <mergeCell ref="AN64:BU64"/>
    <mergeCell ref="AN44:BU44"/>
    <mergeCell ref="AN24:BU24"/>
    <mergeCell ref="C24:AK24"/>
    <mergeCell ref="C44:AK44"/>
    <mergeCell ref="C64:AK64"/>
    <mergeCell ref="C84:AK84"/>
    <mergeCell ref="C2:J2"/>
    <mergeCell ref="K2:AN2"/>
    <mergeCell ref="AO2:AW2"/>
    <mergeCell ref="AX2:BU2"/>
    <mergeCell ref="C3:J3"/>
    <mergeCell ref="K3:AN3"/>
    <mergeCell ref="AO3:AW3"/>
    <mergeCell ref="AX3:BU3"/>
  </mergeCells>
  <dataValidations disablePrompts="1" count="1">
    <dataValidation operator="greaterThan" allowBlank="1" showInputMessage="1" showErrorMessage="1" errorTitle="FECHA VISITA" error="Ingrese fecha según ejemplo:_x000a_25/11/73" sqref="K2:K3 C2:C3 AO2:AO3 AX2:AX3" xr:uid="{00000000-0002-0000-0500-000000000000}"/>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142875</xdr:colOff>
                    <xdr:row>6</xdr:row>
                    <xdr:rowOff>104775</xdr:rowOff>
                  </from>
                  <to>
                    <xdr:col>77</xdr:col>
                    <xdr:colOff>485775</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3" tint="0.39997558519241921"/>
    <pageSetUpPr fitToPage="1"/>
  </sheetPr>
  <dimension ref="A1:CD93"/>
  <sheetViews>
    <sheetView showGridLines="0" topLeftCell="A49" zoomScaleNormal="100" workbookViewId="0">
      <selection activeCell="AN64" sqref="AN64:BU64"/>
    </sheetView>
  </sheetViews>
  <sheetFormatPr baseColWidth="10" defaultColWidth="9.140625" defaultRowHeight="12.75" x14ac:dyDescent="0.2"/>
  <cols>
    <col min="1" max="1" width="5.140625" customWidth="1"/>
    <col min="2" max="2" width="0.7109375" customWidth="1"/>
    <col min="3" max="73" width="2.28515625" customWidth="1"/>
    <col min="74" max="1029" width="8.5703125"/>
  </cols>
  <sheetData>
    <row r="1" spans="1:73" ht="15" customHeight="1" thickBot="1" x14ac:dyDescent="0.25">
      <c r="A1" s="455"/>
      <c r="B1" s="444"/>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3"/>
      <c r="AN1" s="473"/>
      <c r="AO1" s="473"/>
      <c r="AP1" s="473"/>
      <c r="AQ1" s="473"/>
      <c r="AR1" s="473"/>
      <c r="AS1" s="473"/>
      <c r="AT1" s="473"/>
      <c r="AU1" s="473"/>
      <c r="AV1" s="473"/>
      <c r="AW1" s="473"/>
      <c r="AX1" s="473"/>
      <c r="AY1" s="473"/>
      <c r="AZ1" s="473"/>
      <c r="BA1" s="473"/>
      <c r="BB1" s="473"/>
      <c r="BC1" s="473"/>
      <c r="BD1" s="473"/>
      <c r="BE1" s="473"/>
      <c r="BF1" s="473"/>
      <c r="BG1" s="473"/>
      <c r="BH1" s="473"/>
      <c r="BI1" s="473"/>
      <c r="BJ1" s="473"/>
      <c r="BK1" s="473"/>
      <c r="BL1" s="473"/>
      <c r="BM1" s="473"/>
      <c r="BN1" s="473"/>
      <c r="BO1" s="473"/>
      <c r="BP1" s="473"/>
      <c r="BQ1" s="473"/>
      <c r="BR1" s="473"/>
      <c r="BS1" s="473"/>
      <c r="BT1" s="473"/>
      <c r="BU1" s="473"/>
    </row>
    <row r="2" spans="1:73" s="291" customFormat="1" ht="15" customHeight="1" x14ac:dyDescent="0.2">
      <c r="A2" s="455"/>
      <c r="B2" s="444"/>
      <c r="C2" s="1673" t="s">
        <v>1202</v>
      </c>
      <c r="D2" s="1674"/>
      <c r="E2" s="1674"/>
      <c r="F2" s="1674"/>
      <c r="G2" s="1674"/>
      <c r="H2" s="1674"/>
      <c r="I2" s="1674"/>
      <c r="J2" s="1674"/>
      <c r="K2" s="1964" t="str">
        <f>Portada!F3</f>
        <v>Janeth Patricia Cando Arias</v>
      </c>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675" t="s">
        <v>466</v>
      </c>
      <c r="AP2" s="1675"/>
      <c r="AQ2" s="1675"/>
      <c r="AR2" s="1675"/>
      <c r="AS2" s="1675"/>
      <c r="AT2" s="1675"/>
      <c r="AU2" s="1675"/>
      <c r="AV2" s="1675"/>
      <c r="AW2" s="1675"/>
      <c r="AX2" s="1965">
        <f>Tapa!E48</f>
        <v>0</v>
      </c>
      <c r="AY2" s="1965"/>
      <c r="AZ2" s="1965"/>
      <c r="BA2" s="1965"/>
      <c r="BB2" s="1965"/>
      <c r="BC2" s="1965"/>
      <c r="BD2" s="1965"/>
      <c r="BE2" s="1965"/>
      <c r="BF2" s="1965"/>
      <c r="BG2" s="1965"/>
      <c r="BH2" s="1965"/>
      <c r="BI2" s="1965"/>
      <c r="BJ2" s="1965"/>
      <c r="BK2" s="1965"/>
      <c r="BL2" s="1965"/>
      <c r="BM2" s="1965"/>
      <c r="BN2" s="1965"/>
      <c r="BO2" s="1965"/>
      <c r="BP2" s="1965"/>
      <c r="BQ2" s="1965"/>
      <c r="BR2" s="1965"/>
      <c r="BS2" s="1965"/>
      <c r="BT2" s="1965"/>
      <c r="BU2" s="1966"/>
    </row>
    <row r="3" spans="1:73" ht="15" customHeight="1" thickBot="1" x14ac:dyDescent="0.25">
      <c r="A3" s="455"/>
      <c r="B3" s="444"/>
      <c r="C3" s="1640" t="s">
        <v>1203</v>
      </c>
      <c r="D3" s="1617"/>
      <c r="E3" s="1617"/>
      <c r="F3" s="1617"/>
      <c r="G3" s="1617"/>
      <c r="H3" s="1617"/>
      <c r="I3" s="1617"/>
      <c r="J3" s="1617"/>
      <c r="K3" s="1967" t="str">
        <f>Portada!AE3</f>
        <v>22.959.221-1</v>
      </c>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641" t="s">
        <v>908</v>
      </c>
      <c r="AP3" s="1641"/>
      <c r="AQ3" s="1641"/>
      <c r="AR3" s="1641"/>
      <c r="AS3" s="1641"/>
      <c r="AT3" s="1641"/>
      <c r="AU3" s="1641"/>
      <c r="AV3" s="1641"/>
      <c r="AW3" s="1641"/>
      <c r="AX3" s="1617" t="str">
        <f>Portada!BH2</f>
        <v>AGH -1548</v>
      </c>
      <c r="AY3" s="1617"/>
      <c r="AZ3" s="1617"/>
      <c r="BA3" s="1617"/>
      <c r="BB3" s="1617"/>
      <c r="BC3" s="1617"/>
      <c r="BD3" s="1617"/>
      <c r="BE3" s="1617"/>
      <c r="BF3" s="1617"/>
      <c r="BG3" s="1617"/>
      <c r="BH3" s="1617"/>
      <c r="BI3" s="1617"/>
      <c r="BJ3" s="1617"/>
      <c r="BK3" s="1617"/>
      <c r="BL3" s="1617"/>
      <c r="BM3" s="1617"/>
      <c r="BN3" s="1617"/>
      <c r="BO3" s="1617"/>
      <c r="BP3" s="1617"/>
      <c r="BQ3" s="1617"/>
      <c r="BR3" s="1617"/>
      <c r="BS3" s="1617"/>
      <c r="BT3" s="1617"/>
      <c r="BU3" s="1618"/>
    </row>
    <row r="4" spans="1:73" ht="15" customHeight="1" thickBot="1" x14ac:dyDescent="0.25">
      <c r="A4" s="442"/>
      <c r="B4" s="444"/>
      <c r="C4" s="443"/>
      <c r="D4" s="443"/>
      <c r="E4" s="443"/>
      <c r="F4" s="443"/>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79"/>
      <c r="AM4" s="479"/>
      <c r="AN4" s="443"/>
      <c r="AO4" s="443"/>
      <c r="AP4" s="443"/>
      <c r="AQ4" s="443"/>
      <c r="AR4" s="443"/>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443"/>
    </row>
    <row r="5" spans="1:73" ht="15" customHeight="1" x14ac:dyDescent="0.2">
      <c r="A5" s="1968" t="s">
        <v>1208</v>
      </c>
      <c r="B5" s="444"/>
      <c r="C5" s="540"/>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552"/>
      <c r="AL5" s="553"/>
      <c r="AM5" s="549"/>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74"/>
    </row>
    <row r="6" spans="1:73" ht="15" customHeight="1" x14ac:dyDescent="0.2">
      <c r="A6" s="1968"/>
      <c r="B6" s="444"/>
      <c r="C6" s="541"/>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553"/>
      <c r="AL6" s="553"/>
      <c r="AM6" s="549"/>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447"/>
    </row>
    <row r="7" spans="1:73" ht="15" customHeight="1" x14ac:dyDescent="0.2">
      <c r="A7" s="1968"/>
      <c r="B7" s="444"/>
      <c r="C7" s="541"/>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553"/>
      <c r="AL7" s="553"/>
      <c r="AM7" s="549"/>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7"/>
    </row>
    <row r="8" spans="1:73" ht="15" customHeight="1" x14ac:dyDescent="0.2">
      <c r="A8" s="1968"/>
      <c r="B8" s="444"/>
      <c r="C8" s="541"/>
      <c r="D8" s="443"/>
      <c r="E8" s="443"/>
      <c r="F8" s="443"/>
      <c r="G8" s="443"/>
      <c r="H8" s="443"/>
      <c r="I8" s="443"/>
      <c r="J8" s="443"/>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553"/>
      <c r="AL8" s="553"/>
      <c r="AM8" s="549"/>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7"/>
    </row>
    <row r="9" spans="1:73" ht="15" customHeight="1" x14ac:dyDescent="0.2">
      <c r="A9" s="1968"/>
      <c r="B9" s="444"/>
      <c r="C9" s="541"/>
      <c r="D9" s="443"/>
      <c r="E9" s="443"/>
      <c r="F9" s="443"/>
      <c r="G9" s="443"/>
      <c r="H9" s="443"/>
      <c r="I9" s="443"/>
      <c r="J9" s="443"/>
      <c r="K9" s="443"/>
      <c r="L9" s="443"/>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553"/>
      <c r="AL9" s="553"/>
      <c r="AM9" s="549"/>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7"/>
    </row>
    <row r="10" spans="1:73" ht="15" customHeight="1" x14ac:dyDescent="0.2">
      <c r="A10" s="1968"/>
      <c r="B10" s="444"/>
      <c r="C10" s="541"/>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553"/>
      <c r="AL10" s="553"/>
      <c r="AM10" s="549"/>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7"/>
    </row>
    <row r="11" spans="1:73" ht="15" customHeight="1" x14ac:dyDescent="0.2">
      <c r="A11" s="1968"/>
      <c r="B11" s="444"/>
      <c r="C11" s="541"/>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553"/>
      <c r="AL11" s="553"/>
      <c r="AM11" s="549"/>
      <c r="AN11" s="443"/>
      <c r="AO11" s="443"/>
      <c r="AP11" s="443"/>
      <c r="AQ11" s="443"/>
      <c r="AR11" s="443"/>
      <c r="AS11" s="443"/>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7"/>
    </row>
    <row r="12" spans="1:73" ht="15" customHeight="1" x14ac:dyDescent="0.2">
      <c r="A12" s="1968"/>
      <c r="B12" s="444"/>
      <c r="C12" s="541"/>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553"/>
      <c r="AL12" s="553"/>
      <c r="AM12" s="549"/>
      <c r="AN12" s="443"/>
      <c r="AO12" s="443"/>
      <c r="AP12" s="443"/>
      <c r="AQ12" s="443"/>
      <c r="AR12" s="443"/>
      <c r="AS12" s="443"/>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7"/>
    </row>
    <row r="13" spans="1:73" ht="15" customHeight="1" x14ac:dyDescent="0.2">
      <c r="A13" s="1968"/>
      <c r="B13" s="444"/>
      <c r="C13" s="541"/>
      <c r="D13" s="443"/>
      <c r="E13" s="443"/>
      <c r="F13" s="443"/>
      <c r="G13" s="443"/>
      <c r="H13" s="443"/>
      <c r="I13" s="443"/>
      <c r="J13" s="443"/>
      <c r="K13" s="443"/>
      <c r="L13" s="443"/>
      <c r="M13" s="443"/>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553"/>
      <c r="AL13" s="553"/>
      <c r="AM13" s="549"/>
      <c r="AN13" s="443"/>
      <c r="AO13" s="443"/>
      <c r="AP13" s="443"/>
      <c r="AQ13" s="443"/>
      <c r="AR13" s="443"/>
      <c r="AS13" s="443"/>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7"/>
    </row>
    <row r="14" spans="1:73" ht="15" customHeight="1" x14ac:dyDescent="0.2">
      <c r="A14" s="1968"/>
      <c r="B14" s="444"/>
      <c r="C14" s="541"/>
      <c r="D14" s="443"/>
      <c r="E14" s="443"/>
      <c r="F14" s="443"/>
      <c r="G14" s="443"/>
      <c r="H14" s="443"/>
      <c r="I14" s="443"/>
      <c r="J14" s="443"/>
      <c r="K14" s="443"/>
      <c r="L14" s="443"/>
      <c r="M14" s="443"/>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3"/>
      <c r="AK14" s="553"/>
      <c r="AL14" s="553"/>
      <c r="AM14" s="549"/>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7"/>
    </row>
    <row r="15" spans="1:73" ht="15" customHeight="1" x14ac:dyDescent="0.2">
      <c r="A15" s="1968"/>
      <c r="B15" s="444"/>
      <c r="C15" s="541"/>
      <c r="D15" s="443"/>
      <c r="E15" s="443"/>
      <c r="F15" s="443"/>
      <c r="G15" s="443"/>
      <c r="H15" s="443"/>
      <c r="I15" s="443"/>
      <c r="J15" s="443"/>
      <c r="K15" s="443"/>
      <c r="L15" s="443"/>
      <c r="M15" s="443"/>
      <c r="N15" s="443"/>
      <c r="O15" s="443"/>
      <c r="P15" s="443"/>
      <c r="Q15" s="443"/>
      <c r="R15" s="443"/>
      <c r="S15" s="443"/>
      <c r="T15" s="443"/>
      <c r="U15" s="443"/>
      <c r="V15" s="443"/>
      <c r="W15" s="443"/>
      <c r="X15" s="443"/>
      <c r="Y15" s="443"/>
      <c r="Z15" s="443"/>
      <c r="AA15" s="443"/>
      <c r="AB15" s="443"/>
      <c r="AC15" s="443"/>
      <c r="AD15" s="443"/>
      <c r="AE15" s="443"/>
      <c r="AF15" s="443"/>
      <c r="AG15" s="443"/>
      <c r="AH15" s="443"/>
      <c r="AI15" s="443"/>
      <c r="AJ15" s="443"/>
      <c r="AK15" s="553"/>
      <c r="AL15" s="553"/>
      <c r="AM15" s="549"/>
      <c r="AN15" s="443"/>
      <c r="AO15" s="443"/>
      <c r="AP15" s="443"/>
      <c r="AQ15" s="443"/>
      <c r="AR15" s="443"/>
      <c r="AS15" s="443"/>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7"/>
    </row>
    <row r="16" spans="1:73" ht="15" customHeight="1" x14ac:dyDescent="0.2">
      <c r="A16" s="1968"/>
      <c r="B16" s="444"/>
      <c r="C16" s="541"/>
      <c r="D16" s="443"/>
      <c r="E16" s="443"/>
      <c r="F16" s="443"/>
      <c r="G16" s="443"/>
      <c r="H16" s="443"/>
      <c r="I16" s="443"/>
      <c r="J16" s="443"/>
      <c r="K16" s="443"/>
      <c r="L16" s="443"/>
      <c r="M16" s="443"/>
      <c r="N16" s="443"/>
      <c r="O16" s="443"/>
      <c r="P16" s="443"/>
      <c r="Q16" s="443"/>
      <c r="R16" s="443"/>
      <c r="S16" s="443"/>
      <c r="T16" s="443"/>
      <c r="U16" s="443"/>
      <c r="V16" s="443"/>
      <c r="W16" s="443"/>
      <c r="X16" s="443"/>
      <c r="Y16" s="443"/>
      <c r="Z16" s="443"/>
      <c r="AA16" s="443"/>
      <c r="AB16" s="443"/>
      <c r="AC16" s="443"/>
      <c r="AD16" s="443"/>
      <c r="AE16" s="443"/>
      <c r="AF16" s="443"/>
      <c r="AG16" s="443"/>
      <c r="AH16" s="443"/>
      <c r="AI16" s="443"/>
      <c r="AJ16" s="443"/>
      <c r="AK16" s="553"/>
      <c r="AL16" s="553"/>
      <c r="AM16" s="549"/>
      <c r="AN16" s="443"/>
      <c r="AO16" s="443"/>
      <c r="AP16" s="443"/>
      <c r="AQ16" s="443"/>
      <c r="AR16" s="443"/>
      <c r="AS16" s="443"/>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7"/>
    </row>
    <row r="17" spans="1:73" ht="15" customHeight="1" x14ac:dyDescent="0.2">
      <c r="A17" s="1968"/>
      <c r="B17" s="444"/>
      <c r="C17" s="541"/>
      <c r="D17" s="443"/>
      <c r="E17" s="443"/>
      <c r="F17" s="443"/>
      <c r="G17" s="443"/>
      <c r="H17" s="443"/>
      <c r="I17" s="443"/>
      <c r="J17" s="443"/>
      <c r="K17" s="443"/>
      <c r="L17" s="443"/>
      <c r="M17" s="443"/>
      <c r="N17" s="443"/>
      <c r="O17" s="443"/>
      <c r="P17" s="443"/>
      <c r="Q17" s="443"/>
      <c r="R17" s="443"/>
      <c r="S17" s="443"/>
      <c r="T17" s="443"/>
      <c r="U17" s="443"/>
      <c r="V17" s="443"/>
      <c r="W17" s="443"/>
      <c r="X17" s="443"/>
      <c r="Y17" s="443"/>
      <c r="Z17" s="443"/>
      <c r="AA17" s="443"/>
      <c r="AB17" s="443"/>
      <c r="AC17" s="443"/>
      <c r="AD17" s="443"/>
      <c r="AE17" s="443"/>
      <c r="AF17" s="443"/>
      <c r="AG17" s="443"/>
      <c r="AH17" s="443"/>
      <c r="AI17" s="443"/>
      <c r="AJ17" s="443"/>
      <c r="AK17" s="553"/>
      <c r="AL17" s="553"/>
      <c r="AM17" s="549"/>
      <c r="AN17" s="443"/>
      <c r="AO17" s="443"/>
      <c r="AP17" s="443"/>
      <c r="AQ17" s="443"/>
      <c r="AR17" s="443"/>
      <c r="AS17" s="443"/>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7"/>
    </row>
    <row r="18" spans="1:73" ht="15" customHeight="1" x14ac:dyDescent="0.2">
      <c r="A18" s="1968"/>
      <c r="B18" s="444"/>
      <c r="C18" s="541"/>
      <c r="D18" s="443"/>
      <c r="E18" s="443"/>
      <c r="F18" s="443"/>
      <c r="G18" s="443"/>
      <c r="H18" s="443"/>
      <c r="I18" s="443"/>
      <c r="J18" s="443"/>
      <c r="K18" s="443"/>
      <c r="L18" s="443"/>
      <c r="M18" s="443"/>
      <c r="N18" s="443"/>
      <c r="O18" s="443"/>
      <c r="P18" s="443"/>
      <c r="Q18" s="443"/>
      <c r="R18" s="443"/>
      <c r="S18" s="443"/>
      <c r="T18" s="443"/>
      <c r="U18" s="443"/>
      <c r="V18" s="443"/>
      <c r="W18" s="443"/>
      <c r="X18" s="443"/>
      <c r="Y18" s="443"/>
      <c r="Z18" s="443"/>
      <c r="AA18" s="443"/>
      <c r="AB18" s="443"/>
      <c r="AC18" s="443"/>
      <c r="AD18" s="443"/>
      <c r="AE18" s="443"/>
      <c r="AF18" s="443"/>
      <c r="AG18" s="443"/>
      <c r="AH18" s="443"/>
      <c r="AI18" s="443"/>
      <c r="AJ18" s="443"/>
      <c r="AK18" s="553"/>
      <c r="AL18" s="553"/>
      <c r="AM18" s="549"/>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7"/>
    </row>
    <row r="19" spans="1:73" ht="15" customHeight="1" x14ac:dyDescent="0.2">
      <c r="A19" s="1968"/>
      <c r="B19" s="444"/>
      <c r="C19" s="541"/>
      <c r="D19" s="443"/>
      <c r="E19" s="443"/>
      <c r="F19" s="443"/>
      <c r="G19" s="443"/>
      <c r="H19" s="443"/>
      <c r="I19" s="443"/>
      <c r="J19" s="443"/>
      <c r="K19" s="443"/>
      <c r="L19" s="443"/>
      <c r="M19" s="443"/>
      <c r="N19" s="443"/>
      <c r="O19" s="443"/>
      <c r="P19" s="443"/>
      <c r="Q19" s="443"/>
      <c r="R19" s="443"/>
      <c r="S19" s="443"/>
      <c r="T19" s="443"/>
      <c r="U19" s="443"/>
      <c r="V19" s="443"/>
      <c r="W19" s="443"/>
      <c r="X19" s="443"/>
      <c r="Y19" s="443"/>
      <c r="Z19" s="443"/>
      <c r="AA19" s="443"/>
      <c r="AB19" s="443"/>
      <c r="AC19" s="443"/>
      <c r="AD19" s="443"/>
      <c r="AE19" s="443"/>
      <c r="AF19" s="443"/>
      <c r="AG19" s="443"/>
      <c r="AH19" s="443"/>
      <c r="AI19" s="443"/>
      <c r="AJ19" s="443"/>
      <c r="AK19" s="553"/>
      <c r="AL19" s="553"/>
      <c r="AM19" s="549"/>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7"/>
    </row>
    <row r="20" spans="1:73" ht="15" customHeight="1" x14ac:dyDescent="0.2">
      <c r="A20" s="1968"/>
      <c r="B20" s="444"/>
      <c r="C20" s="541"/>
      <c r="D20" s="443"/>
      <c r="E20" s="443"/>
      <c r="F20" s="443"/>
      <c r="G20" s="443"/>
      <c r="H20" s="443"/>
      <c r="I20" s="443"/>
      <c r="J20" s="443"/>
      <c r="K20" s="443"/>
      <c r="L20" s="443"/>
      <c r="M20" s="443"/>
      <c r="N20" s="443"/>
      <c r="O20" s="443"/>
      <c r="P20" s="443"/>
      <c r="Q20" s="443"/>
      <c r="R20" s="443"/>
      <c r="S20" s="443"/>
      <c r="T20" s="443"/>
      <c r="U20" s="443"/>
      <c r="V20" s="443"/>
      <c r="W20" s="443"/>
      <c r="X20" s="443"/>
      <c r="Y20" s="443"/>
      <c r="Z20" s="443"/>
      <c r="AA20" s="443"/>
      <c r="AB20" s="443"/>
      <c r="AC20" s="443"/>
      <c r="AD20" s="443"/>
      <c r="AE20" s="443"/>
      <c r="AF20" s="443"/>
      <c r="AG20" s="443"/>
      <c r="AH20" s="443"/>
      <c r="AI20" s="443"/>
      <c r="AJ20" s="443"/>
      <c r="AK20" s="553"/>
      <c r="AL20" s="553"/>
      <c r="AM20" s="549"/>
      <c r="AN20" s="443"/>
      <c r="AO20" s="443"/>
      <c r="AP20" s="443"/>
      <c r="AQ20" s="443"/>
      <c r="AR20" s="443"/>
      <c r="AS20" s="443"/>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7"/>
    </row>
    <row r="21" spans="1:73" ht="15" customHeight="1" x14ac:dyDescent="0.2">
      <c r="A21" s="1968"/>
      <c r="B21" s="444"/>
      <c r="C21" s="541"/>
      <c r="D21" s="443"/>
      <c r="E21" s="443"/>
      <c r="F21" s="443"/>
      <c r="G21" s="443"/>
      <c r="H21" s="443"/>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43"/>
      <c r="AK21" s="553"/>
      <c r="AL21" s="553"/>
      <c r="AM21" s="549"/>
      <c r="AN21" s="443"/>
      <c r="AO21" s="443"/>
      <c r="AP21" s="443"/>
      <c r="AQ21" s="443"/>
      <c r="AR21" s="443"/>
      <c r="AS21" s="443"/>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7"/>
    </row>
    <row r="22" spans="1:73" ht="15" customHeight="1" x14ac:dyDescent="0.2">
      <c r="A22" s="1968"/>
      <c r="B22" s="444"/>
      <c r="C22" s="541"/>
      <c r="D22" s="443"/>
      <c r="E22" s="443"/>
      <c r="F22" s="443"/>
      <c r="G22" s="443"/>
      <c r="H22" s="443"/>
      <c r="I22" s="443"/>
      <c r="J22" s="443"/>
      <c r="K22" s="443"/>
      <c r="L22" s="443"/>
      <c r="M22" s="443"/>
      <c r="N22" s="443"/>
      <c r="O22" s="443"/>
      <c r="P22" s="443"/>
      <c r="Q22" s="443"/>
      <c r="R22" s="443"/>
      <c r="S22" s="443"/>
      <c r="T22" s="443"/>
      <c r="U22" s="443"/>
      <c r="V22" s="443"/>
      <c r="W22" s="443"/>
      <c r="X22" s="443"/>
      <c r="Y22" s="443"/>
      <c r="Z22" s="443"/>
      <c r="AA22" s="443"/>
      <c r="AB22" s="443"/>
      <c r="AC22" s="443"/>
      <c r="AD22" s="443"/>
      <c r="AE22" s="443"/>
      <c r="AF22" s="443"/>
      <c r="AG22" s="443"/>
      <c r="AH22" s="443"/>
      <c r="AI22" s="443"/>
      <c r="AJ22" s="443"/>
      <c r="AK22" s="553"/>
      <c r="AL22" s="553"/>
      <c r="AM22" s="549"/>
      <c r="AN22" s="443"/>
      <c r="AO22" s="443"/>
      <c r="AP22" s="443"/>
      <c r="AQ22" s="443"/>
      <c r="AR22" s="443"/>
      <c r="AS22" s="443"/>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7"/>
    </row>
    <row r="23" spans="1:73" ht="15" customHeight="1" x14ac:dyDescent="0.2">
      <c r="A23" s="1968"/>
      <c r="B23" s="444"/>
      <c r="C23" s="541"/>
      <c r="D23" s="44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443"/>
      <c r="AI23" s="443"/>
      <c r="AJ23" s="443"/>
      <c r="AK23" s="553"/>
      <c r="AL23" s="553"/>
      <c r="AM23" s="549"/>
      <c r="AN23" s="443"/>
      <c r="AO23" s="443"/>
      <c r="AP23" s="443"/>
      <c r="AQ23" s="443"/>
      <c r="AR23" s="443"/>
      <c r="AS23" s="443"/>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7"/>
    </row>
    <row r="24" spans="1:73" ht="15" customHeight="1" x14ac:dyDescent="0.2">
      <c r="A24" s="1968"/>
      <c r="B24" s="444"/>
      <c r="C24" s="1973" t="s">
        <v>1521</v>
      </c>
      <c r="D24" s="1969"/>
      <c r="E24" s="1969"/>
      <c r="F24" s="1969"/>
      <c r="G24" s="1969"/>
      <c r="H24" s="1969"/>
      <c r="I24" s="1969"/>
      <c r="J24" s="1969"/>
      <c r="K24" s="1969"/>
      <c r="L24" s="1969"/>
      <c r="M24" s="1969"/>
      <c r="N24" s="1969"/>
      <c r="O24" s="1969"/>
      <c r="P24" s="1969"/>
      <c r="Q24" s="1969"/>
      <c r="R24" s="1969"/>
      <c r="S24" s="1969"/>
      <c r="T24" s="1969"/>
      <c r="U24" s="1969"/>
      <c r="V24" s="1969"/>
      <c r="W24" s="1969"/>
      <c r="X24" s="1969"/>
      <c r="Y24" s="1969"/>
      <c r="Z24" s="1969"/>
      <c r="AA24" s="1969"/>
      <c r="AB24" s="1969"/>
      <c r="AC24" s="1969"/>
      <c r="AD24" s="1969"/>
      <c r="AE24" s="1969"/>
      <c r="AF24" s="1969"/>
      <c r="AG24" s="1969"/>
      <c r="AH24" s="1969"/>
      <c r="AI24" s="1969"/>
      <c r="AJ24" s="1969"/>
      <c r="AK24" s="1969"/>
      <c r="AL24" s="550"/>
      <c r="AM24" s="551"/>
      <c r="AN24" s="1971" t="s">
        <v>1521</v>
      </c>
      <c r="AO24" s="1971"/>
      <c r="AP24" s="1971"/>
      <c r="AQ24" s="1971"/>
      <c r="AR24" s="1971"/>
      <c r="AS24" s="1971"/>
      <c r="AT24" s="1971"/>
      <c r="AU24" s="1971"/>
      <c r="AV24" s="1971"/>
      <c r="AW24" s="1971"/>
      <c r="AX24" s="1971"/>
      <c r="AY24" s="1971"/>
      <c r="AZ24" s="1971"/>
      <c r="BA24" s="1971"/>
      <c r="BB24" s="1971"/>
      <c r="BC24" s="1971"/>
      <c r="BD24" s="1971"/>
      <c r="BE24" s="1971"/>
      <c r="BF24" s="1971"/>
      <c r="BG24" s="1971"/>
      <c r="BH24" s="1971"/>
      <c r="BI24" s="1971"/>
      <c r="BJ24" s="1971"/>
      <c r="BK24" s="1971"/>
      <c r="BL24" s="1971"/>
      <c r="BM24" s="1971"/>
      <c r="BN24" s="1971"/>
      <c r="BO24" s="1971"/>
      <c r="BP24" s="1971"/>
      <c r="BQ24" s="1971"/>
      <c r="BR24" s="1971"/>
      <c r="BS24" s="1971"/>
      <c r="BT24" s="1971"/>
      <c r="BU24" s="1972"/>
    </row>
    <row r="25" spans="1:73" ht="15" customHeight="1" x14ac:dyDescent="0.2">
      <c r="A25" s="1968"/>
      <c r="B25" s="444"/>
      <c r="C25" s="45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553"/>
      <c r="AL25" s="553"/>
      <c r="AM25" s="549"/>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501"/>
    </row>
    <row r="26" spans="1:73" ht="15" customHeight="1" x14ac:dyDescent="0.2">
      <c r="A26" s="1968"/>
      <c r="B26" s="444"/>
      <c r="C26" s="453"/>
      <c r="D26" s="443"/>
      <c r="E26" s="443"/>
      <c r="F26" s="443"/>
      <c r="G26" s="443"/>
      <c r="H26" s="443"/>
      <c r="I26" s="443"/>
      <c r="J26" s="443"/>
      <c r="K26" s="443"/>
      <c r="L26" s="443"/>
      <c r="M26" s="443"/>
      <c r="N26" s="443"/>
      <c r="O26" s="443"/>
      <c r="P26" s="443"/>
      <c r="Q26" s="443"/>
      <c r="R26" s="443"/>
      <c r="S26" s="443"/>
      <c r="T26" s="443"/>
      <c r="U26" s="443"/>
      <c r="V26" s="443"/>
      <c r="W26" s="443"/>
      <c r="X26" s="443"/>
      <c r="Y26" s="443"/>
      <c r="Z26" s="443"/>
      <c r="AA26" s="443"/>
      <c r="AB26" s="443"/>
      <c r="AC26" s="443"/>
      <c r="AD26" s="443"/>
      <c r="AE26" s="443"/>
      <c r="AF26" s="443"/>
      <c r="AG26" s="443"/>
      <c r="AH26" s="443"/>
      <c r="AI26" s="443"/>
      <c r="AJ26" s="443"/>
      <c r="AK26" s="553"/>
      <c r="AL26" s="553"/>
      <c r="AM26" s="549"/>
      <c r="AN26" s="443"/>
      <c r="AO26" s="443"/>
      <c r="AP26" s="443"/>
      <c r="AQ26" s="443"/>
      <c r="AR26" s="443"/>
      <c r="AS26" s="443"/>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7"/>
    </row>
    <row r="27" spans="1:73" ht="15" customHeight="1" x14ac:dyDescent="0.2">
      <c r="A27" s="1968"/>
      <c r="B27" s="444"/>
      <c r="C27" s="453"/>
      <c r="D27" s="443"/>
      <c r="E27" s="443"/>
      <c r="F27" s="443"/>
      <c r="G27" s="443"/>
      <c r="H27" s="443"/>
      <c r="I27" s="443"/>
      <c r="J27" s="443"/>
      <c r="K27" s="443"/>
      <c r="L27" s="443"/>
      <c r="M27" s="443"/>
      <c r="N27" s="443"/>
      <c r="O27" s="443"/>
      <c r="P27" s="443"/>
      <c r="Q27" s="443"/>
      <c r="R27" s="443"/>
      <c r="S27" s="443"/>
      <c r="T27" s="443"/>
      <c r="U27" s="443"/>
      <c r="V27" s="443"/>
      <c r="W27" s="443"/>
      <c r="X27" s="443"/>
      <c r="Y27" s="443"/>
      <c r="Z27" s="443"/>
      <c r="AA27" s="443"/>
      <c r="AB27" s="443"/>
      <c r="AC27" s="443"/>
      <c r="AD27" s="443"/>
      <c r="AE27" s="443"/>
      <c r="AF27" s="443"/>
      <c r="AG27" s="443"/>
      <c r="AH27" s="443"/>
      <c r="AI27" s="443"/>
      <c r="AJ27" s="443"/>
      <c r="AK27" s="553"/>
      <c r="AL27" s="553"/>
      <c r="AM27" s="549"/>
      <c r="AN27" s="443"/>
      <c r="AO27" s="443"/>
      <c r="AP27" s="443"/>
      <c r="AQ27" s="443"/>
      <c r="AR27" s="443"/>
      <c r="AS27" s="443"/>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7"/>
    </row>
    <row r="28" spans="1:73" ht="15" customHeight="1" x14ac:dyDescent="0.2">
      <c r="A28" s="1968"/>
      <c r="B28" s="444"/>
      <c r="C28" s="453"/>
      <c r="D28" s="443"/>
      <c r="E28" s="443"/>
      <c r="F28" s="443"/>
      <c r="G28" s="443"/>
      <c r="H28" s="443"/>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553"/>
      <c r="AL28" s="553"/>
      <c r="AM28" s="549"/>
      <c r="AN28" s="443"/>
      <c r="AO28" s="443"/>
      <c r="AP28" s="443"/>
      <c r="AQ28" s="443"/>
      <c r="AR28" s="443"/>
      <c r="AS28" s="443"/>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7"/>
    </row>
    <row r="29" spans="1:73" ht="15" customHeight="1" x14ac:dyDescent="0.2">
      <c r="A29" s="1968"/>
      <c r="B29" s="444"/>
      <c r="C29" s="45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553"/>
      <c r="AL29" s="553"/>
      <c r="AM29" s="549"/>
      <c r="AN29" s="443"/>
      <c r="AO29" s="443"/>
      <c r="AP29" s="443"/>
      <c r="AQ29" s="443"/>
      <c r="AR29" s="443"/>
      <c r="AS29" s="443"/>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7"/>
    </row>
    <row r="30" spans="1:73" ht="15" customHeight="1" x14ac:dyDescent="0.2">
      <c r="A30" s="1968"/>
      <c r="B30" s="444"/>
      <c r="C30" s="453"/>
      <c r="D30" s="443"/>
      <c r="E30" s="443"/>
      <c r="F30" s="443"/>
      <c r="G30" s="443"/>
      <c r="H30" s="443"/>
      <c r="I30" s="443"/>
      <c r="J30" s="443"/>
      <c r="K30" s="443"/>
      <c r="L30" s="443"/>
      <c r="M30" s="443"/>
      <c r="N30" s="443"/>
      <c r="O30" s="443"/>
      <c r="P30" s="443"/>
      <c r="Q30" s="443"/>
      <c r="R30" s="443"/>
      <c r="S30" s="443"/>
      <c r="T30" s="443"/>
      <c r="U30" s="443"/>
      <c r="V30" s="443"/>
      <c r="W30" s="443"/>
      <c r="X30" s="443"/>
      <c r="Y30" s="443"/>
      <c r="Z30" s="443"/>
      <c r="AA30" s="443"/>
      <c r="AB30" s="443"/>
      <c r="AC30" s="443"/>
      <c r="AD30" s="443"/>
      <c r="AE30" s="443"/>
      <c r="AF30" s="443"/>
      <c r="AG30" s="443"/>
      <c r="AH30" s="443"/>
      <c r="AI30" s="443"/>
      <c r="AJ30" s="443"/>
      <c r="AK30" s="553"/>
      <c r="AL30" s="553"/>
      <c r="AM30" s="549"/>
      <c r="AN30" s="443"/>
      <c r="AO30" s="443"/>
      <c r="AP30" s="443"/>
      <c r="AQ30" s="443"/>
      <c r="AR30" s="443"/>
      <c r="AS30" s="443"/>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7"/>
    </row>
    <row r="31" spans="1:73" ht="15" customHeight="1" x14ac:dyDescent="0.2">
      <c r="A31" s="1968"/>
      <c r="B31" s="444"/>
      <c r="C31" s="453"/>
      <c r="D31" s="443"/>
      <c r="E31" s="443"/>
      <c r="F31" s="443"/>
      <c r="G31" s="443"/>
      <c r="H31" s="443"/>
      <c r="I31" s="443"/>
      <c r="J31" s="443"/>
      <c r="K31" s="443"/>
      <c r="L31" s="443"/>
      <c r="M31" s="443"/>
      <c r="N31" s="443"/>
      <c r="O31" s="443"/>
      <c r="P31" s="443"/>
      <c r="Q31" s="443"/>
      <c r="R31" s="443"/>
      <c r="S31" s="443"/>
      <c r="T31" s="443"/>
      <c r="U31" s="443"/>
      <c r="V31" s="443"/>
      <c r="W31" s="443"/>
      <c r="X31" s="443"/>
      <c r="Y31" s="443"/>
      <c r="Z31" s="443"/>
      <c r="AA31" s="443"/>
      <c r="AB31" s="443"/>
      <c r="AC31" s="443"/>
      <c r="AD31" s="443"/>
      <c r="AE31" s="443"/>
      <c r="AF31" s="443"/>
      <c r="AG31" s="443"/>
      <c r="AH31" s="443"/>
      <c r="AI31" s="443"/>
      <c r="AJ31" s="443"/>
      <c r="AK31" s="553"/>
      <c r="AL31" s="553"/>
      <c r="AM31" s="549"/>
      <c r="AN31" s="443"/>
      <c r="AO31" s="443"/>
      <c r="AP31" s="443"/>
      <c r="AQ31" s="443"/>
      <c r="AR31" s="443"/>
      <c r="AS31" s="443"/>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7"/>
    </row>
    <row r="32" spans="1:73" ht="15" customHeight="1" x14ac:dyDescent="0.2">
      <c r="A32" s="1968"/>
      <c r="B32" s="444"/>
      <c r="C32" s="453"/>
      <c r="D32" s="443"/>
      <c r="E32" s="443"/>
      <c r="F32" s="443"/>
      <c r="G32" s="443"/>
      <c r="H32" s="443"/>
      <c r="I32" s="443"/>
      <c r="J32" s="443"/>
      <c r="K32" s="443"/>
      <c r="L32" s="443"/>
      <c r="M32" s="443"/>
      <c r="N32" s="443"/>
      <c r="O32" s="443"/>
      <c r="P32" s="443"/>
      <c r="Q32" s="443"/>
      <c r="R32" s="443"/>
      <c r="S32" s="443"/>
      <c r="T32" s="443"/>
      <c r="U32" s="443"/>
      <c r="V32" s="443"/>
      <c r="W32" s="443"/>
      <c r="X32" s="443"/>
      <c r="Y32" s="443"/>
      <c r="Z32" s="443"/>
      <c r="AA32" s="443"/>
      <c r="AB32" s="443"/>
      <c r="AC32" s="443"/>
      <c r="AD32" s="443"/>
      <c r="AE32" s="443"/>
      <c r="AF32" s="443"/>
      <c r="AG32" s="443"/>
      <c r="AH32" s="443"/>
      <c r="AI32" s="443"/>
      <c r="AJ32" s="443"/>
      <c r="AK32" s="553"/>
      <c r="AL32" s="553"/>
      <c r="AM32" s="549"/>
      <c r="AN32" s="443"/>
      <c r="AO32" s="443"/>
      <c r="AP32" s="443"/>
      <c r="AQ32" s="443"/>
      <c r="AR32" s="443"/>
      <c r="AS32" s="443"/>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7"/>
    </row>
    <row r="33" spans="1:73" ht="15" customHeight="1" x14ac:dyDescent="0.2">
      <c r="A33" s="1968"/>
      <c r="B33" s="444"/>
      <c r="C33" s="453"/>
      <c r="D33" s="443"/>
      <c r="E33" s="443"/>
      <c r="F33" s="443"/>
      <c r="G33" s="443"/>
      <c r="H33" s="443"/>
      <c r="I33" s="443"/>
      <c r="J33" s="443"/>
      <c r="K33" s="443"/>
      <c r="L33" s="443"/>
      <c r="M33" s="443"/>
      <c r="N33" s="443"/>
      <c r="O33" s="443"/>
      <c r="P33" s="443"/>
      <c r="Q33" s="443"/>
      <c r="R33" s="443"/>
      <c r="S33" s="443"/>
      <c r="T33" s="443"/>
      <c r="U33" s="443"/>
      <c r="V33" s="443"/>
      <c r="W33" s="443"/>
      <c r="X33" s="443"/>
      <c r="Y33" s="443"/>
      <c r="Z33" s="443"/>
      <c r="AA33" s="443"/>
      <c r="AB33" s="443"/>
      <c r="AC33" s="443"/>
      <c r="AD33" s="443"/>
      <c r="AE33" s="443"/>
      <c r="AF33" s="443"/>
      <c r="AG33" s="443"/>
      <c r="AH33" s="443"/>
      <c r="AI33" s="443"/>
      <c r="AJ33" s="443"/>
      <c r="AK33" s="553"/>
      <c r="AL33" s="553"/>
      <c r="AM33" s="549"/>
      <c r="AN33" s="443"/>
      <c r="AO33" s="443"/>
      <c r="AP33" s="443"/>
      <c r="AQ33" s="443"/>
      <c r="AR33" s="443"/>
      <c r="AS33" s="443"/>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7"/>
    </row>
    <row r="34" spans="1:73" ht="15" customHeight="1" x14ac:dyDescent="0.2">
      <c r="A34" s="1968"/>
      <c r="B34" s="444"/>
      <c r="C34" s="453"/>
      <c r="D34" s="443"/>
      <c r="E34" s="443"/>
      <c r="F34" s="443"/>
      <c r="G34" s="443"/>
      <c r="H34" s="443"/>
      <c r="I34" s="443"/>
      <c r="J34" s="443"/>
      <c r="K34" s="443"/>
      <c r="L34" s="443"/>
      <c r="M34" s="443"/>
      <c r="N34" s="443"/>
      <c r="O34" s="443"/>
      <c r="P34" s="443"/>
      <c r="Q34" s="443"/>
      <c r="R34" s="443"/>
      <c r="S34" s="443"/>
      <c r="T34" s="443"/>
      <c r="U34" s="443"/>
      <c r="V34" s="443"/>
      <c r="W34" s="443"/>
      <c r="X34" s="443"/>
      <c r="Y34" s="443"/>
      <c r="Z34" s="443"/>
      <c r="AA34" s="443"/>
      <c r="AB34" s="443"/>
      <c r="AC34" s="443"/>
      <c r="AD34" s="443"/>
      <c r="AE34" s="443"/>
      <c r="AF34" s="443"/>
      <c r="AG34" s="443"/>
      <c r="AH34" s="443"/>
      <c r="AI34" s="443"/>
      <c r="AJ34" s="443"/>
      <c r="AK34" s="553"/>
      <c r="AL34" s="553"/>
      <c r="AM34" s="549"/>
      <c r="AN34" s="443"/>
      <c r="AO34" s="443"/>
      <c r="AP34" s="443"/>
      <c r="AQ34" s="443"/>
      <c r="AR34" s="443"/>
      <c r="AS34" s="443"/>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7"/>
    </row>
    <row r="35" spans="1:73" ht="15" customHeight="1" x14ac:dyDescent="0.2">
      <c r="A35" s="1968"/>
      <c r="B35" s="444"/>
      <c r="C35" s="453"/>
      <c r="D35" s="443"/>
      <c r="E35" s="443"/>
      <c r="F35" s="443"/>
      <c r="G35" s="443"/>
      <c r="H35" s="443"/>
      <c r="I35" s="443"/>
      <c r="J35" s="443"/>
      <c r="K35" s="443"/>
      <c r="L35" s="443"/>
      <c r="M35" s="443"/>
      <c r="N35" s="443"/>
      <c r="O35" s="443"/>
      <c r="P35" s="443"/>
      <c r="Q35" s="443"/>
      <c r="R35" s="443"/>
      <c r="S35" s="443"/>
      <c r="T35" s="443"/>
      <c r="U35" s="443"/>
      <c r="V35" s="443"/>
      <c r="W35" s="443"/>
      <c r="X35" s="443"/>
      <c r="Y35" s="443"/>
      <c r="Z35" s="443"/>
      <c r="AA35" s="443"/>
      <c r="AB35" s="443"/>
      <c r="AC35" s="443"/>
      <c r="AD35" s="443"/>
      <c r="AE35" s="443"/>
      <c r="AF35" s="443"/>
      <c r="AG35" s="443"/>
      <c r="AH35" s="443"/>
      <c r="AI35" s="443"/>
      <c r="AJ35" s="443"/>
      <c r="AK35" s="553"/>
      <c r="AL35" s="553"/>
      <c r="AM35" s="549"/>
      <c r="AN35" s="443"/>
      <c r="AO35" s="443"/>
      <c r="AP35" s="443"/>
      <c r="AQ35" s="443"/>
      <c r="AR35" s="443"/>
      <c r="AS35" s="443"/>
      <c r="AT35" s="443"/>
      <c r="AU35" s="443"/>
      <c r="AV35" s="443"/>
      <c r="AW35" s="443"/>
      <c r="AX35" s="443"/>
      <c r="AY35" s="443"/>
      <c r="AZ35" s="443"/>
      <c r="BA35" s="443"/>
      <c r="BB35" s="443"/>
      <c r="BC35" s="443"/>
      <c r="BD35" s="443"/>
      <c r="BE35" s="443"/>
      <c r="BF35" s="443"/>
      <c r="BG35" s="443"/>
      <c r="BH35" s="443"/>
      <c r="BI35" s="443"/>
      <c r="BJ35" s="443"/>
      <c r="BK35" s="443"/>
      <c r="BL35" s="443"/>
      <c r="BM35" s="443"/>
      <c r="BN35" s="443"/>
      <c r="BO35" s="443"/>
      <c r="BP35" s="443"/>
      <c r="BQ35" s="443"/>
      <c r="BR35" s="443"/>
      <c r="BS35" s="443"/>
      <c r="BT35" s="443"/>
      <c r="BU35" s="447"/>
    </row>
    <row r="36" spans="1:73" ht="15" customHeight="1" x14ac:dyDescent="0.2">
      <c r="A36" s="1968"/>
      <c r="B36" s="444"/>
      <c r="C36" s="45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553"/>
      <c r="AL36" s="553"/>
      <c r="AM36" s="549"/>
      <c r="AN36" s="443"/>
      <c r="AO36" s="443"/>
      <c r="AP36" s="443"/>
      <c r="AQ36" s="443"/>
      <c r="AR36" s="443"/>
      <c r="AS36" s="443"/>
      <c r="AT36" s="443"/>
      <c r="AU36" s="443"/>
      <c r="AV36" s="443"/>
      <c r="AW36" s="443"/>
      <c r="AX36" s="443"/>
      <c r="AY36" s="443"/>
      <c r="AZ36" s="443"/>
      <c r="BA36" s="443"/>
      <c r="BB36" s="443"/>
      <c r="BC36" s="443"/>
      <c r="BD36" s="443"/>
      <c r="BE36" s="443"/>
      <c r="BF36" s="443"/>
      <c r="BG36" s="443"/>
      <c r="BH36" s="443"/>
      <c r="BI36" s="443"/>
      <c r="BJ36" s="443"/>
      <c r="BK36" s="443"/>
      <c r="BL36" s="443"/>
      <c r="BM36" s="443"/>
      <c r="BN36" s="443"/>
      <c r="BO36" s="443"/>
      <c r="BP36" s="443"/>
      <c r="BQ36" s="443"/>
      <c r="BR36" s="443"/>
      <c r="BS36" s="443"/>
      <c r="BT36" s="443"/>
      <c r="BU36" s="447"/>
    </row>
    <row r="37" spans="1:73" ht="15" customHeight="1" x14ac:dyDescent="0.2">
      <c r="A37" s="1968"/>
      <c r="B37" s="444"/>
      <c r="C37" s="453"/>
      <c r="D37" s="443"/>
      <c r="E37" s="443"/>
      <c r="F37" s="443"/>
      <c r="G37" s="443"/>
      <c r="H37" s="443"/>
      <c r="I37" s="443"/>
      <c r="J37" s="443"/>
      <c r="K37" s="443"/>
      <c r="L37" s="443"/>
      <c r="M37" s="443"/>
      <c r="N37" s="443"/>
      <c r="O37" s="443"/>
      <c r="P37" s="443"/>
      <c r="Q37" s="443"/>
      <c r="R37" s="443"/>
      <c r="S37" s="443"/>
      <c r="T37" s="443"/>
      <c r="U37" s="443"/>
      <c r="V37" s="443"/>
      <c r="W37" s="443"/>
      <c r="X37" s="443"/>
      <c r="Y37" s="443"/>
      <c r="Z37" s="443"/>
      <c r="AA37" s="443"/>
      <c r="AB37" s="443"/>
      <c r="AC37" s="443"/>
      <c r="AD37" s="443"/>
      <c r="AE37" s="443"/>
      <c r="AF37" s="443"/>
      <c r="AG37" s="443"/>
      <c r="AH37" s="443"/>
      <c r="AI37" s="443"/>
      <c r="AJ37" s="443"/>
      <c r="AK37" s="553"/>
      <c r="AL37" s="553"/>
      <c r="AM37" s="549"/>
      <c r="AN37" s="443"/>
      <c r="AO37" s="443"/>
      <c r="AP37" s="443"/>
      <c r="AQ37" s="443"/>
      <c r="AR37" s="443"/>
      <c r="AS37" s="443"/>
      <c r="AT37" s="443"/>
      <c r="AU37" s="443"/>
      <c r="AV37" s="443"/>
      <c r="AW37" s="443"/>
      <c r="AX37" s="443"/>
      <c r="AY37" s="443"/>
      <c r="AZ37" s="443"/>
      <c r="BA37" s="443"/>
      <c r="BB37" s="443"/>
      <c r="BC37" s="443"/>
      <c r="BD37" s="443"/>
      <c r="BE37" s="443"/>
      <c r="BF37" s="443"/>
      <c r="BG37" s="443"/>
      <c r="BH37" s="443"/>
      <c r="BI37" s="443"/>
      <c r="BJ37" s="443"/>
      <c r="BK37" s="443"/>
      <c r="BL37" s="443"/>
      <c r="BM37" s="443"/>
      <c r="BN37" s="443"/>
      <c r="BO37" s="443"/>
      <c r="BP37" s="443"/>
      <c r="BQ37" s="443"/>
      <c r="BR37" s="443"/>
      <c r="BS37" s="443"/>
      <c r="BT37" s="443"/>
      <c r="BU37" s="447"/>
    </row>
    <row r="38" spans="1:73" ht="15" customHeight="1" x14ac:dyDescent="0.2">
      <c r="A38" s="1968"/>
      <c r="B38" s="444"/>
      <c r="C38" s="453"/>
      <c r="D38" s="443"/>
      <c r="E38" s="443"/>
      <c r="F38" s="443"/>
      <c r="G38" s="443"/>
      <c r="H38" s="443"/>
      <c r="I38" s="443"/>
      <c r="J38" s="443"/>
      <c r="K38" s="443"/>
      <c r="L38" s="443"/>
      <c r="M38" s="443"/>
      <c r="N38" s="443"/>
      <c r="O38" s="443"/>
      <c r="P38" s="443"/>
      <c r="Q38" s="443"/>
      <c r="R38" s="443"/>
      <c r="S38" s="443"/>
      <c r="T38" s="443"/>
      <c r="U38" s="443"/>
      <c r="V38" s="443"/>
      <c r="W38" s="443"/>
      <c r="X38" s="443"/>
      <c r="Y38" s="443"/>
      <c r="Z38" s="443"/>
      <c r="AA38" s="443"/>
      <c r="AB38" s="443"/>
      <c r="AC38" s="443"/>
      <c r="AD38" s="443"/>
      <c r="AE38" s="443"/>
      <c r="AF38" s="443"/>
      <c r="AG38" s="443"/>
      <c r="AH38" s="443"/>
      <c r="AI38" s="443"/>
      <c r="AJ38" s="443"/>
      <c r="AK38" s="553"/>
      <c r="AL38" s="553"/>
      <c r="AM38" s="549"/>
      <c r="AN38" s="443"/>
      <c r="AO38" s="443"/>
      <c r="AP38" s="443"/>
      <c r="AQ38" s="443"/>
      <c r="AR38" s="443"/>
      <c r="AS38" s="443"/>
      <c r="AT38" s="443"/>
      <c r="AU38" s="443"/>
      <c r="AV38" s="443"/>
      <c r="AW38" s="443"/>
      <c r="AX38" s="443"/>
      <c r="AY38" s="443"/>
      <c r="AZ38" s="443"/>
      <c r="BA38" s="443"/>
      <c r="BB38" s="443"/>
      <c r="BC38" s="443"/>
      <c r="BD38" s="443"/>
      <c r="BE38" s="443"/>
      <c r="BF38" s="443"/>
      <c r="BG38" s="443"/>
      <c r="BH38" s="443"/>
      <c r="BI38" s="443"/>
      <c r="BJ38" s="443"/>
      <c r="BK38" s="443"/>
      <c r="BL38" s="443"/>
      <c r="BM38" s="443"/>
      <c r="BN38" s="443"/>
      <c r="BO38" s="443"/>
      <c r="BP38" s="443"/>
      <c r="BQ38" s="443"/>
      <c r="BR38" s="443"/>
      <c r="BS38" s="443"/>
      <c r="BT38" s="443"/>
      <c r="BU38" s="447"/>
    </row>
    <row r="39" spans="1:73" ht="15" customHeight="1" x14ac:dyDescent="0.2">
      <c r="A39" s="1968"/>
      <c r="B39" s="444"/>
      <c r="C39" s="453"/>
      <c r="D39" s="443"/>
      <c r="E39" s="443"/>
      <c r="F39" s="443"/>
      <c r="G39" s="443"/>
      <c r="H39" s="443"/>
      <c r="I39" s="443"/>
      <c r="J39" s="443"/>
      <c r="K39" s="443"/>
      <c r="L39" s="443"/>
      <c r="M39" s="443"/>
      <c r="N39" s="443"/>
      <c r="O39" s="443"/>
      <c r="P39" s="443"/>
      <c r="Q39" s="443"/>
      <c r="R39" s="443"/>
      <c r="S39" s="443"/>
      <c r="T39" s="443"/>
      <c r="U39" s="443"/>
      <c r="V39" s="443"/>
      <c r="W39" s="443"/>
      <c r="X39" s="443"/>
      <c r="Y39" s="443"/>
      <c r="Z39" s="443"/>
      <c r="AA39" s="443"/>
      <c r="AB39" s="443"/>
      <c r="AC39" s="443"/>
      <c r="AD39" s="443"/>
      <c r="AE39" s="443"/>
      <c r="AF39" s="443"/>
      <c r="AG39" s="443"/>
      <c r="AH39" s="443"/>
      <c r="AI39" s="443"/>
      <c r="AJ39" s="443"/>
      <c r="AK39" s="553"/>
      <c r="AL39" s="553"/>
      <c r="AM39" s="549"/>
      <c r="AN39" s="443"/>
      <c r="AO39" s="443"/>
      <c r="AP39" s="443"/>
      <c r="AQ39" s="443"/>
      <c r="AR39" s="443"/>
      <c r="AS39" s="443"/>
      <c r="AT39" s="443"/>
      <c r="AU39" s="443"/>
      <c r="AV39" s="443"/>
      <c r="AW39" s="443"/>
      <c r="AX39" s="443"/>
      <c r="AY39" s="443"/>
      <c r="AZ39" s="443"/>
      <c r="BA39" s="443"/>
      <c r="BB39" s="443"/>
      <c r="BC39" s="443"/>
      <c r="BD39" s="443"/>
      <c r="BE39" s="443"/>
      <c r="BF39" s="443"/>
      <c r="BG39" s="443"/>
      <c r="BH39" s="443"/>
      <c r="BI39" s="443"/>
      <c r="BJ39" s="443"/>
      <c r="BK39" s="443"/>
      <c r="BL39" s="443"/>
      <c r="BM39" s="443"/>
      <c r="BN39" s="443"/>
      <c r="BO39" s="443"/>
      <c r="BP39" s="443"/>
      <c r="BQ39" s="443"/>
      <c r="BR39" s="443"/>
      <c r="BS39" s="443"/>
      <c r="BT39" s="443"/>
      <c r="BU39" s="447"/>
    </row>
    <row r="40" spans="1:73" ht="15" customHeight="1" x14ac:dyDescent="0.2">
      <c r="A40" s="1968"/>
      <c r="B40" s="444"/>
      <c r="C40" s="45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553"/>
      <c r="AL40" s="553"/>
      <c r="AM40" s="549"/>
      <c r="AN40" s="443"/>
      <c r="AO40" s="443"/>
      <c r="AP40" s="443"/>
      <c r="AQ40" s="443"/>
      <c r="AR40" s="443"/>
      <c r="AS40" s="443"/>
      <c r="AT40" s="443"/>
      <c r="AU40" s="443"/>
      <c r="AV40" s="443"/>
      <c r="AW40" s="443"/>
      <c r="AX40" s="443"/>
      <c r="AY40" s="443"/>
      <c r="AZ40" s="443"/>
      <c r="BA40" s="443"/>
      <c r="BB40" s="443"/>
      <c r="BC40" s="443"/>
      <c r="BD40" s="443"/>
      <c r="BE40" s="443"/>
      <c r="BF40" s="443"/>
      <c r="BG40" s="443"/>
      <c r="BH40" s="443"/>
      <c r="BI40" s="443"/>
      <c r="BJ40" s="443"/>
      <c r="BK40" s="443"/>
      <c r="BL40" s="443"/>
      <c r="BM40" s="443"/>
      <c r="BN40" s="443"/>
      <c r="BO40" s="443"/>
      <c r="BP40" s="443"/>
      <c r="BQ40" s="443"/>
      <c r="BR40" s="443"/>
      <c r="BS40" s="443"/>
      <c r="BT40" s="443"/>
      <c r="BU40" s="447"/>
    </row>
    <row r="41" spans="1:73" ht="15" customHeight="1" x14ac:dyDescent="0.2">
      <c r="A41" s="1968"/>
      <c r="B41" s="444"/>
      <c r="C41" s="45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553"/>
      <c r="AL41" s="553"/>
      <c r="AM41" s="553"/>
      <c r="AN41" s="465"/>
      <c r="AO41" s="443"/>
      <c r="AP41" s="443"/>
      <c r="AQ41" s="443"/>
      <c r="AR41" s="443"/>
      <c r="AS41" s="443"/>
      <c r="AT41" s="443"/>
      <c r="AU41" s="443"/>
      <c r="AV41" s="443"/>
      <c r="AW41" s="443"/>
      <c r="AX41" s="443"/>
      <c r="AY41" s="443"/>
      <c r="AZ41" s="443"/>
      <c r="BA41" s="443"/>
      <c r="BB41" s="443"/>
      <c r="BC41" s="443"/>
      <c r="BD41" s="443"/>
      <c r="BE41" s="443"/>
      <c r="BF41" s="443"/>
      <c r="BG41" s="443"/>
      <c r="BH41" s="443"/>
      <c r="BI41" s="443"/>
      <c r="BJ41" s="443"/>
      <c r="BK41" s="443"/>
      <c r="BL41" s="443"/>
      <c r="BM41" s="443"/>
      <c r="BN41" s="443"/>
      <c r="BO41" s="443"/>
      <c r="BP41" s="443"/>
      <c r="BQ41" s="443"/>
      <c r="BR41" s="443"/>
      <c r="BS41" s="443"/>
      <c r="BT41" s="443"/>
      <c r="BU41" s="447"/>
    </row>
    <row r="42" spans="1:73" ht="15" customHeight="1" x14ac:dyDescent="0.2">
      <c r="A42" s="1968"/>
      <c r="B42" s="444"/>
      <c r="C42" s="453"/>
      <c r="D42" s="443"/>
      <c r="E42" s="443"/>
      <c r="F42" s="443"/>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c r="AG42" s="443"/>
      <c r="AH42" s="443"/>
      <c r="AI42" s="443"/>
      <c r="AJ42" s="443"/>
      <c r="AK42" s="553"/>
      <c r="AL42" s="553"/>
      <c r="AM42" s="549"/>
      <c r="AN42" s="443"/>
      <c r="AO42" s="443"/>
      <c r="AP42" s="443"/>
      <c r="AQ42" s="443"/>
      <c r="AR42" s="443"/>
      <c r="AS42" s="443"/>
      <c r="AT42" s="443"/>
      <c r="AU42" s="443"/>
      <c r="AV42" s="443"/>
      <c r="AW42" s="443"/>
      <c r="AX42" s="443"/>
      <c r="AY42" s="443"/>
      <c r="AZ42" s="443"/>
      <c r="BA42" s="443"/>
      <c r="BB42" s="443"/>
      <c r="BC42" s="443"/>
      <c r="BD42" s="443"/>
      <c r="BE42" s="443"/>
      <c r="BF42" s="443"/>
      <c r="BG42" s="443"/>
      <c r="BH42" s="443"/>
      <c r="BI42" s="443"/>
      <c r="BJ42" s="443"/>
      <c r="BK42" s="443"/>
      <c r="BL42" s="443"/>
      <c r="BM42" s="443"/>
      <c r="BN42" s="443"/>
      <c r="BO42" s="443"/>
      <c r="BP42" s="443"/>
      <c r="BQ42" s="443"/>
      <c r="BR42" s="443"/>
      <c r="BS42" s="443"/>
      <c r="BT42" s="443"/>
      <c r="BU42" s="447"/>
    </row>
    <row r="43" spans="1:73" ht="15" customHeight="1" x14ac:dyDescent="0.2">
      <c r="A43" s="1968"/>
      <c r="B43" s="444"/>
      <c r="C43" s="453"/>
      <c r="D43" s="443"/>
      <c r="E43" s="443"/>
      <c r="F43" s="443"/>
      <c r="G43" s="443"/>
      <c r="H43" s="443"/>
      <c r="I43" s="443"/>
      <c r="J43" s="443"/>
      <c r="K43" s="443"/>
      <c r="L43" s="443"/>
      <c r="M43" s="443"/>
      <c r="N43" s="443"/>
      <c r="O43" s="443"/>
      <c r="P43" s="443"/>
      <c r="Q43" s="443"/>
      <c r="R43" s="443"/>
      <c r="S43" s="443"/>
      <c r="T43" s="443"/>
      <c r="U43" s="443"/>
      <c r="V43" s="443"/>
      <c r="W43" s="443"/>
      <c r="X43" s="443"/>
      <c r="Y43" s="443"/>
      <c r="Z43" s="443"/>
      <c r="AA43" s="443"/>
      <c r="AB43" s="443"/>
      <c r="AC43" s="443"/>
      <c r="AD43" s="443"/>
      <c r="AE43" s="443"/>
      <c r="AF43" s="443"/>
      <c r="AG43" s="443"/>
      <c r="AH43" s="443"/>
      <c r="AI43" s="443"/>
      <c r="AJ43" s="443"/>
      <c r="AK43" s="553"/>
      <c r="AL43" s="553"/>
      <c r="AM43" s="549"/>
      <c r="AN43" s="443"/>
      <c r="AO43" s="443"/>
      <c r="AP43" s="443"/>
      <c r="AQ43" s="443"/>
      <c r="AR43" s="443"/>
      <c r="AS43" s="443"/>
      <c r="AT43" s="443"/>
      <c r="AU43" s="443"/>
      <c r="AV43" s="443"/>
      <c r="AW43" s="443"/>
      <c r="AX43" s="443"/>
      <c r="AY43" s="443"/>
      <c r="AZ43" s="443"/>
      <c r="BA43" s="443"/>
      <c r="BB43" s="443"/>
      <c r="BC43" s="443"/>
      <c r="BD43" s="443"/>
      <c r="BE43" s="443"/>
      <c r="BF43" s="443"/>
      <c r="BG43" s="443"/>
      <c r="BH43" s="443"/>
      <c r="BI43" s="443"/>
      <c r="BJ43" s="443"/>
      <c r="BK43" s="443"/>
      <c r="BL43" s="443"/>
      <c r="BM43" s="443"/>
      <c r="BN43" s="443"/>
      <c r="BO43" s="443"/>
      <c r="BP43" s="443"/>
      <c r="BQ43" s="443"/>
      <c r="BR43" s="443"/>
      <c r="BS43" s="443"/>
      <c r="BT43" s="443"/>
      <c r="BU43" s="447"/>
    </row>
    <row r="44" spans="1:73" ht="15" customHeight="1" x14ac:dyDescent="0.2">
      <c r="A44" s="1968"/>
      <c r="B44" s="444"/>
      <c r="C44" s="1973" t="s">
        <v>1521</v>
      </c>
      <c r="D44" s="1969"/>
      <c r="E44" s="1969"/>
      <c r="F44" s="1969"/>
      <c r="G44" s="1969"/>
      <c r="H44" s="1969"/>
      <c r="I44" s="1969"/>
      <c r="J44" s="1969"/>
      <c r="K44" s="1969"/>
      <c r="L44" s="1969"/>
      <c r="M44" s="1969"/>
      <c r="N44" s="1969"/>
      <c r="O44" s="1969"/>
      <c r="P44" s="1969"/>
      <c r="Q44" s="1969"/>
      <c r="R44" s="1969"/>
      <c r="S44" s="1969"/>
      <c r="T44" s="1969"/>
      <c r="U44" s="1969"/>
      <c r="V44" s="1969"/>
      <c r="W44" s="1969"/>
      <c r="X44" s="1969"/>
      <c r="Y44" s="1969"/>
      <c r="Z44" s="1969"/>
      <c r="AA44" s="1969"/>
      <c r="AB44" s="1969"/>
      <c r="AC44" s="1969"/>
      <c r="AD44" s="1969"/>
      <c r="AE44" s="1969"/>
      <c r="AF44" s="1969"/>
      <c r="AG44" s="1969"/>
      <c r="AH44" s="1969"/>
      <c r="AI44" s="1969"/>
      <c r="AJ44" s="1969"/>
      <c r="AK44" s="1969"/>
      <c r="AL44" s="550"/>
      <c r="AM44" s="551"/>
      <c r="AN44" s="1971" t="s">
        <v>1521</v>
      </c>
      <c r="AO44" s="1971"/>
      <c r="AP44" s="1971"/>
      <c r="AQ44" s="1971"/>
      <c r="AR44" s="1971"/>
      <c r="AS44" s="1971"/>
      <c r="AT44" s="1971"/>
      <c r="AU44" s="1971"/>
      <c r="AV44" s="1971"/>
      <c r="AW44" s="1971"/>
      <c r="AX44" s="1971"/>
      <c r="AY44" s="1971"/>
      <c r="AZ44" s="1971"/>
      <c r="BA44" s="1971"/>
      <c r="BB44" s="1971"/>
      <c r="BC44" s="1971"/>
      <c r="BD44" s="1971"/>
      <c r="BE44" s="1971"/>
      <c r="BF44" s="1971"/>
      <c r="BG44" s="1971"/>
      <c r="BH44" s="1971"/>
      <c r="BI44" s="1971"/>
      <c r="BJ44" s="1971"/>
      <c r="BK44" s="1971"/>
      <c r="BL44" s="1971"/>
      <c r="BM44" s="1971"/>
      <c r="BN44" s="1971"/>
      <c r="BO44" s="1971"/>
      <c r="BP44" s="1971"/>
      <c r="BQ44" s="1971"/>
      <c r="BR44" s="1971"/>
      <c r="BS44" s="1971"/>
      <c r="BT44" s="1971"/>
      <c r="BU44" s="1972"/>
    </row>
    <row r="45" spans="1:73" ht="15" customHeight="1" x14ac:dyDescent="0.2">
      <c r="A45" s="1968"/>
      <c r="B45" s="444"/>
      <c r="C45" s="453"/>
      <c r="D45" s="443"/>
      <c r="E45" s="443"/>
      <c r="F45" s="443"/>
      <c r="G45" s="443"/>
      <c r="H45" s="443"/>
      <c r="I45" s="443"/>
      <c r="J45" s="443"/>
      <c r="K45" s="443"/>
      <c r="L45" s="443"/>
      <c r="M45" s="443"/>
      <c r="N45" s="443"/>
      <c r="O45" s="443"/>
      <c r="P45" s="443"/>
      <c r="Q45" s="443"/>
      <c r="R45" s="443"/>
      <c r="S45" s="443"/>
      <c r="T45" s="443"/>
      <c r="U45" s="443"/>
      <c r="V45" s="443"/>
      <c r="W45" s="443"/>
      <c r="X45" s="443"/>
      <c r="Y45" s="443"/>
      <c r="Z45" s="443"/>
      <c r="AA45" s="443"/>
      <c r="AB45" s="443"/>
      <c r="AC45" s="443"/>
      <c r="AD45" s="443"/>
      <c r="AE45" s="443"/>
      <c r="AF45" s="443"/>
      <c r="AG45" s="443"/>
      <c r="AH45" s="443"/>
      <c r="AI45" s="443"/>
      <c r="AJ45" s="443"/>
      <c r="AK45" s="553"/>
      <c r="AL45" s="553"/>
      <c r="AM45" s="549"/>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501"/>
    </row>
    <row r="46" spans="1:73" ht="15" customHeight="1" x14ac:dyDescent="0.2">
      <c r="A46" s="1968"/>
      <c r="B46" s="444"/>
      <c r="C46" s="45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553"/>
      <c r="AL46" s="553"/>
      <c r="AM46" s="549"/>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43"/>
      <c r="BL46" s="443"/>
      <c r="BM46" s="443"/>
      <c r="BN46" s="443"/>
      <c r="BO46" s="443"/>
      <c r="BP46" s="443"/>
      <c r="BQ46" s="443"/>
      <c r="BR46" s="443"/>
      <c r="BS46" s="443"/>
      <c r="BT46" s="443"/>
      <c r="BU46" s="447"/>
    </row>
    <row r="47" spans="1:73" ht="15" customHeight="1" x14ac:dyDescent="0.2">
      <c r="A47" s="1968"/>
      <c r="B47" s="444"/>
      <c r="C47" s="453"/>
      <c r="D47" s="443"/>
      <c r="E47" s="443"/>
      <c r="F47" s="443"/>
      <c r="G47" s="443"/>
      <c r="H47" s="443"/>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553"/>
      <c r="AL47" s="553"/>
      <c r="AM47" s="549"/>
      <c r="AN47" s="443"/>
      <c r="AO47" s="443"/>
      <c r="AP47" s="443"/>
      <c r="AQ47" s="443"/>
      <c r="AR47" s="443"/>
      <c r="AS47" s="443"/>
      <c r="AT47" s="443"/>
      <c r="AU47" s="443"/>
      <c r="AV47" s="443"/>
      <c r="AW47" s="443"/>
      <c r="AX47" s="443"/>
      <c r="AY47" s="443"/>
      <c r="AZ47" s="443"/>
      <c r="BA47" s="443"/>
      <c r="BB47" s="443"/>
      <c r="BC47" s="443"/>
      <c r="BD47" s="443"/>
      <c r="BE47" s="443"/>
      <c r="BF47" s="443"/>
      <c r="BG47" s="443"/>
      <c r="BH47" s="443"/>
      <c r="BI47" s="443"/>
      <c r="BJ47" s="443"/>
      <c r="BK47" s="443"/>
      <c r="BL47" s="443"/>
      <c r="BM47" s="443"/>
      <c r="BN47" s="443"/>
      <c r="BO47" s="443"/>
      <c r="BP47" s="443"/>
      <c r="BQ47" s="443"/>
      <c r="BR47" s="443"/>
      <c r="BS47" s="443"/>
      <c r="BT47" s="443"/>
      <c r="BU47" s="447"/>
    </row>
    <row r="48" spans="1:73" ht="15" customHeight="1" x14ac:dyDescent="0.2">
      <c r="A48" s="1968"/>
      <c r="B48" s="444"/>
      <c r="C48" s="453"/>
      <c r="D48" s="443"/>
      <c r="E48" s="443"/>
      <c r="F48" s="443"/>
      <c r="G48" s="443"/>
      <c r="H48" s="443"/>
      <c r="I48" s="443"/>
      <c r="J48" s="443"/>
      <c r="K48" s="443"/>
      <c r="L48" s="443"/>
      <c r="M48" s="443"/>
      <c r="N48" s="443"/>
      <c r="O48" s="443"/>
      <c r="P48" s="443"/>
      <c r="Q48" s="443"/>
      <c r="R48" s="443"/>
      <c r="S48" s="443"/>
      <c r="T48" s="443"/>
      <c r="U48" s="443"/>
      <c r="V48" s="443"/>
      <c r="W48" s="443"/>
      <c r="X48" s="443"/>
      <c r="Y48" s="443"/>
      <c r="Z48" s="443"/>
      <c r="AA48" s="443"/>
      <c r="AB48" s="443"/>
      <c r="AC48" s="443"/>
      <c r="AD48" s="443"/>
      <c r="AE48" s="443"/>
      <c r="AF48" s="443"/>
      <c r="AG48" s="443"/>
      <c r="AH48" s="443"/>
      <c r="AI48" s="443"/>
      <c r="AJ48" s="443"/>
      <c r="AK48" s="553"/>
      <c r="AL48" s="553"/>
      <c r="AM48" s="549"/>
      <c r="AN48" s="443"/>
      <c r="AO48" s="443"/>
      <c r="AP48" s="443"/>
      <c r="AQ48" s="443"/>
      <c r="AR48" s="443"/>
      <c r="AS48" s="443"/>
      <c r="AT48" s="443"/>
      <c r="AU48" s="443"/>
      <c r="AV48" s="443"/>
      <c r="AW48" s="443"/>
      <c r="AX48" s="443"/>
      <c r="AY48" s="443"/>
      <c r="AZ48" s="443"/>
      <c r="BA48" s="443"/>
      <c r="BB48" s="443"/>
      <c r="BC48" s="443"/>
      <c r="BD48" s="443"/>
      <c r="BE48" s="443"/>
      <c r="BF48" s="443"/>
      <c r="BG48" s="443"/>
      <c r="BH48" s="443"/>
      <c r="BI48" s="443"/>
      <c r="BJ48" s="443"/>
      <c r="BK48" s="443"/>
      <c r="BL48" s="443"/>
      <c r="BM48" s="443"/>
      <c r="BN48" s="443"/>
      <c r="BO48" s="443"/>
      <c r="BP48" s="443"/>
      <c r="BQ48" s="443"/>
      <c r="BR48" s="443"/>
      <c r="BS48" s="443"/>
      <c r="BT48" s="443"/>
      <c r="BU48" s="447"/>
    </row>
    <row r="49" spans="1:82" ht="15" customHeight="1" x14ac:dyDescent="0.2">
      <c r="A49" s="1968"/>
      <c r="B49" s="444"/>
      <c r="C49" s="453"/>
      <c r="D49" s="443"/>
      <c r="E49" s="443"/>
      <c r="F49" s="443"/>
      <c r="G49" s="443"/>
      <c r="H49" s="443"/>
      <c r="I49" s="443"/>
      <c r="J49" s="443"/>
      <c r="K49" s="443"/>
      <c r="L49" s="443"/>
      <c r="M49" s="443"/>
      <c r="N49" s="443"/>
      <c r="O49" s="443"/>
      <c r="P49" s="443"/>
      <c r="Q49" s="443"/>
      <c r="R49" s="443"/>
      <c r="S49" s="443"/>
      <c r="T49" s="443"/>
      <c r="U49" s="443"/>
      <c r="V49" s="443"/>
      <c r="W49" s="443"/>
      <c r="X49" s="443"/>
      <c r="Y49" s="443"/>
      <c r="Z49" s="443"/>
      <c r="AA49" s="443"/>
      <c r="AB49" s="443"/>
      <c r="AC49" s="443"/>
      <c r="AD49" s="443"/>
      <c r="AE49" s="443"/>
      <c r="AF49" s="443"/>
      <c r="AG49" s="443"/>
      <c r="AH49" s="443"/>
      <c r="AI49" s="443"/>
      <c r="AJ49" s="443"/>
      <c r="AK49" s="553"/>
      <c r="AL49" s="553"/>
      <c r="AM49" s="549"/>
      <c r="AN49" s="443"/>
      <c r="AO49" s="443"/>
      <c r="AP49" s="443"/>
      <c r="AQ49" s="443"/>
      <c r="AR49" s="443"/>
      <c r="AS49" s="443"/>
      <c r="AT49" s="443"/>
      <c r="AU49" s="443"/>
      <c r="AV49" s="443"/>
      <c r="AW49" s="443"/>
      <c r="AX49" s="443"/>
      <c r="AY49" s="443"/>
      <c r="AZ49" s="443"/>
      <c r="BA49" s="443"/>
      <c r="BB49" s="443"/>
      <c r="BC49" s="443"/>
      <c r="BD49" s="443"/>
      <c r="BE49" s="443"/>
      <c r="BF49" s="443"/>
      <c r="BG49" s="443"/>
      <c r="BH49" s="443"/>
      <c r="BI49" s="443"/>
      <c r="BJ49" s="443"/>
      <c r="BK49" s="443"/>
      <c r="BL49" s="443"/>
      <c r="BM49" s="443"/>
      <c r="BN49" s="443"/>
      <c r="BO49" s="443"/>
      <c r="BP49" s="443"/>
      <c r="BQ49" s="443"/>
      <c r="BR49" s="443"/>
      <c r="BS49" s="443"/>
      <c r="BT49" s="443"/>
      <c r="BU49" s="447"/>
    </row>
    <row r="50" spans="1:82" ht="15" customHeight="1" x14ac:dyDescent="0.2">
      <c r="A50" s="1968"/>
      <c r="B50" s="444"/>
      <c r="C50" s="453"/>
      <c r="D50" s="443"/>
      <c r="E50" s="443"/>
      <c r="F50" s="443"/>
      <c r="G50" s="443"/>
      <c r="H50" s="443"/>
      <c r="I50" s="443"/>
      <c r="J50" s="443"/>
      <c r="K50" s="443"/>
      <c r="L50" s="443"/>
      <c r="M50" s="443"/>
      <c r="N50" s="443"/>
      <c r="O50" s="443"/>
      <c r="P50" s="443"/>
      <c r="Q50" s="443"/>
      <c r="R50" s="443"/>
      <c r="S50" s="443"/>
      <c r="T50" s="443"/>
      <c r="U50" s="443"/>
      <c r="V50" s="443"/>
      <c r="W50" s="443"/>
      <c r="X50" s="443"/>
      <c r="Y50" s="443"/>
      <c r="Z50" s="443"/>
      <c r="AA50" s="443"/>
      <c r="AB50" s="443"/>
      <c r="AC50" s="443"/>
      <c r="AD50" s="443"/>
      <c r="AE50" s="443"/>
      <c r="AF50" s="443"/>
      <c r="AG50" s="443"/>
      <c r="AH50" s="443"/>
      <c r="AI50" s="443"/>
      <c r="AJ50" s="443"/>
      <c r="AK50" s="553"/>
      <c r="AL50" s="553"/>
      <c r="AM50" s="549"/>
      <c r="AN50" s="443"/>
      <c r="AO50" s="443"/>
      <c r="AP50" s="443"/>
      <c r="AQ50" s="443"/>
      <c r="AR50" s="443"/>
      <c r="AS50" s="443"/>
      <c r="AT50" s="443"/>
      <c r="AU50" s="443"/>
      <c r="AV50" s="443"/>
      <c r="AW50" s="443"/>
      <c r="AX50" s="443"/>
      <c r="AY50" s="443"/>
      <c r="AZ50" s="443"/>
      <c r="BA50" s="443"/>
      <c r="BB50" s="443"/>
      <c r="BC50" s="443"/>
      <c r="BD50" s="443"/>
      <c r="BE50" s="443"/>
      <c r="BF50" s="443"/>
      <c r="BG50" s="443"/>
      <c r="BH50" s="443"/>
      <c r="BI50" s="443"/>
      <c r="BJ50" s="443"/>
      <c r="BK50" s="443"/>
      <c r="BL50" s="443"/>
      <c r="BM50" s="443"/>
      <c r="BN50" s="443"/>
      <c r="BO50" s="443"/>
      <c r="BP50" s="443"/>
      <c r="BQ50" s="443"/>
      <c r="BR50" s="443"/>
      <c r="BS50" s="443"/>
      <c r="BT50" s="443"/>
      <c r="BU50" s="447"/>
    </row>
    <row r="51" spans="1:82" ht="15" customHeight="1" x14ac:dyDescent="0.2">
      <c r="A51" s="1968"/>
      <c r="B51" s="444"/>
      <c r="C51" s="453"/>
      <c r="D51" s="443"/>
      <c r="E51" s="443"/>
      <c r="F51" s="443"/>
      <c r="G51" s="443"/>
      <c r="H51" s="443"/>
      <c r="I51" s="443"/>
      <c r="J51" s="443"/>
      <c r="K51" s="443"/>
      <c r="L51" s="443"/>
      <c r="M51" s="443"/>
      <c r="N51" s="443"/>
      <c r="O51" s="443"/>
      <c r="P51" s="443"/>
      <c r="Q51" s="443"/>
      <c r="R51" s="443"/>
      <c r="S51" s="443"/>
      <c r="T51" s="443"/>
      <c r="U51" s="443"/>
      <c r="V51" s="443"/>
      <c r="W51" s="443"/>
      <c r="X51" s="443"/>
      <c r="Y51" s="443"/>
      <c r="Z51" s="443"/>
      <c r="AA51" s="443"/>
      <c r="AB51" s="443"/>
      <c r="AC51" s="443"/>
      <c r="AD51" s="443"/>
      <c r="AE51" s="443"/>
      <c r="AF51" s="443"/>
      <c r="AG51" s="443"/>
      <c r="AH51" s="443"/>
      <c r="AI51" s="443"/>
      <c r="AJ51" s="443"/>
      <c r="AK51" s="553"/>
      <c r="AL51" s="553"/>
      <c r="AM51" s="549"/>
      <c r="AN51" s="443"/>
      <c r="AO51" s="443"/>
      <c r="AP51" s="443"/>
      <c r="AQ51" s="443"/>
      <c r="AR51" s="443"/>
      <c r="AS51" s="443"/>
      <c r="AT51" s="443"/>
      <c r="AU51" s="443"/>
      <c r="AV51" s="443"/>
      <c r="AW51" s="443"/>
      <c r="AX51" s="443"/>
      <c r="AY51" s="443"/>
      <c r="AZ51" s="443"/>
      <c r="BA51" s="443"/>
      <c r="BB51" s="443"/>
      <c r="BC51" s="443"/>
      <c r="BD51" s="443"/>
      <c r="BE51" s="443"/>
      <c r="BF51" s="443"/>
      <c r="BG51" s="443"/>
      <c r="BH51" s="443"/>
      <c r="BI51" s="443"/>
      <c r="BJ51" s="443"/>
      <c r="BK51" s="443"/>
      <c r="BL51" s="443"/>
      <c r="BM51" s="443"/>
      <c r="BN51" s="443"/>
      <c r="BO51" s="443"/>
      <c r="BP51" s="443"/>
      <c r="BQ51" s="443"/>
      <c r="BR51" s="443"/>
      <c r="BS51" s="443"/>
      <c r="BT51" s="443"/>
      <c r="BU51" s="447"/>
    </row>
    <row r="52" spans="1:82" ht="15" customHeight="1" x14ac:dyDescent="0.2">
      <c r="A52" s="1968"/>
      <c r="B52" s="444"/>
      <c r="C52" s="453"/>
      <c r="D52" s="443"/>
      <c r="E52" s="443"/>
      <c r="F52" s="443"/>
      <c r="G52" s="443"/>
      <c r="H52" s="443"/>
      <c r="I52" s="443"/>
      <c r="J52" s="443"/>
      <c r="K52" s="443"/>
      <c r="L52" s="443"/>
      <c r="M52" s="443"/>
      <c r="N52" s="443"/>
      <c r="O52" s="443"/>
      <c r="P52" s="443"/>
      <c r="Q52" s="443"/>
      <c r="R52" s="443"/>
      <c r="S52" s="443"/>
      <c r="T52" s="443"/>
      <c r="U52" s="443"/>
      <c r="V52" s="443"/>
      <c r="W52" s="443"/>
      <c r="X52" s="443"/>
      <c r="Y52" s="443"/>
      <c r="Z52" s="443"/>
      <c r="AA52" s="443"/>
      <c r="AB52" s="443"/>
      <c r="AC52" s="443"/>
      <c r="AD52" s="443"/>
      <c r="AE52" s="443"/>
      <c r="AF52" s="443"/>
      <c r="AG52" s="443"/>
      <c r="AH52" s="443"/>
      <c r="AI52" s="443"/>
      <c r="AJ52" s="443"/>
      <c r="AK52" s="553"/>
      <c r="AL52" s="553"/>
      <c r="AM52" s="549"/>
      <c r="AN52" s="443"/>
      <c r="AO52" s="443"/>
      <c r="AP52" s="443"/>
      <c r="AQ52" s="443"/>
      <c r="AR52" s="443"/>
      <c r="AS52" s="443"/>
      <c r="AT52" s="443"/>
      <c r="AU52" s="443"/>
      <c r="AV52" s="443"/>
      <c r="AW52" s="443"/>
      <c r="AX52" s="443"/>
      <c r="AY52" s="443"/>
      <c r="AZ52" s="443"/>
      <c r="BA52" s="443"/>
      <c r="BB52" s="443"/>
      <c r="BC52" s="443"/>
      <c r="BD52" s="443"/>
      <c r="BE52" s="443"/>
      <c r="BF52" s="443"/>
      <c r="BG52" s="443"/>
      <c r="BH52" s="443"/>
      <c r="BI52" s="443"/>
      <c r="BJ52" s="443"/>
      <c r="BK52" s="443"/>
      <c r="BL52" s="443"/>
      <c r="BM52" s="443"/>
      <c r="BN52" s="443"/>
      <c r="BO52" s="443"/>
      <c r="BP52" s="443"/>
      <c r="BQ52" s="443"/>
      <c r="BR52" s="443"/>
      <c r="BS52" s="443"/>
      <c r="BT52" s="443"/>
      <c r="BU52" s="447"/>
    </row>
    <row r="53" spans="1:82" ht="15" customHeight="1" x14ac:dyDescent="0.2">
      <c r="A53" s="1968"/>
      <c r="B53" s="444"/>
      <c r="C53" s="453"/>
      <c r="D53" s="443"/>
      <c r="E53" s="443"/>
      <c r="F53" s="443"/>
      <c r="G53" s="443"/>
      <c r="H53" s="443"/>
      <c r="I53" s="443"/>
      <c r="J53" s="443"/>
      <c r="K53" s="443"/>
      <c r="L53" s="443"/>
      <c r="M53" s="443"/>
      <c r="N53" s="443"/>
      <c r="O53" s="443"/>
      <c r="P53" s="443"/>
      <c r="Q53" s="443"/>
      <c r="R53" s="443"/>
      <c r="S53" s="443"/>
      <c r="T53" s="443"/>
      <c r="U53" s="443"/>
      <c r="V53" s="443"/>
      <c r="W53" s="443"/>
      <c r="X53" s="443"/>
      <c r="Y53" s="443"/>
      <c r="Z53" s="443"/>
      <c r="AA53" s="443"/>
      <c r="AB53" s="443"/>
      <c r="AC53" s="443"/>
      <c r="AD53" s="443"/>
      <c r="AE53" s="443"/>
      <c r="AF53" s="443"/>
      <c r="AG53" s="443"/>
      <c r="AH53" s="443"/>
      <c r="AI53" s="443"/>
      <c r="AJ53" s="443"/>
      <c r="AK53" s="553"/>
      <c r="AL53" s="553"/>
      <c r="AM53" s="549"/>
      <c r="AN53" s="443"/>
      <c r="AO53" s="443"/>
      <c r="AP53" s="443"/>
      <c r="AQ53" s="443"/>
      <c r="AR53" s="443"/>
      <c r="AS53" s="443"/>
      <c r="AT53" s="443"/>
      <c r="AU53" s="443"/>
      <c r="AV53" s="443"/>
      <c r="AW53" s="443"/>
      <c r="AX53" s="443"/>
      <c r="AY53" s="443"/>
      <c r="AZ53" s="443"/>
      <c r="BA53" s="443"/>
      <c r="BB53" s="443"/>
      <c r="BC53" s="443"/>
      <c r="BD53" s="443"/>
      <c r="BE53" s="443"/>
      <c r="BF53" s="443"/>
      <c r="BG53" s="443"/>
      <c r="BH53" s="443"/>
      <c r="BI53" s="443"/>
      <c r="BJ53" s="443"/>
      <c r="BK53" s="443"/>
      <c r="BL53" s="443"/>
      <c r="BM53" s="443"/>
      <c r="BN53" s="443"/>
      <c r="BO53" s="443"/>
      <c r="BP53" s="443"/>
      <c r="BQ53" s="443"/>
      <c r="BR53" s="443"/>
      <c r="BS53" s="443"/>
      <c r="BT53" s="443"/>
      <c r="BU53" s="447"/>
    </row>
    <row r="54" spans="1:82" ht="15" customHeight="1" x14ac:dyDescent="0.2">
      <c r="A54" s="1968"/>
      <c r="B54" s="444"/>
      <c r="C54" s="453"/>
      <c r="D54" s="443"/>
      <c r="E54" s="443"/>
      <c r="F54" s="443"/>
      <c r="G54" s="443"/>
      <c r="H54" s="443"/>
      <c r="I54" s="443"/>
      <c r="J54" s="443"/>
      <c r="K54" s="443"/>
      <c r="L54" s="443"/>
      <c r="M54" s="443"/>
      <c r="N54" s="443"/>
      <c r="O54" s="443"/>
      <c r="P54" s="443"/>
      <c r="Q54" s="443"/>
      <c r="R54" s="443"/>
      <c r="S54" s="443"/>
      <c r="T54" s="443"/>
      <c r="U54" s="443"/>
      <c r="V54" s="443"/>
      <c r="W54" s="443"/>
      <c r="X54" s="443"/>
      <c r="Y54" s="443"/>
      <c r="Z54" s="443"/>
      <c r="AA54" s="443"/>
      <c r="AB54" s="443"/>
      <c r="AC54" s="443"/>
      <c r="AD54" s="443"/>
      <c r="AE54" s="443"/>
      <c r="AF54" s="443"/>
      <c r="AG54" s="443"/>
      <c r="AH54" s="443"/>
      <c r="AI54" s="443"/>
      <c r="AJ54" s="443"/>
      <c r="AK54" s="553"/>
      <c r="AL54" s="553"/>
      <c r="AM54" s="549"/>
      <c r="AN54" s="443"/>
      <c r="AO54" s="443"/>
      <c r="AP54" s="443"/>
      <c r="AQ54" s="443"/>
      <c r="AR54" s="443"/>
      <c r="AS54" s="443"/>
      <c r="AT54" s="443"/>
      <c r="AU54" s="443"/>
      <c r="AV54" s="443"/>
      <c r="AW54" s="443"/>
      <c r="AX54" s="443"/>
      <c r="AY54" s="443"/>
      <c r="AZ54" s="443"/>
      <c r="BA54" s="443"/>
      <c r="BB54" s="443"/>
      <c r="BC54" s="443"/>
      <c r="BD54" s="443"/>
      <c r="BE54" s="443"/>
      <c r="BF54" s="443"/>
      <c r="BG54" s="443"/>
      <c r="BH54" s="443"/>
      <c r="BI54" s="443"/>
      <c r="BJ54" s="443"/>
      <c r="BK54" s="443"/>
      <c r="BL54" s="443"/>
      <c r="BM54" s="443"/>
      <c r="BN54" s="443"/>
      <c r="BO54" s="443"/>
      <c r="BP54" s="443"/>
      <c r="BQ54" s="443"/>
      <c r="BR54" s="443"/>
      <c r="BS54" s="443"/>
      <c r="BT54" s="443"/>
      <c r="BU54" s="447"/>
    </row>
    <row r="55" spans="1:82" ht="15" customHeight="1" x14ac:dyDescent="0.2">
      <c r="A55" s="1968"/>
      <c r="B55" s="444"/>
      <c r="C55" s="453"/>
      <c r="D55" s="443"/>
      <c r="E55" s="443"/>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553"/>
      <c r="AL55" s="553"/>
      <c r="AM55" s="549"/>
      <c r="AN55" s="443"/>
      <c r="AO55" s="443"/>
      <c r="AP55" s="443"/>
      <c r="AQ55" s="443"/>
      <c r="AR55" s="443"/>
      <c r="AS55" s="443"/>
      <c r="AT55" s="443"/>
      <c r="AU55" s="443"/>
      <c r="AV55" s="443"/>
      <c r="AW55" s="443"/>
      <c r="AX55" s="443"/>
      <c r="AY55" s="443"/>
      <c r="AZ55" s="443"/>
      <c r="BA55" s="443"/>
      <c r="BB55" s="443"/>
      <c r="BC55" s="443"/>
      <c r="BD55" s="443"/>
      <c r="BE55" s="443"/>
      <c r="BF55" s="443"/>
      <c r="BG55" s="443"/>
      <c r="BH55" s="443"/>
      <c r="BI55" s="443"/>
      <c r="BJ55" s="443"/>
      <c r="BK55" s="443"/>
      <c r="BL55" s="443"/>
      <c r="BM55" s="443"/>
      <c r="BN55" s="443"/>
      <c r="BO55" s="443"/>
      <c r="BP55" s="443"/>
      <c r="BQ55" s="443"/>
      <c r="BR55" s="443"/>
      <c r="BS55" s="443"/>
      <c r="BT55" s="443"/>
      <c r="BU55" s="447"/>
    </row>
    <row r="56" spans="1:82" ht="15" customHeight="1" x14ac:dyDescent="0.2">
      <c r="A56" s="1968"/>
      <c r="B56" s="444"/>
      <c r="C56" s="453"/>
      <c r="D56" s="443"/>
      <c r="E56" s="443"/>
      <c r="F56" s="443"/>
      <c r="G56" s="443"/>
      <c r="H56" s="443"/>
      <c r="I56" s="443"/>
      <c r="J56" s="443"/>
      <c r="K56" s="443"/>
      <c r="L56" s="443"/>
      <c r="M56" s="443"/>
      <c r="N56" s="443"/>
      <c r="O56" s="443"/>
      <c r="P56" s="443"/>
      <c r="Q56" s="443"/>
      <c r="R56" s="443"/>
      <c r="S56" s="443"/>
      <c r="T56" s="443"/>
      <c r="U56" s="443"/>
      <c r="V56" s="443"/>
      <c r="W56" s="443"/>
      <c r="X56" s="443"/>
      <c r="Y56" s="443"/>
      <c r="Z56" s="443"/>
      <c r="AA56" s="443"/>
      <c r="AB56" s="443"/>
      <c r="AC56" s="443"/>
      <c r="AD56" s="443"/>
      <c r="AE56" s="443"/>
      <c r="AF56" s="443"/>
      <c r="AG56" s="443"/>
      <c r="AH56" s="443"/>
      <c r="AI56" s="443"/>
      <c r="AJ56" s="443"/>
      <c r="AK56" s="553"/>
      <c r="AL56" s="553"/>
      <c r="AM56" s="549"/>
      <c r="AN56" s="443"/>
      <c r="AO56" s="443"/>
      <c r="AP56" s="443"/>
      <c r="AQ56" s="443"/>
      <c r="AR56" s="443"/>
      <c r="AS56" s="443"/>
      <c r="AT56" s="443"/>
      <c r="AU56" s="443"/>
      <c r="AV56" s="443"/>
      <c r="AW56" s="443"/>
      <c r="AX56" s="443"/>
      <c r="AY56" s="443"/>
      <c r="AZ56" s="443"/>
      <c r="BA56" s="443"/>
      <c r="BB56" s="443"/>
      <c r="BC56" s="443"/>
      <c r="BD56" s="443"/>
      <c r="BE56" s="443"/>
      <c r="BF56" s="443"/>
      <c r="BG56" s="443"/>
      <c r="BH56" s="443"/>
      <c r="BI56" s="443"/>
      <c r="BJ56" s="443"/>
      <c r="BK56" s="443"/>
      <c r="BL56" s="443"/>
      <c r="BM56" s="443"/>
      <c r="BN56" s="443"/>
      <c r="BO56" s="443"/>
      <c r="BP56" s="443"/>
      <c r="BQ56" s="443"/>
      <c r="BR56" s="443"/>
      <c r="BS56" s="443"/>
      <c r="BT56" s="443"/>
      <c r="BU56" s="447"/>
    </row>
    <row r="57" spans="1:82" ht="15" customHeight="1" x14ac:dyDescent="0.2">
      <c r="A57" s="1968"/>
      <c r="B57" s="444"/>
      <c r="C57" s="453"/>
      <c r="D57" s="443"/>
      <c r="E57" s="443"/>
      <c r="F57" s="443"/>
      <c r="G57" s="443"/>
      <c r="H57" s="443"/>
      <c r="I57" s="443"/>
      <c r="J57" s="443"/>
      <c r="K57" s="443"/>
      <c r="L57" s="443"/>
      <c r="M57" s="443"/>
      <c r="N57" s="443"/>
      <c r="O57" s="443"/>
      <c r="P57" s="443"/>
      <c r="Q57" s="443"/>
      <c r="R57" s="443"/>
      <c r="S57" s="443"/>
      <c r="T57" s="443"/>
      <c r="U57" s="443"/>
      <c r="V57" s="443"/>
      <c r="W57" s="443"/>
      <c r="X57" s="443"/>
      <c r="Y57" s="443"/>
      <c r="Z57" s="443"/>
      <c r="AA57" s="443"/>
      <c r="AB57" s="443"/>
      <c r="AC57" s="443"/>
      <c r="AD57" s="443"/>
      <c r="AE57" s="443"/>
      <c r="AF57" s="443"/>
      <c r="AG57" s="443"/>
      <c r="AH57" s="443"/>
      <c r="AI57" s="443"/>
      <c r="AJ57" s="443"/>
      <c r="AK57" s="553"/>
      <c r="AL57" s="553"/>
      <c r="AM57" s="549"/>
      <c r="AN57" s="443"/>
      <c r="AO57" s="443"/>
      <c r="AP57" s="443"/>
      <c r="AQ57" s="443"/>
      <c r="AR57" s="443"/>
      <c r="AS57" s="443"/>
      <c r="AT57" s="443"/>
      <c r="AU57" s="443"/>
      <c r="AV57" s="443"/>
      <c r="AW57" s="443"/>
      <c r="AX57" s="443"/>
      <c r="AY57" s="443"/>
      <c r="AZ57" s="443"/>
      <c r="BA57" s="443"/>
      <c r="BB57" s="443"/>
      <c r="BC57" s="443"/>
      <c r="BD57" s="443"/>
      <c r="BE57" s="443"/>
      <c r="BF57" s="443"/>
      <c r="BG57" s="443"/>
      <c r="BH57" s="443"/>
      <c r="BI57" s="443"/>
      <c r="BJ57" s="443"/>
      <c r="BK57" s="443"/>
      <c r="BL57" s="443"/>
      <c r="BM57" s="443"/>
      <c r="BN57" s="443"/>
      <c r="BO57" s="443"/>
      <c r="BP57" s="443"/>
      <c r="BQ57" s="443"/>
      <c r="BR57" s="443"/>
      <c r="BS57" s="443"/>
      <c r="BT57" s="443"/>
      <c r="BU57" s="447"/>
    </row>
    <row r="58" spans="1:82" ht="15" customHeight="1" x14ac:dyDescent="0.2">
      <c r="A58" s="1968"/>
      <c r="B58" s="444"/>
      <c r="C58" s="453"/>
      <c r="D58" s="443"/>
      <c r="E58" s="443"/>
      <c r="F58" s="443"/>
      <c r="G58" s="443"/>
      <c r="H58" s="443"/>
      <c r="I58" s="443"/>
      <c r="J58" s="443"/>
      <c r="K58" s="443"/>
      <c r="L58" s="443"/>
      <c r="M58" s="443"/>
      <c r="N58" s="443"/>
      <c r="O58" s="443"/>
      <c r="P58" s="443"/>
      <c r="Q58" s="443"/>
      <c r="R58" s="443"/>
      <c r="S58" s="443"/>
      <c r="T58" s="443"/>
      <c r="U58" s="443"/>
      <c r="V58" s="443"/>
      <c r="W58" s="443"/>
      <c r="X58" s="443"/>
      <c r="Y58" s="443"/>
      <c r="Z58" s="443"/>
      <c r="AA58" s="443"/>
      <c r="AB58" s="443"/>
      <c r="AC58" s="443"/>
      <c r="AD58" s="443"/>
      <c r="AE58" s="443"/>
      <c r="AF58" s="443"/>
      <c r="AG58" s="443"/>
      <c r="AH58" s="443"/>
      <c r="AI58" s="443"/>
      <c r="AJ58" s="443"/>
      <c r="AK58" s="553"/>
      <c r="AL58" s="553"/>
      <c r="AM58" s="549"/>
      <c r="AN58" s="443"/>
      <c r="AO58" s="443"/>
      <c r="AP58" s="443"/>
      <c r="AQ58" s="443"/>
      <c r="AR58" s="443"/>
      <c r="AS58" s="443"/>
      <c r="AT58" s="443"/>
      <c r="AU58" s="443"/>
      <c r="AV58" s="443"/>
      <c r="AW58" s="443"/>
      <c r="AX58" s="443"/>
      <c r="AY58" s="443"/>
      <c r="AZ58" s="443"/>
      <c r="BA58" s="443"/>
      <c r="BB58" s="443"/>
      <c r="BC58" s="443"/>
      <c r="BD58" s="443"/>
      <c r="BE58" s="443"/>
      <c r="BF58" s="443"/>
      <c r="BG58" s="443"/>
      <c r="BH58" s="443"/>
      <c r="BI58" s="443"/>
      <c r="BJ58" s="443"/>
      <c r="BK58" s="443"/>
      <c r="BL58" s="443"/>
      <c r="BM58" s="443"/>
      <c r="BN58" s="443"/>
      <c r="BO58" s="443"/>
      <c r="BP58" s="443"/>
      <c r="BQ58" s="443"/>
      <c r="BR58" s="443"/>
      <c r="BS58" s="443"/>
      <c r="BT58" s="443"/>
      <c r="BU58" s="447"/>
    </row>
    <row r="59" spans="1:82" ht="15" customHeight="1" thickBot="1" x14ac:dyDescent="0.25">
      <c r="A59" s="1968"/>
      <c r="B59" s="444"/>
      <c r="C59" s="453"/>
      <c r="D59" s="443"/>
      <c r="E59" s="443"/>
      <c r="F59" s="443"/>
      <c r="G59" s="443"/>
      <c r="H59" s="443"/>
      <c r="I59" s="443"/>
      <c r="J59" s="443"/>
      <c r="K59" s="443"/>
      <c r="L59" s="443"/>
      <c r="M59" s="443"/>
      <c r="N59" s="443"/>
      <c r="O59" s="443"/>
      <c r="P59" s="443"/>
      <c r="Q59" s="443"/>
      <c r="R59" s="443"/>
      <c r="S59" s="443"/>
      <c r="T59" s="443"/>
      <c r="U59" s="443"/>
      <c r="V59" s="443"/>
      <c r="W59" s="443"/>
      <c r="X59" s="443"/>
      <c r="Y59" s="443"/>
      <c r="Z59" s="443"/>
      <c r="AA59" s="443"/>
      <c r="AB59" s="443"/>
      <c r="AC59" s="443"/>
      <c r="AD59" s="443"/>
      <c r="AE59" s="443"/>
      <c r="AF59" s="443"/>
      <c r="AG59" s="443"/>
      <c r="AH59" s="443"/>
      <c r="AI59" s="443"/>
      <c r="AJ59" s="443"/>
      <c r="AK59" s="553"/>
      <c r="AL59" s="553"/>
      <c r="AM59" s="549"/>
      <c r="AN59" s="443"/>
      <c r="AO59" s="443"/>
      <c r="AP59" s="443"/>
      <c r="AQ59" s="443"/>
      <c r="AR59" s="443"/>
      <c r="AS59" s="443"/>
      <c r="AT59" s="443"/>
      <c r="AU59" s="443"/>
      <c r="AV59" s="443"/>
      <c r="AW59" s="443"/>
      <c r="AX59" s="443"/>
      <c r="AY59" s="443"/>
      <c r="AZ59" s="443"/>
      <c r="BA59" s="443"/>
      <c r="BB59" s="443"/>
      <c r="BC59" s="443"/>
      <c r="BD59" s="443"/>
      <c r="BE59" s="443"/>
      <c r="BF59" s="443"/>
      <c r="BG59" s="443"/>
      <c r="BH59" s="443"/>
      <c r="BI59" s="443"/>
      <c r="BJ59" s="443"/>
      <c r="BK59" s="443"/>
      <c r="BL59" s="443"/>
      <c r="BM59" s="443"/>
      <c r="BN59" s="443"/>
      <c r="BO59" s="443"/>
      <c r="BP59" s="443"/>
      <c r="BQ59" s="443"/>
      <c r="BR59" s="443"/>
      <c r="BS59" s="443"/>
      <c r="BT59" s="443"/>
      <c r="BU59" s="447"/>
    </row>
    <row r="60" spans="1:82" ht="15" customHeight="1" thickBot="1" x14ac:dyDescent="0.25">
      <c r="A60" s="1968"/>
      <c r="B60" s="444"/>
      <c r="C60" s="453"/>
      <c r="D60" s="443"/>
      <c r="E60" s="443"/>
      <c r="F60" s="443"/>
      <c r="G60" s="443"/>
      <c r="H60" s="443"/>
      <c r="I60" s="443"/>
      <c r="J60" s="443"/>
      <c r="K60" s="443"/>
      <c r="L60" s="443"/>
      <c r="M60" s="443"/>
      <c r="N60" s="443"/>
      <c r="O60" s="443"/>
      <c r="P60" s="443"/>
      <c r="Q60" s="443"/>
      <c r="R60" s="443"/>
      <c r="S60" s="443"/>
      <c r="T60" s="443"/>
      <c r="U60" s="443"/>
      <c r="V60" s="443"/>
      <c r="W60" s="443"/>
      <c r="X60" s="443"/>
      <c r="Y60" s="443"/>
      <c r="Z60" s="443"/>
      <c r="AA60" s="443"/>
      <c r="AB60" s="443"/>
      <c r="AC60" s="443"/>
      <c r="AD60" s="443"/>
      <c r="AE60" s="443"/>
      <c r="AF60" s="443"/>
      <c r="AG60" s="443"/>
      <c r="AH60" s="443"/>
      <c r="AI60" s="443"/>
      <c r="AJ60" s="443"/>
      <c r="AK60" s="553"/>
      <c r="AL60" s="553"/>
      <c r="AM60" s="549"/>
      <c r="AN60" s="443"/>
      <c r="AO60" s="443"/>
      <c r="AP60" s="443"/>
      <c r="AQ60" s="443"/>
      <c r="AR60" s="443"/>
      <c r="AS60" s="443"/>
      <c r="AT60" s="443"/>
      <c r="AU60" s="443"/>
      <c r="AV60" s="443"/>
      <c r="AW60" s="443"/>
      <c r="AX60" s="443"/>
      <c r="AY60" s="443"/>
      <c r="AZ60" s="443"/>
      <c r="BA60" s="443"/>
      <c r="BB60" s="443"/>
      <c r="BC60" s="443"/>
      <c r="BD60" s="443"/>
      <c r="BE60" s="443"/>
      <c r="BF60" s="443"/>
      <c r="BG60" s="443"/>
      <c r="BH60" s="443"/>
      <c r="BI60" s="443"/>
      <c r="BJ60" s="443"/>
      <c r="BK60" s="443"/>
      <c r="BL60" s="443"/>
      <c r="BM60" s="443"/>
      <c r="BN60" s="443"/>
      <c r="BO60" s="443"/>
      <c r="BP60" s="443"/>
      <c r="BQ60" s="443"/>
      <c r="BR60" s="443"/>
      <c r="BS60" s="443"/>
      <c r="BT60" s="443"/>
      <c r="BU60" s="447"/>
      <c r="BY60" s="1041" t="s">
        <v>2658</v>
      </c>
      <c r="BZ60" s="1042"/>
      <c r="CA60" s="1042"/>
      <c r="CB60" s="1042"/>
      <c r="CC60" s="1042"/>
      <c r="CD60" s="1043"/>
    </row>
    <row r="61" spans="1:82" ht="15" customHeight="1" x14ac:dyDescent="0.2">
      <c r="A61" s="1968"/>
      <c r="B61" s="444"/>
      <c r="C61" s="453"/>
      <c r="D61" s="443"/>
      <c r="E61" s="443"/>
      <c r="F61" s="443"/>
      <c r="G61" s="443"/>
      <c r="H61" s="443"/>
      <c r="I61" s="443"/>
      <c r="J61" s="443"/>
      <c r="K61" s="443"/>
      <c r="L61" s="443"/>
      <c r="M61" s="443"/>
      <c r="N61" s="443"/>
      <c r="O61" s="443"/>
      <c r="P61" s="443"/>
      <c r="Q61" s="443"/>
      <c r="R61" s="443"/>
      <c r="S61" s="443"/>
      <c r="T61" s="443"/>
      <c r="U61" s="443"/>
      <c r="V61" s="443"/>
      <c r="W61" s="443"/>
      <c r="X61" s="443"/>
      <c r="Y61" s="443"/>
      <c r="Z61" s="443"/>
      <c r="AA61" s="443"/>
      <c r="AB61" s="443"/>
      <c r="AC61" s="443"/>
      <c r="AD61" s="443"/>
      <c r="AE61" s="443"/>
      <c r="AF61" s="443"/>
      <c r="AG61" s="443"/>
      <c r="AH61" s="443"/>
      <c r="AI61" s="443"/>
      <c r="AJ61" s="443"/>
      <c r="AK61" s="553"/>
      <c r="AL61" s="553"/>
      <c r="AM61" s="553"/>
      <c r="AN61" s="465"/>
      <c r="AO61" s="443"/>
      <c r="AP61" s="443"/>
      <c r="AQ61" s="443"/>
      <c r="AR61" s="443"/>
      <c r="AS61" s="443"/>
      <c r="AT61" s="443"/>
      <c r="AU61" s="443"/>
      <c r="AV61" s="443"/>
      <c r="AW61" s="443"/>
      <c r="AX61" s="443"/>
      <c r="AY61" s="443"/>
      <c r="AZ61" s="443"/>
      <c r="BA61" s="443"/>
      <c r="BB61" s="443"/>
      <c r="BC61" s="443"/>
      <c r="BD61" s="443"/>
      <c r="BE61" s="443"/>
      <c r="BF61" s="443"/>
      <c r="BG61" s="443"/>
      <c r="BH61" s="443"/>
      <c r="BI61" s="443"/>
      <c r="BJ61" s="443"/>
      <c r="BK61" s="443"/>
      <c r="BL61" s="443"/>
      <c r="BM61" s="443"/>
      <c r="BN61" s="443"/>
      <c r="BO61" s="443"/>
      <c r="BP61" s="443"/>
      <c r="BQ61" s="443"/>
      <c r="BR61" s="443"/>
      <c r="BS61" s="443"/>
      <c r="BT61" s="443"/>
      <c r="BU61" s="447"/>
      <c r="BY61" s="1033" t="s">
        <v>2659</v>
      </c>
      <c r="BZ61" s="1034"/>
      <c r="CA61" s="1034"/>
      <c r="CB61" s="1034"/>
      <c r="CC61" s="1034"/>
      <c r="CD61" s="1035"/>
    </row>
    <row r="62" spans="1:82" ht="15" customHeight="1" x14ac:dyDescent="0.2">
      <c r="A62" s="1968"/>
      <c r="B62" s="444"/>
      <c r="C62" s="453"/>
      <c r="D62" s="443"/>
      <c r="E62" s="443"/>
      <c r="F62" s="443"/>
      <c r="G62" s="443"/>
      <c r="H62" s="443"/>
      <c r="I62" s="443"/>
      <c r="J62" s="443"/>
      <c r="K62" s="443"/>
      <c r="L62" s="443"/>
      <c r="M62" s="443"/>
      <c r="N62" s="443"/>
      <c r="O62" s="443"/>
      <c r="P62" s="443"/>
      <c r="Q62" s="443"/>
      <c r="R62" s="443"/>
      <c r="S62" s="443"/>
      <c r="T62" s="443"/>
      <c r="U62" s="443"/>
      <c r="V62" s="443"/>
      <c r="W62" s="443"/>
      <c r="X62" s="443"/>
      <c r="Y62" s="443"/>
      <c r="Z62" s="443"/>
      <c r="AA62" s="443"/>
      <c r="AB62" s="443"/>
      <c r="AC62" s="443"/>
      <c r="AD62" s="443"/>
      <c r="AE62" s="443"/>
      <c r="AF62" s="443"/>
      <c r="AG62" s="443"/>
      <c r="AH62" s="443"/>
      <c r="AI62" s="443"/>
      <c r="AJ62" s="443"/>
      <c r="AK62" s="553"/>
      <c r="AL62" s="553"/>
      <c r="AM62" s="549"/>
      <c r="AN62" s="443"/>
      <c r="AO62" s="443"/>
      <c r="AP62" s="443"/>
      <c r="AQ62" s="443"/>
      <c r="AR62" s="443"/>
      <c r="AS62" s="443"/>
      <c r="AT62" s="443"/>
      <c r="AU62" s="443"/>
      <c r="AV62" s="443"/>
      <c r="AW62" s="443"/>
      <c r="AX62" s="443"/>
      <c r="AY62" s="443"/>
      <c r="AZ62" s="443"/>
      <c r="BA62" s="443"/>
      <c r="BB62" s="443"/>
      <c r="BC62" s="443"/>
      <c r="BD62" s="443"/>
      <c r="BE62" s="443"/>
      <c r="BF62" s="443"/>
      <c r="BG62" s="443"/>
      <c r="BH62" s="443"/>
      <c r="BI62" s="443"/>
      <c r="BJ62" s="443"/>
      <c r="BK62" s="443"/>
      <c r="BL62" s="443"/>
      <c r="BM62" s="443"/>
      <c r="BN62" s="443"/>
      <c r="BO62" s="443"/>
      <c r="BP62" s="443"/>
      <c r="BQ62" s="443"/>
      <c r="BR62" s="443"/>
      <c r="BS62" s="443"/>
      <c r="BT62" s="443"/>
      <c r="BU62" s="447"/>
      <c r="BY62" s="1036"/>
      <c r="CD62" s="1037"/>
    </row>
    <row r="63" spans="1:82" ht="15" customHeight="1" x14ac:dyDescent="0.2">
      <c r="A63" s="1968"/>
      <c r="B63" s="444"/>
      <c r="C63" s="453"/>
      <c r="D63" s="443"/>
      <c r="E63" s="443"/>
      <c r="F63" s="443"/>
      <c r="G63" s="443"/>
      <c r="H63" s="443"/>
      <c r="I63" s="443"/>
      <c r="J63" s="443"/>
      <c r="K63" s="443"/>
      <c r="L63" s="443"/>
      <c r="M63" s="443"/>
      <c r="N63" s="443"/>
      <c r="O63" s="443"/>
      <c r="P63" s="443"/>
      <c r="Q63" s="443"/>
      <c r="R63" s="443"/>
      <c r="S63" s="443"/>
      <c r="T63" s="443"/>
      <c r="U63" s="443"/>
      <c r="V63" s="443"/>
      <c r="W63" s="443"/>
      <c r="X63" s="443"/>
      <c r="Y63" s="443"/>
      <c r="Z63" s="443"/>
      <c r="AA63" s="443"/>
      <c r="AB63" s="443"/>
      <c r="AC63" s="443"/>
      <c r="AD63" s="443"/>
      <c r="AE63" s="443"/>
      <c r="AF63" s="443"/>
      <c r="AG63" s="443"/>
      <c r="AH63" s="443"/>
      <c r="AI63" s="443"/>
      <c r="AJ63" s="443"/>
      <c r="AK63" s="553"/>
      <c r="AL63" s="553"/>
      <c r="AM63" s="549"/>
      <c r="AN63" s="443"/>
      <c r="AO63" s="443"/>
      <c r="AP63" s="443"/>
      <c r="AQ63" s="443"/>
      <c r="AR63" s="443"/>
      <c r="AS63" s="443"/>
      <c r="AT63" s="443"/>
      <c r="AU63" s="443"/>
      <c r="AV63" s="443"/>
      <c r="AW63" s="443"/>
      <c r="AX63" s="443"/>
      <c r="AY63" s="443"/>
      <c r="AZ63" s="443"/>
      <c r="BA63" s="443"/>
      <c r="BB63" s="443"/>
      <c r="BC63" s="443"/>
      <c r="BD63" s="443"/>
      <c r="BE63" s="443"/>
      <c r="BF63" s="443"/>
      <c r="BG63" s="443"/>
      <c r="BH63" s="443"/>
      <c r="BI63" s="443"/>
      <c r="BJ63" s="443"/>
      <c r="BK63" s="443"/>
      <c r="BL63" s="443"/>
      <c r="BM63" s="443"/>
      <c r="BN63" s="443"/>
      <c r="BO63" s="443"/>
      <c r="BP63" s="443"/>
      <c r="BQ63" s="443"/>
      <c r="BR63" s="443"/>
      <c r="BS63" s="443"/>
      <c r="BT63" s="443"/>
      <c r="BU63" s="447"/>
      <c r="BY63" s="1036"/>
      <c r="CD63" s="1037"/>
    </row>
    <row r="64" spans="1:82" ht="15" customHeight="1" thickBot="1" x14ac:dyDescent="0.25">
      <c r="A64" s="1968"/>
      <c r="B64" s="444"/>
      <c r="C64" s="1973" t="s">
        <v>2736</v>
      </c>
      <c r="D64" s="1969"/>
      <c r="E64" s="1969"/>
      <c r="F64" s="1969"/>
      <c r="G64" s="1969"/>
      <c r="H64" s="1969"/>
      <c r="I64" s="1969"/>
      <c r="J64" s="1969"/>
      <c r="K64" s="1969"/>
      <c r="L64" s="1969"/>
      <c r="M64" s="1969"/>
      <c r="N64" s="1969"/>
      <c r="O64" s="1969"/>
      <c r="P64" s="1969"/>
      <c r="Q64" s="1969"/>
      <c r="R64" s="1969"/>
      <c r="S64" s="1969"/>
      <c r="T64" s="1969"/>
      <c r="U64" s="1969"/>
      <c r="V64" s="1969"/>
      <c r="W64" s="1969"/>
      <c r="X64" s="1969"/>
      <c r="Y64" s="1969"/>
      <c r="Z64" s="1969"/>
      <c r="AA64" s="1969"/>
      <c r="AB64" s="1969"/>
      <c r="AC64" s="1969"/>
      <c r="AD64" s="1969"/>
      <c r="AE64" s="1969"/>
      <c r="AF64" s="1969"/>
      <c r="AG64" s="1969"/>
      <c r="AH64" s="1969"/>
      <c r="AI64" s="1969"/>
      <c r="AJ64" s="1969"/>
      <c r="AK64" s="1969"/>
      <c r="AL64" s="550"/>
      <c r="AM64" s="547"/>
      <c r="AN64" s="1969" t="s">
        <v>2737</v>
      </c>
      <c r="AO64" s="1969"/>
      <c r="AP64" s="1969"/>
      <c r="AQ64" s="1969"/>
      <c r="AR64" s="1969"/>
      <c r="AS64" s="1969"/>
      <c r="AT64" s="1969"/>
      <c r="AU64" s="1969"/>
      <c r="AV64" s="1969"/>
      <c r="AW64" s="1969"/>
      <c r="AX64" s="1969"/>
      <c r="AY64" s="1969"/>
      <c r="AZ64" s="1969"/>
      <c r="BA64" s="1969"/>
      <c r="BB64" s="1969"/>
      <c r="BC64" s="1969"/>
      <c r="BD64" s="1969"/>
      <c r="BE64" s="1969"/>
      <c r="BF64" s="1969"/>
      <c r="BG64" s="1969"/>
      <c r="BH64" s="1969"/>
      <c r="BI64" s="1969"/>
      <c r="BJ64" s="1969"/>
      <c r="BK64" s="1969"/>
      <c r="BL64" s="1969"/>
      <c r="BM64" s="1969"/>
      <c r="BN64" s="1969"/>
      <c r="BO64" s="1969"/>
      <c r="BP64" s="1969"/>
      <c r="BQ64" s="1969"/>
      <c r="BR64" s="1969"/>
      <c r="BS64" s="1969"/>
      <c r="BT64" s="1969"/>
      <c r="BU64" s="1970"/>
      <c r="BY64" s="1038"/>
      <c r="BZ64" s="1039"/>
      <c r="CA64" s="1039"/>
      <c r="CB64" s="1039"/>
      <c r="CC64" s="1039"/>
      <c r="CD64" s="1040"/>
    </row>
    <row r="65" spans="1:73" ht="15" customHeight="1" x14ac:dyDescent="0.2">
      <c r="A65" s="1968"/>
      <c r="B65" s="444"/>
      <c r="C65" s="45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553"/>
      <c r="AL65" s="553"/>
      <c r="AM65" s="549"/>
      <c r="AN65" s="443"/>
      <c r="AO65" s="443"/>
      <c r="AP65" s="443"/>
      <c r="AQ65" s="443"/>
      <c r="AR65" s="443"/>
      <c r="AS65" s="443"/>
      <c r="AT65" s="443"/>
      <c r="AU65" s="443"/>
      <c r="AV65" s="443"/>
      <c r="AW65" s="443"/>
      <c r="AX65" s="443"/>
      <c r="AY65" s="443"/>
      <c r="AZ65" s="443"/>
      <c r="BA65" s="443"/>
      <c r="BB65" s="443"/>
      <c r="BC65" s="443"/>
      <c r="BD65" s="443"/>
      <c r="BE65" s="443"/>
      <c r="BF65" s="443"/>
      <c r="BG65" s="443"/>
      <c r="BH65" s="443"/>
      <c r="BI65" s="443"/>
      <c r="BJ65" s="443"/>
      <c r="BK65" s="443"/>
      <c r="BL65" s="443"/>
      <c r="BM65" s="443"/>
      <c r="BN65" s="443"/>
      <c r="BO65" s="443"/>
      <c r="BP65" s="443"/>
      <c r="BQ65" s="443"/>
      <c r="BR65" s="443"/>
      <c r="BS65" s="443"/>
      <c r="BT65" s="443"/>
      <c r="BU65" s="447"/>
    </row>
    <row r="66" spans="1:73" ht="15" customHeight="1" x14ac:dyDescent="0.2">
      <c r="A66" s="1968"/>
      <c r="B66" s="444"/>
      <c r="C66" s="453"/>
      <c r="D66" s="443"/>
      <c r="E66" s="443"/>
      <c r="F66" s="443"/>
      <c r="G66" s="443"/>
      <c r="H66" s="443"/>
      <c r="I66" s="443"/>
      <c r="J66" s="443"/>
      <c r="K66" s="443"/>
      <c r="L66" s="443"/>
      <c r="M66" s="443"/>
      <c r="N66" s="443"/>
      <c r="O66" s="443"/>
      <c r="P66" s="443"/>
      <c r="Q66" s="443"/>
      <c r="R66" s="443"/>
      <c r="S66" s="443"/>
      <c r="T66" s="443"/>
      <c r="U66" s="443"/>
      <c r="V66" s="443"/>
      <c r="W66" s="443"/>
      <c r="X66" s="443"/>
      <c r="Y66" s="443"/>
      <c r="Z66" s="443"/>
      <c r="AA66" s="443"/>
      <c r="AB66" s="443"/>
      <c r="AC66" s="443"/>
      <c r="AD66" s="443"/>
      <c r="AE66" s="443"/>
      <c r="AF66" s="443"/>
      <c r="AG66" s="443"/>
      <c r="AH66" s="443"/>
      <c r="AI66" s="443"/>
      <c r="AJ66" s="443"/>
      <c r="AK66" s="553"/>
      <c r="AL66" s="553"/>
      <c r="AM66" s="549"/>
      <c r="AN66" s="443"/>
      <c r="AO66" s="443"/>
      <c r="AP66" s="443"/>
      <c r="AQ66" s="443"/>
      <c r="AR66" s="443"/>
      <c r="AS66" s="443"/>
      <c r="AT66" s="443"/>
      <c r="AU66" s="443"/>
      <c r="AV66" s="443"/>
      <c r="AW66" s="443"/>
      <c r="AX66" s="443"/>
      <c r="AY66" s="443"/>
      <c r="AZ66" s="443"/>
      <c r="BA66" s="443"/>
      <c r="BB66" s="443"/>
      <c r="BC66" s="443"/>
      <c r="BD66" s="443"/>
      <c r="BE66" s="443"/>
      <c r="BF66" s="443"/>
      <c r="BG66" s="443"/>
      <c r="BH66" s="443"/>
      <c r="BI66" s="443"/>
      <c r="BJ66" s="443"/>
      <c r="BK66" s="443"/>
      <c r="BL66" s="443"/>
      <c r="BM66" s="443"/>
      <c r="BN66" s="443"/>
      <c r="BO66" s="443"/>
      <c r="BP66" s="443"/>
      <c r="BQ66" s="443"/>
      <c r="BR66" s="443"/>
      <c r="BS66" s="443"/>
      <c r="BT66" s="443"/>
      <c r="BU66" s="447"/>
    </row>
    <row r="67" spans="1:73" ht="15" customHeight="1" x14ac:dyDescent="0.2">
      <c r="A67" s="1968"/>
      <c r="B67" s="444"/>
      <c r="C67" s="453"/>
      <c r="D67" s="443"/>
      <c r="E67" s="443"/>
      <c r="F67" s="443"/>
      <c r="G67" s="443"/>
      <c r="H67" s="443"/>
      <c r="I67" s="443"/>
      <c r="J67" s="443"/>
      <c r="K67" s="443"/>
      <c r="L67" s="443"/>
      <c r="M67" s="443"/>
      <c r="N67" s="443"/>
      <c r="O67" s="443"/>
      <c r="P67" s="443"/>
      <c r="Q67" s="443"/>
      <c r="R67" s="443"/>
      <c r="S67" s="443"/>
      <c r="T67" s="443"/>
      <c r="U67" s="443"/>
      <c r="V67" s="443"/>
      <c r="W67" s="443"/>
      <c r="X67" s="443"/>
      <c r="Y67" s="443"/>
      <c r="Z67" s="443"/>
      <c r="AA67" s="443"/>
      <c r="AB67" s="443"/>
      <c r="AC67" s="443"/>
      <c r="AD67" s="443"/>
      <c r="AE67" s="443"/>
      <c r="AF67" s="443"/>
      <c r="AG67" s="443"/>
      <c r="AH67" s="443"/>
      <c r="AI67" s="443"/>
      <c r="AJ67" s="443"/>
      <c r="AK67" s="553"/>
      <c r="AL67" s="553"/>
      <c r="AM67" s="549"/>
      <c r="AN67" s="443"/>
      <c r="AO67" s="443"/>
      <c r="AP67" s="443"/>
      <c r="AQ67" s="443"/>
      <c r="AR67" s="443"/>
      <c r="AS67" s="443"/>
      <c r="AT67" s="443"/>
      <c r="AU67" s="443"/>
      <c r="AV67" s="443"/>
      <c r="AW67" s="443"/>
      <c r="AX67" s="443"/>
      <c r="AY67" s="443"/>
      <c r="AZ67" s="443"/>
      <c r="BA67" s="443"/>
      <c r="BB67" s="443"/>
      <c r="BC67" s="443"/>
      <c r="BD67" s="443"/>
      <c r="BE67" s="443"/>
      <c r="BF67" s="443"/>
      <c r="BG67" s="443"/>
      <c r="BH67" s="443"/>
      <c r="BI67" s="443"/>
      <c r="BJ67" s="443"/>
      <c r="BK67" s="443"/>
      <c r="BL67" s="443"/>
      <c r="BM67" s="443"/>
      <c r="BN67" s="443"/>
      <c r="BO67" s="443"/>
      <c r="BP67" s="443"/>
      <c r="BQ67" s="443"/>
      <c r="BR67" s="443"/>
      <c r="BS67" s="443"/>
      <c r="BT67" s="443"/>
      <c r="BU67" s="447"/>
    </row>
    <row r="68" spans="1:73" ht="15" customHeight="1" x14ac:dyDescent="0.2">
      <c r="A68" s="1968"/>
      <c r="B68" s="444"/>
      <c r="C68" s="453"/>
      <c r="D68" s="443"/>
      <c r="E68" s="443"/>
      <c r="F68" s="443"/>
      <c r="G68" s="443"/>
      <c r="H68" s="443"/>
      <c r="I68" s="443"/>
      <c r="J68" s="443"/>
      <c r="K68" s="443"/>
      <c r="L68" s="443"/>
      <c r="M68" s="443"/>
      <c r="N68" s="443"/>
      <c r="O68" s="443"/>
      <c r="P68" s="443"/>
      <c r="Q68" s="443"/>
      <c r="R68" s="443"/>
      <c r="S68" s="443"/>
      <c r="T68" s="443"/>
      <c r="U68" s="443"/>
      <c r="V68" s="443"/>
      <c r="W68" s="443"/>
      <c r="X68" s="443"/>
      <c r="Y68" s="443"/>
      <c r="Z68" s="443"/>
      <c r="AA68" s="443"/>
      <c r="AB68" s="443"/>
      <c r="AC68" s="443"/>
      <c r="AD68" s="443"/>
      <c r="AE68" s="443"/>
      <c r="AF68" s="443"/>
      <c r="AG68" s="443"/>
      <c r="AH68" s="443"/>
      <c r="AI68" s="443"/>
      <c r="AJ68" s="443"/>
      <c r="AK68" s="553"/>
      <c r="AL68" s="553"/>
      <c r="AM68" s="549"/>
      <c r="AN68" s="443"/>
      <c r="AO68" s="443"/>
      <c r="AP68" s="443"/>
      <c r="AQ68" s="443"/>
      <c r="AR68" s="443"/>
      <c r="AS68" s="443"/>
      <c r="AT68" s="443"/>
      <c r="AU68" s="443"/>
      <c r="AV68" s="443"/>
      <c r="AW68" s="443"/>
      <c r="AX68" s="443"/>
      <c r="AY68" s="443"/>
      <c r="AZ68" s="443"/>
      <c r="BA68" s="443"/>
      <c r="BB68" s="443"/>
      <c r="BC68" s="443"/>
      <c r="BD68" s="443"/>
      <c r="BE68" s="443"/>
      <c r="BF68" s="443"/>
      <c r="BG68" s="443"/>
      <c r="BH68" s="443"/>
      <c r="BI68" s="443"/>
      <c r="BJ68" s="443"/>
      <c r="BK68" s="443"/>
      <c r="BL68" s="443"/>
      <c r="BM68" s="443"/>
      <c r="BN68" s="443"/>
      <c r="BO68" s="443"/>
      <c r="BP68" s="443"/>
      <c r="BQ68" s="443"/>
      <c r="BR68" s="443"/>
      <c r="BS68" s="443"/>
      <c r="BT68" s="443"/>
      <c r="BU68" s="447"/>
    </row>
    <row r="69" spans="1:73" ht="15" customHeight="1" x14ac:dyDescent="0.2">
      <c r="A69" s="1968"/>
      <c r="B69" s="444"/>
      <c r="C69" s="45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553"/>
      <c r="AL69" s="553"/>
      <c r="AM69" s="549"/>
      <c r="AN69" s="443"/>
      <c r="AO69" s="443"/>
      <c r="AP69" s="443"/>
      <c r="AQ69" s="443"/>
      <c r="AR69" s="443"/>
      <c r="AS69" s="443"/>
      <c r="AT69" s="443"/>
      <c r="AU69" s="443"/>
      <c r="AV69" s="443"/>
      <c r="AW69" s="443"/>
      <c r="AX69" s="443"/>
      <c r="AY69" s="443"/>
      <c r="AZ69" s="443"/>
      <c r="BA69" s="443"/>
      <c r="BB69" s="443"/>
      <c r="BC69" s="443"/>
      <c r="BD69" s="443"/>
      <c r="BE69" s="443"/>
      <c r="BF69" s="443"/>
      <c r="BG69" s="443"/>
      <c r="BH69" s="443"/>
      <c r="BI69" s="443"/>
      <c r="BJ69" s="443"/>
      <c r="BK69" s="443"/>
      <c r="BL69" s="443"/>
      <c r="BM69" s="443"/>
      <c r="BN69" s="443"/>
      <c r="BO69" s="443"/>
      <c r="BP69" s="443"/>
      <c r="BQ69" s="443"/>
      <c r="BR69" s="443"/>
      <c r="BS69" s="443"/>
      <c r="BT69" s="443"/>
      <c r="BU69" s="447"/>
    </row>
    <row r="70" spans="1:73" ht="15" customHeight="1" x14ac:dyDescent="0.2">
      <c r="A70" s="1968"/>
      <c r="B70" s="444"/>
      <c r="C70" s="453"/>
      <c r="D70" s="443"/>
      <c r="E70" s="443"/>
      <c r="F70" s="443"/>
      <c r="G70" s="443"/>
      <c r="H70" s="443"/>
      <c r="I70" s="443"/>
      <c r="J70" s="443"/>
      <c r="K70" s="443"/>
      <c r="L70" s="443"/>
      <c r="M70" s="443"/>
      <c r="N70" s="443"/>
      <c r="O70" s="443"/>
      <c r="P70" s="443"/>
      <c r="Q70" s="443"/>
      <c r="R70" s="443"/>
      <c r="S70" s="443"/>
      <c r="T70" s="443"/>
      <c r="U70" s="443"/>
      <c r="V70" s="443"/>
      <c r="W70" s="443"/>
      <c r="X70" s="443"/>
      <c r="Y70" s="443"/>
      <c r="Z70" s="443"/>
      <c r="AA70" s="443"/>
      <c r="AB70" s="443"/>
      <c r="AC70" s="443"/>
      <c r="AD70" s="443"/>
      <c r="AE70" s="443"/>
      <c r="AF70" s="443"/>
      <c r="AG70" s="443"/>
      <c r="AH70" s="443"/>
      <c r="AI70" s="443"/>
      <c r="AJ70" s="443"/>
      <c r="AK70" s="553"/>
      <c r="AL70" s="553"/>
      <c r="AM70" s="549"/>
      <c r="AN70" s="443"/>
      <c r="AO70" s="443"/>
      <c r="AP70" s="443"/>
      <c r="AQ70" s="443"/>
      <c r="AR70" s="443"/>
      <c r="AS70" s="443"/>
      <c r="AT70" s="443"/>
      <c r="AU70" s="443"/>
      <c r="AV70" s="443"/>
      <c r="AW70" s="443"/>
      <c r="AX70" s="443"/>
      <c r="AY70" s="443"/>
      <c r="AZ70" s="443"/>
      <c r="BA70" s="443"/>
      <c r="BB70" s="443"/>
      <c r="BC70" s="443"/>
      <c r="BD70" s="443"/>
      <c r="BE70" s="443"/>
      <c r="BF70" s="443"/>
      <c r="BG70" s="443"/>
      <c r="BH70" s="443"/>
      <c r="BI70" s="443"/>
      <c r="BJ70" s="443"/>
      <c r="BK70" s="443"/>
      <c r="BL70" s="443"/>
      <c r="BM70" s="443"/>
      <c r="BN70" s="443"/>
      <c r="BO70" s="443"/>
      <c r="BP70" s="443"/>
      <c r="BQ70" s="443"/>
      <c r="BR70" s="443"/>
      <c r="BS70" s="443"/>
      <c r="BT70" s="443"/>
      <c r="BU70" s="447"/>
    </row>
    <row r="71" spans="1:73" ht="15" customHeight="1" x14ac:dyDescent="0.2">
      <c r="A71" s="1968"/>
      <c r="B71" s="444"/>
      <c r="C71" s="45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553"/>
      <c r="AL71" s="553"/>
      <c r="AM71" s="549"/>
      <c r="AN71" s="443"/>
      <c r="AO71" s="443"/>
      <c r="AP71" s="443"/>
      <c r="AQ71" s="443"/>
      <c r="AR71" s="443"/>
      <c r="AS71" s="443"/>
      <c r="AT71" s="443"/>
      <c r="AU71" s="443"/>
      <c r="AV71" s="443"/>
      <c r="AW71" s="443"/>
      <c r="AX71" s="443"/>
      <c r="AY71" s="443"/>
      <c r="AZ71" s="443"/>
      <c r="BA71" s="443"/>
      <c r="BB71" s="443"/>
      <c r="BC71" s="443"/>
      <c r="BD71" s="443"/>
      <c r="BE71" s="443"/>
      <c r="BF71" s="443"/>
      <c r="BG71" s="443"/>
      <c r="BH71" s="443"/>
      <c r="BI71" s="443"/>
      <c r="BJ71" s="443"/>
      <c r="BK71" s="443"/>
      <c r="BL71" s="443"/>
      <c r="BM71" s="443"/>
      <c r="BN71" s="443"/>
      <c r="BO71" s="443"/>
      <c r="BP71" s="443"/>
      <c r="BQ71" s="443"/>
      <c r="BR71" s="443"/>
      <c r="BS71" s="443"/>
      <c r="BT71" s="443"/>
      <c r="BU71" s="447"/>
    </row>
    <row r="72" spans="1:73" ht="15" customHeight="1" x14ac:dyDescent="0.2">
      <c r="A72" s="1968"/>
      <c r="B72" s="444"/>
      <c r="C72" s="453"/>
      <c r="D72" s="443"/>
      <c r="E72" s="443"/>
      <c r="F72" s="443"/>
      <c r="G72" s="443"/>
      <c r="H72" s="443"/>
      <c r="I72" s="443"/>
      <c r="J72" s="443"/>
      <c r="K72" s="443"/>
      <c r="L72" s="443"/>
      <c r="M72" s="443"/>
      <c r="N72" s="443"/>
      <c r="O72" s="443"/>
      <c r="P72" s="443"/>
      <c r="Q72" s="443"/>
      <c r="R72" s="443"/>
      <c r="S72" s="443"/>
      <c r="T72" s="443"/>
      <c r="U72" s="443"/>
      <c r="V72" s="443"/>
      <c r="W72" s="443"/>
      <c r="X72" s="443"/>
      <c r="Y72" s="443"/>
      <c r="Z72" s="443"/>
      <c r="AA72" s="443"/>
      <c r="AB72" s="443"/>
      <c r="AC72" s="443"/>
      <c r="AD72" s="443"/>
      <c r="AE72" s="443"/>
      <c r="AF72" s="443"/>
      <c r="AG72" s="443"/>
      <c r="AH72" s="443"/>
      <c r="AI72" s="443"/>
      <c r="AJ72" s="443"/>
      <c r="AK72" s="553"/>
      <c r="AL72" s="553"/>
      <c r="AM72" s="549"/>
      <c r="AN72" s="443"/>
      <c r="AO72" s="443"/>
      <c r="AP72" s="443"/>
      <c r="AQ72" s="443"/>
      <c r="AR72" s="443"/>
      <c r="AS72" s="443"/>
      <c r="AT72" s="443"/>
      <c r="AU72" s="443"/>
      <c r="AV72" s="443"/>
      <c r="AW72" s="443"/>
      <c r="AX72" s="443"/>
      <c r="AY72" s="443"/>
      <c r="AZ72" s="443"/>
      <c r="BA72" s="443"/>
      <c r="BB72" s="443"/>
      <c r="BC72" s="443"/>
      <c r="BD72" s="443"/>
      <c r="BE72" s="443"/>
      <c r="BF72" s="443"/>
      <c r="BG72" s="443"/>
      <c r="BH72" s="443"/>
      <c r="BI72" s="443"/>
      <c r="BJ72" s="443"/>
      <c r="BK72" s="443"/>
      <c r="BL72" s="443"/>
      <c r="BM72" s="443"/>
      <c r="BN72" s="443"/>
      <c r="BO72" s="443"/>
      <c r="BP72" s="443"/>
      <c r="BQ72" s="443"/>
      <c r="BR72" s="443"/>
      <c r="BS72" s="443"/>
      <c r="BT72" s="443"/>
      <c r="BU72" s="447"/>
    </row>
    <row r="73" spans="1:73" ht="15" customHeight="1" x14ac:dyDescent="0.2">
      <c r="A73" s="1968"/>
      <c r="B73" s="444"/>
      <c r="C73" s="45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553"/>
      <c r="AL73" s="553"/>
      <c r="AM73" s="549"/>
      <c r="AN73" s="443"/>
      <c r="AO73" s="443"/>
      <c r="AP73" s="443"/>
      <c r="AQ73" s="443"/>
      <c r="AR73" s="443"/>
      <c r="AS73" s="443"/>
      <c r="AT73" s="443"/>
      <c r="AU73" s="443"/>
      <c r="AV73" s="443"/>
      <c r="AW73" s="443"/>
      <c r="AX73" s="443"/>
      <c r="AY73" s="443"/>
      <c r="AZ73" s="443"/>
      <c r="BA73" s="443"/>
      <c r="BB73" s="443"/>
      <c r="BC73" s="443"/>
      <c r="BD73" s="443"/>
      <c r="BE73" s="443"/>
      <c r="BF73" s="443"/>
      <c r="BG73" s="443"/>
      <c r="BH73" s="443"/>
      <c r="BI73" s="443"/>
      <c r="BJ73" s="443"/>
      <c r="BK73" s="443"/>
      <c r="BL73" s="443"/>
      <c r="BM73" s="443"/>
      <c r="BN73" s="443"/>
      <c r="BO73" s="443"/>
      <c r="BP73" s="443"/>
      <c r="BQ73" s="443"/>
      <c r="BR73" s="443"/>
      <c r="BS73" s="443"/>
      <c r="BT73" s="443"/>
      <c r="BU73" s="447"/>
    </row>
    <row r="74" spans="1:73" ht="15" customHeight="1" x14ac:dyDescent="0.2">
      <c r="A74" s="1968"/>
      <c r="B74" s="444"/>
      <c r="C74" s="453"/>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553"/>
      <c r="AL74" s="553"/>
      <c r="AM74" s="549"/>
      <c r="AN74" s="443"/>
      <c r="AO74" s="443"/>
      <c r="AP74" s="443"/>
      <c r="AQ74" s="443"/>
      <c r="AR74" s="443"/>
      <c r="AS74" s="443"/>
      <c r="AT74" s="443"/>
      <c r="AU74" s="443"/>
      <c r="AV74" s="443"/>
      <c r="AW74" s="443"/>
      <c r="AX74" s="443"/>
      <c r="AY74" s="443"/>
      <c r="AZ74" s="443"/>
      <c r="BA74" s="443"/>
      <c r="BB74" s="443"/>
      <c r="BC74" s="443"/>
      <c r="BD74" s="443"/>
      <c r="BE74" s="443"/>
      <c r="BF74" s="443"/>
      <c r="BG74" s="443"/>
      <c r="BH74" s="443"/>
      <c r="BI74" s="443"/>
      <c r="BJ74" s="443"/>
      <c r="BK74" s="443"/>
      <c r="BL74" s="443"/>
      <c r="BM74" s="443"/>
      <c r="BN74" s="443"/>
      <c r="BO74" s="443"/>
      <c r="BP74" s="443"/>
      <c r="BQ74" s="443"/>
      <c r="BR74" s="443"/>
      <c r="BS74" s="443"/>
      <c r="BT74" s="443"/>
      <c r="BU74" s="447"/>
    </row>
    <row r="75" spans="1:73" ht="15" customHeight="1" x14ac:dyDescent="0.2">
      <c r="A75" s="1968"/>
      <c r="B75" s="444"/>
      <c r="C75" s="45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553"/>
      <c r="AL75" s="553"/>
      <c r="AM75" s="549"/>
      <c r="AN75" s="443"/>
      <c r="AO75" s="443"/>
      <c r="AP75" s="443"/>
      <c r="AQ75" s="443"/>
      <c r="AR75" s="443"/>
      <c r="AS75" s="443"/>
      <c r="AT75" s="443"/>
      <c r="AU75" s="443"/>
      <c r="AV75" s="443"/>
      <c r="AW75" s="443"/>
      <c r="AX75" s="443"/>
      <c r="AY75" s="443"/>
      <c r="AZ75" s="443"/>
      <c r="BA75" s="443"/>
      <c r="BB75" s="443"/>
      <c r="BC75" s="443"/>
      <c r="BD75" s="443"/>
      <c r="BE75" s="443"/>
      <c r="BF75" s="443"/>
      <c r="BG75" s="443"/>
      <c r="BH75" s="443"/>
      <c r="BI75" s="443"/>
      <c r="BJ75" s="443"/>
      <c r="BK75" s="443"/>
      <c r="BL75" s="443"/>
      <c r="BM75" s="443"/>
      <c r="BN75" s="443"/>
      <c r="BO75" s="443"/>
      <c r="BP75" s="443"/>
      <c r="BQ75" s="443"/>
      <c r="BR75" s="443"/>
      <c r="BS75" s="443"/>
      <c r="BT75" s="443"/>
      <c r="BU75" s="447"/>
    </row>
    <row r="76" spans="1:73" ht="15" customHeight="1" x14ac:dyDescent="0.2">
      <c r="A76" s="1968"/>
      <c r="B76" s="444"/>
      <c r="C76" s="453"/>
      <c r="D76" s="443"/>
      <c r="E76" s="443"/>
      <c r="F76" s="443"/>
      <c r="G76" s="443"/>
      <c r="H76" s="443"/>
      <c r="I76" s="443"/>
      <c r="J76" s="443"/>
      <c r="K76" s="443"/>
      <c r="L76" s="443"/>
      <c r="M76" s="443"/>
      <c r="N76" s="443"/>
      <c r="O76" s="443"/>
      <c r="P76" s="443"/>
      <c r="Q76" s="443"/>
      <c r="R76" s="443"/>
      <c r="S76" s="443"/>
      <c r="T76" s="443"/>
      <c r="U76" s="443"/>
      <c r="V76" s="443"/>
      <c r="W76" s="443"/>
      <c r="X76" s="443"/>
      <c r="Y76" s="443"/>
      <c r="Z76" s="443"/>
      <c r="AA76" s="443"/>
      <c r="AB76" s="443"/>
      <c r="AC76" s="443"/>
      <c r="AD76" s="443"/>
      <c r="AE76" s="443"/>
      <c r="AF76" s="443"/>
      <c r="AG76" s="443"/>
      <c r="AH76" s="443"/>
      <c r="AI76" s="443"/>
      <c r="AJ76" s="443"/>
      <c r="AK76" s="553"/>
      <c r="AL76" s="553"/>
      <c r="AM76" s="549"/>
      <c r="AN76" s="443"/>
      <c r="AO76" s="443"/>
      <c r="AP76" s="443"/>
      <c r="AQ76" s="443"/>
      <c r="AR76" s="443"/>
      <c r="AS76" s="443"/>
      <c r="AT76" s="443"/>
      <c r="AU76" s="443"/>
      <c r="AV76" s="443"/>
      <c r="AW76" s="443"/>
      <c r="AX76" s="443"/>
      <c r="AY76" s="443"/>
      <c r="AZ76" s="443"/>
      <c r="BA76" s="443"/>
      <c r="BB76" s="443"/>
      <c r="BC76" s="443"/>
      <c r="BD76" s="443"/>
      <c r="BE76" s="443"/>
      <c r="BF76" s="443"/>
      <c r="BG76" s="443"/>
      <c r="BH76" s="443"/>
      <c r="BI76" s="443"/>
      <c r="BJ76" s="443"/>
      <c r="BK76" s="443"/>
      <c r="BL76" s="443"/>
      <c r="BM76" s="443"/>
      <c r="BN76" s="443"/>
      <c r="BO76" s="443"/>
      <c r="BP76" s="443"/>
      <c r="BQ76" s="443"/>
      <c r="BR76" s="443"/>
      <c r="BS76" s="443"/>
      <c r="BT76" s="443"/>
      <c r="BU76" s="447"/>
    </row>
    <row r="77" spans="1:73" ht="15" customHeight="1" x14ac:dyDescent="0.2">
      <c r="A77" s="1968"/>
      <c r="B77" s="444"/>
      <c r="C77" s="45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553"/>
      <c r="AL77" s="553"/>
      <c r="AM77" s="549"/>
      <c r="AN77" s="443"/>
      <c r="AO77" s="443"/>
      <c r="AP77" s="443"/>
      <c r="AQ77" s="443"/>
      <c r="AR77" s="443"/>
      <c r="AS77" s="443"/>
      <c r="AT77" s="443"/>
      <c r="AU77" s="443"/>
      <c r="AV77" s="443"/>
      <c r="AW77" s="443"/>
      <c r="AX77" s="443"/>
      <c r="AY77" s="443"/>
      <c r="AZ77" s="443"/>
      <c r="BA77" s="443"/>
      <c r="BB77" s="443"/>
      <c r="BC77" s="443"/>
      <c r="BD77" s="443"/>
      <c r="BE77" s="443"/>
      <c r="BF77" s="443"/>
      <c r="BG77" s="443"/>
      <c r="BH77" s="443"/>
      <c r="BI77" s="443"/>
      <c r="BJ77" s="443"/>
      <c r="BK77" s="443"/>
      <c r="BL77" s="443"/>
      <c r="BM77" s="443"/>
      <c r="BN77" s="443"/>
      <c r="BO77" s="443"/>
      <c r="BP77" s="443"/>
      <c r="BQ77" s="443"/>
      <c r="BR77" s="443"/>
      <c r="BS77" s="443"/>
      <c r="BT77" s="443"/>
      <c r="BU77" s="447"/>
    </row>
    <row r="78" spans="1:73" ht="15" customHeight="1" x14ac:dyDescent="0.2">
      <c r="A78" s="1968"/>
      <c r="B78" s="444"/>
      <c r="C78" s="453"/>
      <c r="D78" s="443"/>
      <c r="E78" s="443"/>
      <c r="F78" s="443"/>
      <c r="G78" s="443"/>
      <c r="H78" s="443"/>
      <c r="I78" s="443"/>
      <c r="J78" s="443"/>
      <c r="K78" s="443"/>
      <c r="L78" s="443"/>
      <c r="M78" s="443"/>
      <c r="N78" s="443"/>
      <c r="O78" s="443"/>
      <c r="P78" s="443"/>
      <c r="Q78" s="443"/>
      <c r="R78" s="443"/>
      <c r="S78" s="443"/>
      <c r="T78" s="443"/>
      <c r="U78" s="443"/>
      <c r="V78" s="443"/>
      <c r="W78" s="443"/>
      <c r="X78" s="443"/>
      <c r="Y78" s="443"/>
      <c r="Z78" s="443"/>
      <c r="AA78" s="443"/>
      <c r="AB78" s="443"/>
      <c r="AC78" s="443"/>
      <c r="AD78" s="443"/>
      <c r="AE78" s="443"/>
      <c r="AF78" s="443"/>
      <c r="AG78" s="443"/>
      <c r="AH78" s="443"/>
      <c r="AI78" s="443"/>
      <c r="AJ78" s="443"/>
      <c r="AK78" s="553"/>
      <c r="AL78" s="553"/>
      <c r="AM78" s="549"/>
      <c r="AN78" s="443"/>
      <c r="AO78" s="443"/>
      <c r="AP78" s="443"/>
      <c r="AQ78" s="443"/>
      <c r="AR78" s="443"/>
      <c r="AS78" s="443"/>
      <c r="AT78" s="443"/>
      <c r="AU78" s="443"/>
      <c r="AV78" s="443"/>
      <c r="AW78" s="443"/>
      <c r="AX78" s="443"/>
      <c r="AY78" s="443"/>
      <c r="AZ78" s="443"/>
      <c r="BA78" s="443"/>
      <c r="BB78" s="443"/>
      <c r="BC78" s="443"/>
      <c r="BD78" s="443"/>
      <c r="BE78" s="443"/>
      <c r="BF78" s="443"/>
      <c r="BG78" s="443"/>
      <c r="BH78" s="443"/>
      <c r="BI78" s="443"/>
      <c r="BJ78" s="443"/>
      <c r="BK78" s="443"/>
      <c r="BL78" s="443"/>
      <c r="BM78" s="443"/>
      <c r="BN78" s="443"/>
      <c r="BO78" s="443"/>
      <c r="BP78" s="443"/>
      <c r="BQ78" s="443"/>
      <c r="BR78" s="443"/>
      <c r="BS78" s="443"/>
      <c r="BT78" s="443"/>
      <c r="BU78" s="447"/>
    </row>
    <row r="79" spans="1:73" ht="15" customHeight="1" x14ac:dyDescent="0.2">
      <c r="A79" s="1968"/>
      <c r="B79" s="444"/>
      <c r="C79" s="453"/>
      <c r="D79" s="443"/>
      <c r="E79" s="443"/>
      <c r="F79" s="443"/>
      <c r="G79" s="443"/>
      <c r="H79" s="443"/>
      <c r="I79" s="443"/>
      <c r="J79" s="443"/>
      <c r="K79" s="443"/>
      <c r="L79" s="443"/>
      <c r="M79" s="443"/>
      <c r="N79" s="443"/>
      <c r="O79" s="443"/>
      <c r="P79" s="443"/>
      <c r="Q79" s="443"/>
      <c r="R79" s="443"/>
      <c r="S79" s="443"/>
      <c r="T79" s="443"/>
      <c r="U79" s="443"/>
      <c r="V79" s="443"/>
      <c r="W79" s="443"/>
      <c r="X79" s="443"/>
      <c r="Y79" s="443"/>
      <c r="Z79" s="443"/>
      <c r="AA79" s="443"/>
      <c r="AB79" s="443"/>
      <c r="AC79" s="443"/>
      <c r="AD79" s="443"/>
      <c r="AE79" s="443"/>
      <c r="AF79" s="443"/>
      <c r="AG79" s="443"/>
      <c r="AH79" s="443"/>
      <c r="AI79" s="443"/>
      <c r="AJ79" s="443"/>
      <c r="AK79" s="553"/>
      <c r="AL79" s="553"/>
      <c r="AM79" s="549"/>
      <c r="AN79" s="443"/>
      <c r="AO79" s="443"/>
      <c r="AP79" s="443"/>
      <c r="AQ79" s="443"/>
      <c r="AR79" s="443"/>
      <c r="AS79" s="443"/>
      <c r="AT79" s="443"/>
      <c r="AU79" s="443"/>
      <c r="AV79" s="443"/>
      <c r="AW79" s="443"/>
      <c r="AX79" s="443"/>
      <c r="AY79" s="443"/>
      <c r="AZ79" s="443"/>
      <c r="BA79" s="443"/>
      <c r="BB79" s="443"/>
      <c r="BC79" s="443"/>
      <c r="BD79" s="443"/>
      <c r="BE79" s="443"/>
      <c r="BF79" s="443"/>
      <c r="BG79" s="443"/>
      <c r="BH79" s="443"/>
      <c r="BI79" s="443"/>
      <c r="BJ79" s="443"/>
      <c r="BK79" s="443"/>
      <c r="BL79" s="443"/>
      <c r="BM79" s="443"/>
      <c r="BN79" s="443"/>
      <c r="BO79" s="443"/>
      <c r="BP79" s="443"/>
      <c r="BQ79" s="443"/>
      <c r="BR79" s="443"/>
      <c r="BS79" s="443"/>
      <c r="BT79" s="443"/>
      <c r="BU79" s="447"/>
    </row>
    <row r="80" spans="1:73" ht="15" customHeight="1" x14ac:dyDescent="0.2">
      <c r="A80" s="1968"/>
      <c r="B80" s="444"/>
      <c r="C80" s="45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553"/>
      <c r="AL80" s="553"/>
      <c r="AM80" s="549"/>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7"/>
    </row>
    <row r="81" spans="1:73" ht="15" customHeight="1" x14ac:dyDescent="0.2">
      <c r="A81" s="1968"/>
      <c r="B81" s="444"/>
      <c r="C81" s="45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553"/>
      <c r="AL81" s="553"/>
      <c r="AM81" s="549"/>
      <c r="AN81" s="443"/>
      <c r="AO81" s="443"/>
      <c r="AP81" s="443"/>
      <c r="AQ81" s="443"/>
      <c r="AR81" s="443"/>
      <c r="AS81" s="443"/>
      <c r="AT81" s="443"/>
      <c r="AU81" s="443"/>
      <c r="AV81" s="443"/>
      <c r="AW81" s="443"/>
      <c r="AX81" s="443"/>
      <c r="AY81" s="443"/>
      <c r="AZ81" s="443"/>
      <c r="BA81" s="443"/>
      <c r="BB81" s="443"/>
      <c r="BC81" s="443"/>
      <c r="BD81" s="443"/>
      <c r="BE81" s="443"/>
      <c r="BF81" s="443"/>
      <c r="BG81" s="443"/>
      <c r="BH81" s="443"/>
      <c r="BI81" s="443"/>
      <c r="BJ81" s="443"/>
      <c r="BK81" s="443"/>
      <c r="BL81" s="443"/>
      <c r="BM81" s="443"/>
      <c r="BN81" s="443"/>
      <c r="BO81" s="443"/>
      <c r="BP81" s="443"/>
      <c r="BQ81" s="443"/>
      <c r="BR81" s="443"/>
      <c r="BS81" s="443"/>
      <c r="BT81" s="443"/>
      <c r="BU81" s="447"/>
    </row>
    <row r="82" spans="1:73" ht="15" customHeight="1" x14ac:dyDescent="0.2">
      <c r="A82" s="1968"/>
      <c r="B82" s="444"/>
      <c r="C82" s="45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553"/>
      <c r="AL82" s="553"/>
      <c r="AM82" s="549"/>
      <c r="AN82" s="443"/>
      <c r="AO82" s="443"/>
      <c r="AP82" s="443"/>
      <c r="AQ82" s="443"/>
      <c r="AR82" s="443"/>
      <c r="AS82" s="443"/>
      <c r="AT82" s="443"/>
      <c r="AU82" s="443"/>
      <c r="AV82" s="443"/>
      <c r="AW82" s="443"/>
      <c r="AX82" s="443"/>
      <c r="AY82" s="443"/>
      <c r="AZ82" s="443"/>
      <c r="BA82" s="443"/>
      <c r="BB82" s="443"/>
      <c r="BC82" s="443"/>
      <c r="BD82" s="443"/>
      <c r="BE82" s="443"/>
      <c r="BF82" s="443"/>
      <c r="BG82" s="443"/>
      <c r="BH82" s="443"/>
      <c r="BI82" s="443"/>
      <c r="BJ82" s="443"/>
      <c r="BK82" s="443"/>
      <c r="BL82" s="443"/>
      <c r="BM82" s="443"/>
      <c r="BN82" s="443"/>
      <c r="BO82" s="443"/>
      <c r="BP82" s="443"/>
      <c r="BQ82" s="443"/>
      <c r="BR82" s="443"/>
      <c r="BS82" s="443"/>
      <c r="BT82" s="443"/>
      <c r="BU82" s="447"/>
    </row>
    <row r="83" spans="1:73" ht="15" customHeight="1" x14ac:dyDescent="0.2">
      <c r="A83" s="1968"/>
      <c r="B83" s="444"/>
      <c r="C83" s="45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c r="AC83" s="443"/>
      <c r="AD83" s="443"/>
      <c r="AE83" s="443"/>
      <c r="AF83" s="443"/>
      <c r="AG83" s="443"/>
      <c r="AH83" s="443"/>
      <c r="AI83" s="443"/>
      <c r="AJ83" s="443"/>
      <c r="AK83" s="553"/>
      <c r="AL83" s="553"/>
      <c r="AM83" s="549"/>
      <c r="AN83" s="443"/>
      <c r="AO83" s="443"/>
      <c r="AP83" s="443"/>
      <c r="AQ83" s="443"/>
      <c r="AR83" s="443"/>
      <c r="AS83" s="443"/>
      <c r="AT83" s="443"/>
      <c r="AU83" s="443"/>
      <c r="AV83" s="443"/>
      <c r="AW83" s="443"/>
      <c r="AX83" s="443"/>
      <c r="AY83" s="443"/>
      <c r="AZ83" s="443"/>
      <c r="BA83" s="443"/>
      <c r="BB83" s="443"/>
      <c r="BC83" s="443"/>
      <c r="BD83" s="443"/>
      <c r="BE83" s="443"/>
      <c r="BF83" s="443"/>
      <c r="BG83" s="443"/>
      <c r="BH83" s="443"/>
      <c r="BI83" s="443"/>
      <c r="BJ83" s="443"/>
      <c r="BK83" s="443"/>
      <c r="BL83" s="443"/>
      <c r="BM83" s="443"/>
      <c r="BN83" s="443"/>
      <c r="BO83" s="443"/>
      <c r="BP83" s="443"/>
      <c r="BQ83" s="443"/>
      <c r="BR83" s="443"/>
      <c r="BS83" s="443"/>
      <c r="BT83" s="443"/>
      <c r="BU83" s="447"/>
    </row>
    <row r="84" spans="1:73" ht="15" customHeight="1" x14ac:dyDescent="0.2">
      <c r="A84" s="1968"/>
      <c r="B84" s="444"/>
      <c r="C84" s="1975" t="s">
        <v>2735</v>
      </c>
      <c r="D84" s="1971"/>
      <c r="E84" s="1971"/>
      <c r="F84" s="1971"/>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546"/>
      <c r="AM84" s="547"/>
      <c r="AN84" s="1971" t="s">
        <v>2596</v>
      </c>
      <c r="AO84" s="1971"/>
      <c r="AP84" s="1971"/>
      <c r="AQ84" s="1971"/>
      <c r="AR84" s="1971"/>
      <c r="AS84" s="1971"/>
      <c r="AT84" s="1971"/>
      <c r="AU84" s="1971"/>
      <c r="AV84" s="1971"/>
      <c r="AW84" s="1971"/>
      <c r="AX84" s="1971"/>
      <c r="AY84" s="1971"/>
      <c r="AZ84" s="1971"/>
      <c r="BA84" s="1971"/>
      <c r="BB84" s="1971"/>
      <c r="BC84" s="1971"/>
      <c r="BD84" s="1971"/>
      <c r="BE84" s="1971"/>
      <c r="BF84" s="1971"/>
      <c r="BG84" s="1971"/>
      <c r="BH84" s="1971"/>
      <c r="BI84" s="1971"/>
      <c r="BJ84" s="1971"/>
      <c r="BK84" s="1971"/>
      <c r="BL84" s="1971"/>
      <c r="BM84" s="1971"/>
      <c r="BN84" s="1971"/>
      <c r="BO84" s="1971"/>
      <c r="BP84" s="1971"/>
      <c r="BQ84" s="1971"/>
      <c r="BR84" s="1971"/>
      <c r="BS84" s="1971"/>
      <c r="BT84" s="1971"/>
      <c r="BU84" s="1972"/>
    </row>
    <row r="85" spans="1:73" ht="15" customHeight="1" x14ac:dyDescent="0.2"/>
    <row r="87" spans="1:73" x14ac:dyDescent="0.2">
      <c r="L87" s="918" t="s">
        <v>1912</v>
      </c>
      <c r="M87" s="887"/>
      <c r="N87" s="887"/>
      <c r="O87" s="887"/>
      <c r="P87" s="887"/>
      <c r="Q87" s="887"/>
      <c r="R87" s="887"/>
      <c r="S87" s="887"/>
      <c r="T87" s="887"/>
      <c r="U87" s="887"/>
      <c r="V87" s="887"/>
      <c r="W87" s="887"/>
      <c r="X87" s="887"/>
      <c r="Y87" s="887"/>
      <c r="Z87" s="887"/>
      <c r="AA87" s="887"/>
      <c r="AB87" s="887"/>
      <c r="AC87" s="887"/>
      <c r="AD87" s="887"/>
      <c r="AE87" s="887"/>
      <c r="AF87" s="887"/>
      <c r="AG87" s="887"/>
      <c r="AH87" s="887"/>
      <c r="AI87" s="887"/>
      <c r="AJ87" s="887"/>
      <c r="AK87" s="887"/>
      <c r="AL87" s="887"/>
      <c r="AM87" s="887"/>
      <c r="AN87" s="887"/>
      <c r="AO87" s="887"/>
      <c r="AP87" s="887"/>
      <c r="AQ87" s="887"/>
      <c r="AR87" s="887"/>
      <c r="AS87" s="887"/>
      <c r="AT87" s="887"/>
      <c r="AU87" s="887"/>
      <c r="AV87" s="887"/>
      <c r="AW87" s="887"/>
      <c r="AX87" s="887"/>
      <c r="AY87" s="887"/>
      <c r="AZ87" s="887"/>
      <c r="BA87" s="887"/>
      <c r="BB87" s="887"/>
      <c r="BC87" s="887"/>
      <c r="BD87" s="887"/>
      <c r="BE87" s="887"/>
      <c r="BF87" s="887"/>
      <c r="BG87" s="887"/>
      <c r="BH87" s="887"/>
      <c r="BI87" s="887"/>
      <c r="BJ87" s="887"/>
      <c r="BK87" s="887"/>
      <c r="BL87" s="887"/>
      <c r="BM87" s="887"/>
      <c r="BN87" s="887"/>
      <c r="BO87" s="887"/>
      <c r="BP87" s="887"/>
      <c r="BQ87" s="887"/>
    </row>
    <row r="88" spans="1:73" x14ac:dyDescent="0.2">
      <c r="L88" s="918" t="s">
        <v>1892</v>
      </c>
      <c r="M88" s="896"/>
      <c r="N88" s="896"/>
      <c r="O88" s="896"/>
      <c r="P88" s="896"/>
      <c r="Q88" s="896"/>
      <c r="R88" s="896"/>
      <c r="S88" s="896"/>
      <c r="T88" s="896"/>
      <c r="U88" s="896"/>
      <c r="V88" s="896"/>
      <c r="W88" s="896"/>
      <c r="X88" s="896"/>
      <c r="Y88" s="896"/>
      <c r="Z88" s="896"/>
      <c r="AA88" s="896"/>
      <c r="AB88" s="896"/>
      <c r="AC88" s="896"/>
      <c r="AD88" s="896"/>
      <c r="AE88" s="896"/>
      <c r="AF88" s="896"/>
      <c r="AG88" s="896"/>
      <c r="AH88" s="896"/>
      <c r="AI88" s="896"/>
      <c r="AJ88" s="896"/>
      <c r="AK88" s="896"/>
      <c r="AL88" s="896"/>
      <c r="AM88" s="896"/>
      <c r="AN88" s="896"/>
      <c r="AO88" s="896"/>
      <c r="AP88" s="896"/>
      <c r="AQ88" s="896"/>
      <c r="AR88" s="896"/>
      <c r="AS88" s="896"/>
      <c r="AT88" s="896"/>
      <c r="AU88" s="896"/>
      <c r="AV88" s="896"/>
      <c r="AW88" s="896"/>
      <c r="AX88" s="896"/>
      <c r="AY88" s="896"/>
      <c r="AZ88" s="896"/>
      <c r="BA88" s="896"/>
      <c r="BB88" s="896"/>
      <c r="BC88" s="896"/>
      <c r="BD88" s="896"/>
      <c r="BE88" s="896"/>
      <c r="BF88" s="896"/>
      <c r="BG88" s="896"/>
      <c r="BH88" s="896"/>
      <c r="BI88" s="896"/>
      <c r="BJ88" s="896"/>
      <c r="BK88" s="896"/>
      <c r="BL88" s="896"/>
      <c r="BM88" s="896"/>
      <c r="BN88" s="896"/>
      <c r="BO88" s="896"/>
      <c r="BP88" s="896"/>
      <c r="BQ88" s="896"/>
    </row>
    <row r="90" spans="1:73" x14ac:dyDescent="0.2">
      <c r="L90" s="918" t="s">
        <v>1891</v>
      </c>
      <c r="M90" s="887"/>
      <c r="N90" s="887"/>
      <c r="O90" s="887"/>
      <c r="P90" s="887"/>
      <c r="Q90" s="887"/>
      <c r="R90" s="887"/>
      <c r="S90" s="887"/>
      <c r="T90" s="887"/>
      <c r="U90" s="887"/>
      <c r="V90" s="887"/>
      <c r="W90" s="887"/>
      <c r="X90" s="887"/>
      <c r="Y90" s="887"/>
      <c r="Z90" s="887"/>
      <c r="AA90" s="887"/>
      <c r="AB90" s="887"/>
      <c r="AC90" s="887"/>
      <c r="AD90" s="887"/>
      <c r="AE90" s="887"/>
      <c r="AF90" s="887"/>
      <c r="AG90" s="887"/>
      <c r="AH90" s="887"/>
      <c r="AI90" s="887"/>
      <c r="AJ90" s="887"/>
      <c r="AK90" s="887"/>
      <c r="AL90" s="887"/>
      <c r="AM90" s="887"/>
      <c r="AN90" s="887"/>
    </row>
    <row r="92" spans="1:73" x14ac:dyDescent="0.2">
      <c r="L92" s="918" t="s">
        <v>1884</v>
      </c>
      <c r="M92" s="887"/>
      <c r="N92" s="887"/>
      <c r="O92" s="887"/>
      <c r="P92" s="887"/>
      <c r="Q92" s="887"/>
      <c r="R92" s="887"/>
      <c r="S92" s="887"/>
      <c r="T92" s="887"/>
      <c r="U92" s="887"/>
      <c r="V92" s="887"/>
      <c r="W92" s="887"/>
      <c r="X92" s="887"/>
      <c r="Y92" s="887"/>
      <c r="Z92" s="887"/>
      <c r="AA92" s="887"/>
      <c r="AB92" s="887"/>
      <c r="AC92" s="887"/>
      <c r="AD92" s="887"/>
      <c r="AE92" s="887"/>
      <c r="AF92" s="887"/>
      <c r="AG92" s="887"/>
      <c r="AH92" s="887"/>
      <c r="AI92" s="887"/>
      <c r="AJ92" s="887"/>
      <c r="AK92" s="887"/>
      <c r="AL92" s="887"/>
      <c r="AM92" s="887"/>
      <c r="AN92" s="887"/>
      <c r="AO92" s="887"/>
      <c r="AP92" s="887"/>
      <c r="AQ92" s="887"/>
      <c r="AR92" s="887"/>
      <c r="AS92" s="887"/>
      <c r="AT92" s="887"/>
      <c r="AU92" s="887"/>
      <c r="AV92" s="887"/>
      <c r="AW92" s="887"/>
      <c r="AX92" s="887"/>
      <c r="AY92" s="887"/>
      <c r="AZ92" s="887"/>
      <c r="BA92" s="887"/>
      <c r="BB92" s="887"/>
      <c r="BC92" s="887"/>
      <c r="BD92" s="887"/>
      <c r="BE92" s="887"/>
      <c r="BF92" s="887"/>
      <c r="BG92" s="887"/>
      <c r="BH92" s="887"/>
      <c r="BI92" s="887"/>
      <c r="BJ92" s="887"/>
      <c r="BK92" s="887"/>
      <c r="BL92" s="887"/>
      <c r="BM92" s="887"/>
      <c r="BN92" s="887"/>
      <c r="BO92" s="887"/>
      <c r="BP92" s="887"/>
      <c r="BQ92" s="887"/>
    </row>
    <row r="93" spans="1:73" x14ac:dyDescent="0.2">
      <c r="L93" s="918" t="s">
        <v>1885</v>
      </c>
      <c r="M93" s="887"/>
      <c r="N93" s="887"/>
      <c r="O93" s="887"/>
      <c r="P93" s="887"/>
      <c r="Q93" s="887"/>
      <c r="R93" s="887"/>
      <c r="S93" s="887"/>
      <c r="T93" s="887"/>
      <c r="U93" s="887"/>
      <c r="V93" s="887"/>
      <c r="W93" s="887"/>
      <c r="X93" s="887"/>
      <c r="Y93" s="887"/>
      <c r="Z93" s="887"/>
      <c r="AA93" s="887"/>
      <c r="AB93" s="887"/>
      <c r="AC93" s="887"/>
      <c r="AD93" s="887"/>
      <c r="AE93" s="887"/>
      <c r="AF93" s="887"/>
      <c r="AG93" s="887"/>
      <c r="AH93" s="887"/>
      <c r="AI93" s="887"/>
      <c r="AJ93" s="887"/>
      <c r="AK93" s="887"/>
      <c r="AL93" s="887"/>
      <c r="AM93" s="887"/>
      <c r="AN93" s="887"/>
      <c r="AO93" s="887"/>
      <c r="AP93" s="887"/>
      <c r="AQ93" s="887"/>
      <c r="AR93" s="887"/>
      <c r="AS93" s="887"/>
      <c r="AT93" s="887"/>
      <c r="AU93" s="887"/>
      <c r="AV93" s="887"/>
      <c r="AW93" s="887"/>
      <c r="AX93" s="887"/>
      <c r="AY93" s="887"/>
      <c r="AZ93" s="887"/>
      <c r="BA93" s="887"/>
      <c r="BB93" s="887"/>
      <c r="BC93" s="887"/>
      <c r="BD93" s="887"/>
      <c r="BE93" s="887"/>
      <c r="BF93" s="887"/>
      <c r="BG93" s="887"/>
      <c r="BH93" s="887"/>
      <c r="BI93" s="887"/>
      <c r="BJ93" s="887"/>
      <c r="BK93" s="887"/>
      <c r="BL93" s="887"/>
      <c r="BM93" s="887"/>
      <c r="BN93" s="887"/>
      <c r="BO93" s="887"/>
      <c r="BP93" s="887"/>
      <c r="BQ93" s="887"/>
    </row>
  </sheetData>
  <dataConsolidate/>
  <mergeCells count="17">
    <mergeCell ref="C64:AK64"/>
    <mergeCell ref="AN64:BU64"/>
    <mergeCell ref="C84:AK84"/>
    <mergeCell ref="AN84:BU84"/>
    <mergeCell ref="A5:A84"/>
    <mergeCell ref="C24:AK24"/>
    <mergeCell ref="AN24:BU24"/>
    <mergeCell ref="C44:AK44"/>
    <mergeCell ref="AN44:BU44"/>
    <mergeCell ref="C2:J2"/>
    <mergeCell ref="K2:AN2"/>
    <mergeCell ref="AO2:AW2"/>
    <mergeCell ref="AX2:BU2"/>
    <mergeCell ref="C3:J3"/>
    <mergeCell ref="K3:AN3"/>
    <mergeCell ref="AO3:AW3"/>
    <mergeCell ref="AX3:BU3"/>
  </mergeCells>
  <dataValidations count="1">
    <dataValidation operator="greaterThan" allowBlank="1" showInputMessage="1" showErrorMessage="1" errorTitle="FECHA VISITA" error="Ingrese fecha según ejemplo:_x000a_25/11/73" sqref="K2:K3 C2:C3 AO2:AO3 AX2:AX3" xr:uid="{00000000-0002-0000-0600-000000000000}"/>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142875</xdr:colOff>
                    <xdr:row>7</xdr:row>
                    <xdr:rowOff>104775</xdr:rowOff>
                  </from>
                  <to>
                    <xdr:col>78</xdr:col>
                    <xdr:colOff>485775</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3" tint="0.39997558519241921"/>
  </sheetPr>
  <dimension ref="A1:CC72"/>
  <sheetViews>
    <sheetView showGridLines="0" zoomScaleNormal="100" workbookViewId="0">
      <selection activeCell="BN47" sqref="BN47"/>
    </sheetView>
  </sheetViews>
  <sheetFormatPr baseColWidth="10" defaultColWidth="9.140625" defaultRowHeight="12.75" x14ac:dyDescent="0.2"/>
  <cols>
    <col min="1" max="1" width="5.7109375" customWidth="1"/>
    <col min="2" max="81" width="2.28515625" customWidth="1"/>
  </cols>
  <sheetData>
    <row r="1" spans="1:81" ht="18" customHeight="1" x14ac:dyDescent="0.3">
      <c r="A1" s="312"/>
      <c r="B1" s="312"/>
      <c r="C1" s="312"/>
      <c r="D1" s="312"/>
      <c r="E1" s="312"/>
      <c r="F1" s="312"/>
      <c r="G1" s="312"/>
      <c r="H1" s="312"/>
      <c r="I1" s="311"/>
      <c r="J1" s="312"/>
      <c r="K1" s="312"/>
      <c r="L1" s="312"/>
      <c r="M1" s="312"/>
      <c r="N1" s="312"/>
      <c r="O1" s="312"/>
      <c r="P1" s="312"/>
      <c r="Q1" s="312"/>
      <c r="R1" s="312"/>
      <c r="S1" s="313" t="s">
        <v>918</v>
      </c>
      <c r="T1" s="312"/>
      <c r="U1" s="312"/>
      <c r="V1" s="312"/>
      <c r="W1" s="312"/>
      <c r="X1" s="312"/>
      <c r="Y1" s="312"/>
      <c r="Z1" s="312"/>
      <c r="AA1" s="312"/>
      <c r="AB1" s="312"/>
      <c r="AC1" s="312"/>
      <c r="AD1" s="312"/>
      <c r="AE1" s="312"/>
      <c r="AF1" s="312"/>
      <c r="AG1" s="312"/>
      <c r="AH1" s="312"/>
      <c r="AI1" s="312"/>
      <c r="AJ1" s="312"/>
      <c r="AK1" s="312"/>
      <c r="AL1" s="312"/>
      <c r="AM1" s="314"/>
      <c r="AN1" s="1980"/>
      <c r="AO1" s="1980"/>
      <c r="AP1" s="1980"/>
      <c r="AQ1" s="1980"/>
      <c r="AR1" s="1980"/>
      <c r="AS1" s="1980"/>
      <c r="AT1" s="1980"/>
      <c r="AU1" s="1980"/>
      <c r="AV1" s="1980"/>
      <c r="AW1" s="312"/>
      <c r="AX1" s="312"/>
      <c r="AY1" s="312"/>
      <c r="AZ1" s="315"/>
      <c r="BA1" s="312"/>
      <c r="BB1" s="312"/>
      <c r="BC1" s="312"/>
      <c r="BD1" s="312"/>
      <c r="BE1" s="312"/>
      <c r="BF1" s="312"/>
      <c r="BG1" s="312"/>
      <c r="BH1" s="312"/>
      <c r="BI1" s="312"/>
      <c r="BJ1" s="312"/>
      <c r="BK1" s="315"/>
      <c r="BL1" s="312"/>
      <c r="BM1" s="312"/>
      <c r="BN1" s="312"/>
      <c r="BO1" s="312"/>
      <c r="BP1" s="312"/>
      <c r="BQ1" s="312"/>
      <c r="BR1" s="312"/>
      <c r="BS1" s="312"/>
      <c r="BW1" s="312"/>
      <c r="BX1" s="316"/>
      <c r="BY1" s="312"/>
      <c r="BZ1" s="312"/>
      <c r="CA1" s="312"/>
      <c r="CB1" s="312"/>
      <c r="CC1" s="312"/>
    </row>
    <row r="2" spans="1:81" ht="15" customHeight="1" x14ac:dyDescent="0.2">
      <c r="B2" s="296" t="s">
        <v>675</v>
      </c>
      <c r="C2" s="297"/>
      <c r="D2" s="297"/>
      <c r="E2" s="1981" t="str">
        <f>+Portada!F3</f>
        <v>Janeth Patricia Cando Arias</v>
      </c>
      <c r="F2" s="1981"/>
      <c r="G2" s="1981"/>
      <c r="H2" s="1981"/>
      <c r="I2" s="1981"/>
      <c r="J2" s="1981"/>
      <c r="K2" s="1981"/>
      <c r="L2" s="1981"/>
      <c r="M2" s="1981"/>
      <c r="N2" s="1981"/>
      <c r="O2" s="1981"/>
      <c r="P2" s="1981"/>
      <c r="Q2" s="1981"/>
      <c r="R2" s="1981"/>
      <c r="S2" s="1981"/>
      <c r="T2" s="1981"/>
      <c r="U2" s="1981"/>
      <c r="V2" s="1981"/>
      <c r="W2" s="1981"/>
      <c r="X2" s="1981"/>
      <c r="Y2" s="1981"/>
      <c r="Z2" s="297"/>
      <c r="AA2" s="297" t="s">
        <v>456</v>
      </c>
      <c r="AB2" s="297"/>
      <c r="AC2" s="297"/>
      <c r="AD2" s="297"/>
      <c r="AE2" s="297"/>
      <c r="AF2" s="297"/>
      <c r="AG2" s="1981" t="str">
        <f>+Portada!AE3</f>
        <v>22.959.221-1</v>
      </c>
      <c r="AH2" s="1981"/>
      <c r="AI2" s="1981"/>
      <c r="AJ2" s="1981"/>
      <c r="AK2" s="297"/>
      <c r="AL2" s="297"/>
      <c r="AM2" s="297"/>
      <c r="AN2" s="297"/>
      <c r="AO2" s="297"/>
      <c r="AP2" s="298"/>
      <c r="AQ2" s="298"/>
      <c r="AR2" s="298"/>
      <c r="AS2" s="298"/>
      <c r="AT2" s="298"/>
      <c r="AU2" s="297"/>
      <c r="AV2" s="299"/>
      <c r="AZ2" s="315"/>
      <c r="BA2" s="918" t="s">
        <v>1883</v>
      </c>
      <c r="BB2" s="918"/>
      <c r="BC2" s="918"/>
      <c r="BD2" s="918"/>
      <c r="BE2" s="918"/>
      <c r="BF2" s="919"/>
      <c r="BG2" s="918"/>
      <c r="BH2" s="918"/>
      <c r="BI2" s="918"/>
      <c r="BJ2" s="918"/>
      <c r="BK2" s="920"/>
      <c r="BL2" s="918"/>
      <c r="BM2" s="918"/>
      <c r="BN2" s="918"/>
      <c r="BO2" s="918"/>
      <c r="BP2" s="918"/>
      <c r="BQ2" s="919"/>
      <c r="BR2" s="918"/>
      <c r="BS2" s="918"/>
      <c r="BT2" s="918"/>
      <c r="BU2" s="918"/>
      <c r="BV2" s="918"/>
      <c r="BW2" s="930"/>
      <c r="BX2" s="931"/>
    </row>
    <row r="3" spans="1:81" ht="15" customHeight="1" x14ac:dyDescent="0.2">
      <c r="B3" s="300" t="s">
        <v>676</v>
      </c>
      <c r="C3" s="301"/>
      <c r="D3" s="301"/>
      <c r="E3" s="1978" t="str">
        <f>+Portada!AU4</f>
        <v>Coronel Souper N° 4060</v>
      </c>
      <c r="F3" s="1978"/>
      <c r="G3" s="1978"/>
      <c r="H3" s="1978"/>
      <c r="I3" s="1978"/>
      <c r="J3" s="1978"/>
      <c r="K3" s="1978"/>
      <c r="L3" s="1978"/>
      <c r="M3" s="1978"/>
      <c r="N3" s="1978"/>
      <c r="O3" s="1978"/>
      <c r="P3" s="1978"/>
      <c r="Q3" s="1978"/>
      <c r="R3" s="1978"/>
      <c r="S3" s="1978"/>
      <c r="T3" s="302"/>
      <c r="U3" s="1982"/>
      <c r="V3" s="1982"/>
      <c r="W3" s="1982" t="str">
        <f>+Portada!AP5</f>
        <v>Depto.</v>
      </c>
      <c r="X3" s="1982"/>
      <c r="Y3" s="1982"/>
      <c r="Z3" s="1978" t="str">
        <f>+Portada!AU5</f>
        <v>N°2502 B</v>
      </c>
      <c r="AA3" s="1978"/>
      <c r="AB3" s="1978"/>
      <c r="AC3" s="1978"/>
      <c r="AD3" s="1978"/>
      <c r="AE3" s="1978"/>
      <c r="AF3" s="1978"/>
      <c r="AG3" s="1978" t="str">
        <f>+Portada!AU6</f>
        <v>Mirador Souper</v>
      </c>
      <c r="AH3" s="1978"/>
      <c r="AI3" s="1978"/>
      <c r="AJ3" s="1978"/>
      <c r="AK3" s="1978"/>
      <c r="AL3" s="1978"/>
      <c r="AM3" s="1978"/>
      <c r="AN3" s="1978"/>
      <c r="AO3" s="301"/>
      <c r="AP3" s="303"/>
      <c r="AQ3" s="303"/>
      <c r="AR3" s="303"/>
      <c r="AS3" s="303"/>
      <c r="AT3" s="303"/>
      <c r="AU3" s="301"/>
      <c r="AV3" s="304"/>
      <c r="AZ3" s="315"/>
      <c r="BA3" s="918" t="s">
        <v>1896</v>
      </c>
      <c r="BB3" s="918"/>
      <c r="BC3" s="918"/>
      <c r="BD3" s="918"/>
      <c r="BE3" s="918"/>
      <c r="BF3" s="919"/>
      <c r="BG3" s="918"/>
      <c r="BH3" s="918"/>
      <c r="BI3" s="918"/>
      <c r="BJ3" s="918"/>
      <c r="BK3" s="920"/>
      <c r="BL3" s="918"/>
      <c r="BM3" s="918"/>
      <c r="BN3" s="918"/>
      <c r="BO3" s="918"/>
      <c r="BP3" s="918"/>
      <c r="BQ3" s="919"/>
      <c r="BR3" s="918"/>
      <c r="BS3" s="918"/>
      <c r="BT3" s="918"/>
      <c r="BU3" s="918"/>
      <c r="BV3" s="918"/>
      <c r="BW3" s="930"/>
      <c r="BX3" s="931"/>
    </row>
    <row r="4" spans="1:81" ht="15" customHeight="1" x14ac:dyDescent="0.2">
      <c r="B4" s="1977" t="s">
        <v>457</v>
      </c>
      <c r="C4" s="1977"/>
      <c r="D4" s="1977"/>
      <c r="E4" s="1978" t="str">
        <f>+Portada!AU8</f>
        <v>Estación Central</v>
      </c>
      <c r="F4" s="1978"/>
      <c r="G4" s="1978"/>
      <c r="H4" s="1978"/>
      <c r="I4" s="1978"/>
      <c r="J4" s="1978"/>
      <c r="K4" s="1978"/>
      <c r="L4" s="1978"/>
      <c r="M4" s="302"/>
      <c r="N4" s="302"/>
      <c r="O4" s="302"/>
      <c r="P4" s="302"/>
      <c r="Q4" s="301"/>
      <c r="R4" s="301"/>
      <c r="S4" s="1979" t="s">
        <v>677</v>
      </c>
      <c r="T4" s="1979"/>
      <c r="U4" s="1979"/>
      <c r="V4" s="1979" t="str">
        <f>+Portada!AU7</f>
        <v>Metropolitana de Santiago</v>
      </c>
      <c r="W4" s="1979"/>
      <c r="X4" s="1979"/>
      <c r="Y4" s="1979"/>
      <c r="Z4" s="1979"/>
      <c r="AA4" s="1979"/>
      <c r="AB4" s="1979"/>
      <c r="AC4" s="1979"/>
      <c r="AD4" s="1979"/>
      <c r="AE4" s="1979"/>
      <c r="AF4" s="1979"/>
      <c r="AG4" s="1979"/>
      <c r="AH4" s="1978"/>
      <c r="AI4" s="1978"/>
      <c r="AJ4" s="1978"/>
      <c r="AK4" s="1978"/>
      <c r="AL4" s="1978"/>
      <c r="AM4" s="1978"/>
      <c r="AN4" s="1978"/>
      <c r="AO4" s="1978"/>
      <c r="AP4" s="1978"/>
      <c r="AQ4" s="1978"/>
      <c r="AR4" s="1978"/>
      <c r="AS4" s="1978"/>
      <c r="AT4" s="1978"/>
      <c r="AU4" s="1978"/>
      <c r="AV4" s="304"/>
      <c r="AZ4" s="315"/>
      <c r="BA4" s="918" t="s">
        <v>1913</v>
      </c>
      <c r="BB4" s="918"/>
      <c r="BC4" s="918"/>
      <c r="BD4" s="918"/>
      <c r="BE4" s="918"/>
      <c r="BF4" s="919"/>
      <c r="BG4" s="918"/>
      <c r="BH4" s="918"/>
      <c r="BI4" s="918"/>
      <c r="BJ4" s="918"/>
      <c r="BK4" s="920"/>
      <c r="BL4" s="918"/>
      <c r="BM4" s="918"/>
      <c r="BN4" s="918"/>
      <c r="BO4" s="918"/>
      <c r="BP4" s="918"/>
      <c r="BQ4" s="919"/>
      <c r="BR4" s="918"/>
      <c r="BS4" s="918"/>
      <c r="BT4" s="918"/>
      <c r="BU4" s="918"/>
      <c r="BV4" s="918"/>
      <c r="BW4" s="930"/>
      <c r="BX4" s="931"/>
    </row>
    <row r="5" spans="1:81" ht="15" customHeight="1" thickBot="1" x14ac:dyDescent="0.35">
      <c r="B5" s="580"/>
      <c r="C5" s="581" t="s">
        <v>1526</v>
      </c>
      <c r="D5" s="581"/>
      <c r="E5" s="581"/>
      <c r="F5" s="581"/>
      <c r="G5" s="581"/>
      <c r="H5" s="581"/>
      <c r="I5" s="582"/>
      <c r="J5" s="581"/>
      <c r="K5" s="581"/>
      <c r="L5" s="581"/>
      <c r="M5" s="581"/>
      <c r="N5" s="581"/>
      <c r="O5" s="581"/>
      <c r="P5" s="581"/>
      <c r="Q5" s="581"/>
      <c r="R5" s="581"/>
      <c r="S5" s="583"/>
      <c r="T5" s="581"/>
      <c r="U5" s="581"/>
      <c r="V5" s="581"/>
      <c r="W5" s="581"/>
      <c r="X5" s="581"/>
      <c r="Y5" s="581"/>
      <c r="Z5" s="581"/>
      <c r="AA5" s="581"/>
      <c r="AB5" s="581"/>
      <c r="AC5" s="581"/>
      <c r="AD5" s="581"/>
      <c r="AE5" s="581"/>
      <c r="AF5" s="581"/>
      <c r="AG5" s="581"/>
      <c r="AH5" s="581"/>
      <c r="AI5" s="581"/>
      <c r="AJ5" s="581"/>
      <c r="AK5" s="581"/>
      <c r="AL5" s="581"/>
      <c r="AM5" s="581"/>
      <c r="AN5" s="581"/>
      <c r="AO5" s="581"/>
      <c r="AP5" s="584"/>
      <c r="AQ5" s="584"/>
      <c r="AR5" s="584"/>
      <c r="AS5" s="584"/>
      <c r="AT5" s="584"/>
      <c r="AU5" s="581"/>
      <c r="AV5" s="585"/>
      <c r="AW5" s="579"/>
      <c r="AX5" s="579"/>
      <c r="AY5" s="579"/>
      <c r="AZ5" s="586"/>
      <c r="BA5" s="579"/>
      <c r="BB5" s="579"/>
      <c r="BC5" s="579"/>
      <c r="BD5" s="579"/>
      <c r="BE5" s="579"/>
      <c r="BF5" s="587"/>
      <c r="BG5" s="579"/>
      <c r="BH5" s="579"/>
      <c r="BI5" s="579"/>
      <c r="BJ5" s="579"/>
      <c r="BK5" s="586"/>
      <c r="BL5" s="579"/>
      <c r="BM5" s="579"/>
      <c r="BN5" s="579"/>
      <c r="BO5" s="579"/>
      <c r="BP5" s="579"/>
      <c r="BQ5" s="587"/>
      <c r="BR5" s="579"/>
      <c r="BS5" s="579"/>
      <c r="BT5" s="579"/>
      <c r="BX5" s="316"/>
    </row>
    <row r="6" spans="1:81" ht="15" customHeight="1" x14ac:dyDescent="0.2">
      <c r="A6" s="71"/>
      <c r="B6" s="1827"/>
      <c r="C6" s="1828"/>
      <c r="D6" s="1828"/>
      <c r="E6" s="1828"/>
      <c r="F6" s="1828"/>
      <c r="G6" s="1828"/>
      <c r="H6" s="1828"/>
      <c r="I6" s="1828"/>
      <c r="J6" s="1828"/>
      <c r="K6" s="1828"/>
      <c r="L6" s="1828"/>
      <c r="M6" s="1828"/>
      <c r="N6" s="1828"/>
      <c r="O6" s="1828"/>
      <c r="P6" s="1828"/>
      <c r="Q6" s="1828"/>
      <c r="R6" s="1828"/>
      <c r="S6" s="1828"/>
      <c r="T6" s="1828"/>
      <c r="U6" s="1828"/>
      <c r="V6" s="1828"/>
      <c r="W6" s="1828"/>
      <c r="X6" s="1828"/>
      <c r="Y6" s="1828"/>
      <c r="Z6" s="1828"/>
      <c r="AA6" s="1828"/>
      <c r="AB6" s="1828"/>
      <c r="AC6" s="1828"/>
      <c r="AD6" s="1828"/>
      <c r="AE6" s="1828"/>
      <c r="AF6" s="1828"/>
      <c r="AG6" s="1828"/>
      <c r="AH6" s="1828"/>
      <c r="AI6" s="1828"/>
      <c r="AJ6" s="1828"/>
      <c r="AK6" s="1828"/>
      <c r="AL6" s="1828"/>
      <c r="AM6" s="1828"/>
      <c r="AN6" s="1828"/>
      <c r="AO6" s="1828"/>
      <c r="AP6" s="1828"/>
      <c r="AQ6" s="1828"/>
      <c r="AR6" s="1828"/>
      <c r="AS6" s="1828"/>
      <c r="AT6" s="1828"/>
      <c r="AU6" s="1828"/>
      <c r="AV6" s="1828"/>
      <c r="AW6" s="1828"/>
      <c r="AX6" s="1828"/>
      <c r="AY6" s="1828"/>
      <c r="AZ6" s="1828"/>
      <c r="BA6" s="1828"/>
      <c r="BB6" s="1828"/>
      <c r="BC6" s="1828"/>
      <c r="BD6" s="1828"/>
      <c r="BE6" s="1828"/>
      <c r="BF6" s="1828"/>
      <c r="BG6" s="1828"/>
      <c r="BH6" s="1828"/>
      <c r="BI6" s="1828"/>
      <c r="BJ6" s="1828"/>
      <c r="BK6" s="1828"/>
      <c r="BL6" s="1828"/>
      <c r="BM6" s="1828"/>
      <c r="BN6" s="1828"/>
      <c r="BO6" s="1828"/>
      <c r="BP6" s="1828"/>
      <c r="BQ6" s="1828"/>
      <c r="BR6" s="1828"/>
      <c r="BS6" s="1828"/>
      <c r="BT6" s="1829"/>
      <c r="BU6" s="71"/>
      <c r="BV6" s="71"/>
      <c r="BW6" s="71"/>
      <c r="BX6" s="71"/>
      <c r="BY6" s="71"/>
      <c r="BZ6" s="71"/>
      <c r="CA6" s="71"/>
      <c r="CB6" s="71"/>
      <c r="CC6" s="71"/>
    </row>
    <row r="7" spans="1:81" ht="15" customHeight="1" x14ac:dyDescent="0.2">
      <c r="A7" s="71"/>
      <c r="B7" s="1830"/>
      <c r="C7" s="1831"/>
      <c r="D7" s="1831"/>
      <c r="E7" s="1831"/>
      <c r="F7" s="1831"/>
      <c r="G7" s="1831"/>
      <c r="H7" s="1831"/>
      <c r="I7" s="1831"/>
      <c r="J7" s="1831"/>
      <c r="K7" s="1831"/>
      <c r="L7" s="1831"/>
      <c r="M7" s="1831"/>
      <c r="N7" s="1831"/>
      <c r="O7" s="1831"/>
      <c r="P7" s="1831"/>
      <c r="Q7" s="1831"/>
      <c r="R7" s="1831"/>
      <c r="S7" s="1831"/>
      <c r="T7" s="1831"/>
      <c r="U7" s="1831"/>
      <c r="V7" s="1831"/>
      <c r="W7" s="1831"/>
      <c r="X7" s="1831"/>
      <c r="Y7" s="1831"/>
      <c r="Z7" s="1831"/>
      <c r="AA7" s="1831"/>
      <c r="AB7" s="1831"/>
      <c r="AC7" s="1831"/>
      <c r="AD7" s="1831"/>
      <c r="AE7" s="1831"/>
      <c r="AF7" s="1831"/>
      <c r="AG7" s="1831"/>
      <c r="AH7" s="1831"/>
      <c r="AI7" s="1831"/>
      <c r="AJ7" s="1831"/>
      <c r="AK7" s="1831"/>
      <c r="AL7" s="1831"/>
      <c r="AM7" s="1831"/>
      <c r="AN7" s="1831"/>
      <c r="AO7" s="1831"/>
      <c r="AP7" s="1831"/>
      <c r="AQ7" s="1831"/>
      <c r="AR7" s="1831"/>
      <c r="AS7" s="1831"/>
      <c r="AT7" s="1831"/>
      <c r="AU7" s="1831"/>
      <c r="AV7" s="1831"/>
      <c r="AW7" s="1831"/>
      <c r="AX7" s="1831"/>
      <c r="AY7" s="1831"/>
      <c r="AZ7" s="1831"/>
      <c r="BA7" s="1831"/>
      <c r="BB7" s="1831"/>
      <c r="BC7" s="1831"/>
      <c r="BD7" s="1831"/>
      <c r="BE7" s="1831"/>
      <c r="BF7" s="1831"/>
      <c r="BG7" s="1831"/>
      <c r="BH7" s="1831"/>
      <c r="BI7" s="1831"/>
      <c r="BJ7" s="1831"/>
      <c r="BK7" s="1831"/>
      <c r="BL7" s="1831"/>
      <c r="BM7" s="1831"/>
      <c r="BN7" s="1831"/>
      <c r="BO7" s="1831"/>
      <c r="BP7" s="1831"/>
      <c r="BQ7" s="1831"/>
      <c r="BR7" s="1831"/>
      <c r="BS7" s="1831"/>
      <c r="BT7" s="1832"/>
      <c r="BU7" s="71"/>
      <c r="BV7" s="71"/>
      <c r="BW7" s="71"/>
      <c r="BX7" s="71"/>
      <c r="BY7" s="71"/>
      <c r="BZ7" s="71"/>
      <c r="CA7" s="71"/>
      <c r="CB7" s="71"/>
      <c r="CC7" s="71"/>
    </row>
    <row r="8" spans="1:81" ht="15" customHeight="1" x14ac:dyDescent="0.2">
      <c r="A8" s="71"/>
      <c r="B8" s="1830"/>
      <c r="C8" s="1831"/>
      <c r="D8" s="1831"/>
      <c r="E8" s="1831"/>
      <c r="F8" s="1831"/>
      <c r="G8" s="1831"/>
      <c r="H8" s="1831"/>
      <c r="I8" s="1831"/>
      <c r="J8" s="1831"/>
      <c r="K8" s="1831"/>
      <c r="L8" s="1831"/>
      <c r="M8" s="1831"/>
      <c r="N8" s="1831"/>
      <c r="O8" s="1831"/>
      <c r="P8" s="1831"/>
      <c r="Q8" s="1831"/>
      <c r="R8" s="1831"/>
      <c r="S8" s="1831"/>
      <c r="T8" s="1831"/>
      <c r="U8" s="1831"/>
      <c r="V8" s="1831"/>
      <c r="W8" s="1831"/>
      <c r="X8" s="1831"/>
      <c r="Y8" s="1831"/>
      <c r="Z8" s="1831"/>
      <c r="AA8" s="1831"/>
      <c r="AB8" s="1831"/>
      <c r="AC8" s="1831"/>
      <c r="AD8" s="1831"/>
      <c r="AE8" s="1831"/>
      <c r="AF8" s="1831"/>
      <c r="AG8" s="1831"/>
      <c r="AH8" s="1831"/>
      <c r="AI8" s="1831"/>
      <c r="AJ8" s="1831"/>
      <c r="AK8" s="1831"/>
      <c r="AL8" s="1831"/>
      <c r="AM8" s="1831"/>
      <c r="AN8" s="1831"/>
      <c r="AO8" s="1831"/>
      <c r="AP8" s="1831"/>
      <c r="AQ8" s="1831"/>
      <c r="AR8" s="1831"/>
      <c r="AS8" s="1831"/>
      <c r="AT8" s="1831"/>
      <c r="AU8" s="1831"/>
      <c r="AV8" s="1831"/>
      <c r="AW8" s="1831"/>
      <c r="AX8" s="1831"/>
      <c r="AY8" s="1831"/>
      <c r="AZ8" s="1831"/>
      <c r="BA8" s="1831"/>
      <c r="BB8" s="1831"/>
      <c r="BC8" s="1831"/>
      <c r="BD8" s="1831"/>
      <c r="BE8" s="1831"/>
      <c r="BF8" s="1831"/>
      <c r="BG8" s="1831"/>
      <c r="BH8" s="1831"/>
      <c r="BI8" s="1831"/>
      <c r="BJ8" s="1831"/>
      <c r="BK8" s="1831"/>
      <c r="BL8" s="1831"/>
      <c r="BM8" s="1831"/>
      <c r="BN8" s="1831"/>
      <c r="BO8" s="1831"/>
      <c r="BP8" s="1831"/>
      <c r="BQ8" s="1831"/>
      <c r="BR8" s="1831"/>
      <c r="BS8" s="1831"/>
      <c r="BT8" s="1832"/>
      <c r="BU8" s="71"/>
      <c r="BV8" s="71"/>
      <c r="BW8" s="71"/>
      <c r="BX8" s="71"/>
      <c r="BY8" s="71"/>
      <c r="BZ8" s="71"/>
      <c r="CA8" s="71"/>
      <c r="CB8" s="71"/>
      <c r="CC8" s="71"/>
    </row>
    <row r="9" spans="1:81" ht="15" customHeight="1" x14ac:dyDescent="0.2">
      <c r="A9" s="71"/>
      <c r="B9" s="1830"/>
      <c r="C9" s="1831"/>
      <c r="D9" s="1831"/>
      <c r="E9" s="1831"/>
      <c r="F9" s="1831"/>
      <c r="G9" s="1831"/>
      <c r="H9" s="1831"/>
      <c r="I9" s="1831"/>
      <c r="J9" s="1831"/>
      <c r="K9" s="1831"/>
      <c r="L9" s="1831"/>
      <c r="M9" s="1831"/>
      <c r="N9" s="1831"/>
      <c r="O9" s="1831"/>
      <c r="P9" s="1831"/>
      <c r="Q9" s="1831"/>
      <c r="R9" s="1831"/>
      <c r="S9" s="1831"/>
      <c r="T9" s="1831"/>
      <c r="U9" s="1831"/>
      <c r="V9" s="1831"/>
      <c r="W9" s="1831"/>
      <c r="X9" s="1831"/>
      <c r="Y9" s="1831"/>
      <c r="Z9" s="1831"/>
      <c r="AA9" s="1831"/>
      <c r="AB9" s="1831"/>
      <c r="AC9" s="1831"/>
      <c r="AD9" s="1831"/>
      <c r="AE9" s="1831"/>
      <c r="AF9" s="1831"/>
      <c r="AG9" s="1831"/>
      <c r="AH9" s="1831"/>
      <c r="AI9" s="1831"/>
      <c r="AJ9" s="1831"/>
      <c r="AK9" s="1831"/>
      <c r="AL9" s="1831"/>
      <c r="AM9" s="1831"/>
      <c r="AN9" s="1831"/>
      <c r="AO9" s="1831"/>
      <c r="AP9" s="1831"/>
      <c r="AQ9" s="1831"/>
      <c r="AR9" s="1831"/>
      <c r="AS9" s="1831"/>
      <c r="AT9" s="1831"/>
      <c r="AU9" s="1831"/>
      <c r="AV9" s="1831"/>
      <c r="AW9" s="1831"/>
      <c r="AX9" s="1831"/>
      <c r="AY9" s="1831"/>
      <c r="AZ9" s="1831"/>
      <c r="BA9" s="1831"/>
      <c r="BB9" s="1831"/>
      <c r="BC9" s="1831"/>
      <c r="BD9" s="1831"/>
      <c r="BE9" s="1831"/>
      <c r="BF9" s="1831"/>
      <c r="BG9" s="1831"/>
      <c r="BH9" s="1831"/>
      <c r="BI9" s="1831"/>
      <c r="BJ9" s="1831"/>
      <c r="BK9" s="1831"/>
      <c r="BL9" s="1831"/>
      <c r="BM9" s="1831"/>
      <c r="BN9" s="1831"/>
      <c r="BO9" s="1831"/>
      <c r="BP9" s="1831"/>
      <c r="BQ9" s="1831"/>
      <c r="BR9" s="1831"/>
      <c r="BS9" s="1831"/>
      <c r="BT9" s="1832"/>
      <c r="BU9" s="71"/>
      <c r="BV9" s="71"/>
      <c r="BW9" s="71"/>
      <c r="BX9" s="71"/>
      <c r="BY9" s="71"/>
      <c r="BZ9" s="71"/>
      <c r="CA9" s="71"/>
      <c r="CB9" s="71"/>
      <c r="CC9" s="71"/>
    </row>
    <row r="10" spans="1:81" ht="15" customHeight="1" x14ac:dyDescent="0.2">
      <c r="A10" s="71"/>
      <c r="B10" s="1830"/>
      <c r="C10" s="1831"/>
      <c r="D10" s="1831"/>
      <c r="E10" s="1831"/>
      <c r="F10" s="1831"/>
      <c r="G10" s="1831"/>
      <c r="H10" s="1831"/>
      <c r="I10" s="1831"/>
      <c r="J10" s="1831"/>
      <c r="K10" s="1831"/>
      <c r="L10" s="1831"/>
      <c r="M10" s="1831"/>
      <c r="N10" s="1831"/>
      <c r="O10" s="1831"/>
      <c r="P10" s="1831"/>
      <c r="Q10" s="1831"/>
      <c r="R10" s="1831"/>
      <c r="S10" s="1831"/>
      <c r="T10" s="1831"/>
      <c r="U10" s="1831"/>
      <c r="V10" s="1831"/>
      <c r="W10" s="1831"/>
      <c r="X10" s="1831"/>
      <c r="Y10" s="1831"/>
      <c r="Z10" s="1831"/>
      <c r="AA10" s="1831"/>
      <c r="AB10" s="1831"/>
      <c r="AC10" s="1831"/>
      <c r="AD10" s="1831"/>
      <c r="AE10" s="1831"/>
      <c r="AF10" s="1831"/>
      <c r="AG10" s="1831"/>
      <c r="AH10" s="1831"/>
      <c r="AI10" s="1831"/>
      <c r="AJ10" s="1831"/>
      <c r="AK10" s="1831"/>
      <c r="AL10" s="1831"/>
      <c r="AM10" s="1831"/>
      <c r="AN10" s="1831"/>
      <c r="AO10" s="1831"/>
      <c r="AP10" s="1831"/>
      <c r="AQ10" s="1831"/>
      <c r="AR10" s="1831"/>
      <c r="AS10" s="1831"/>
      <c r="AT10" s="1831"/>
      <c r="AU10" s="1831"/>
      <c r="AV10" s="1831"/>
      <c r="AW10" s="1831"/>
      <c r="AX10" s="1831"/>
      <c r="AY10" s="1831"/>
      <c r="AZ10" s="1831"/>
      <c r="BA10" s="1831"/>
      <c r="BB10" s="1831"/>
      <c r="BC10" s="1831"/>
      <c r="BD10" s="1831"/>
      <c r="BE10" s="1831"/>
      <c r="BF10" s="1831"/>
      <c r="BG10" s="1831"/>
      <c r="BH10" s="1831"/>
      <c r="BI10" s="1831"/>
      <c r="BJ10" s="1831"/>
      <c r="BK10" s="1831"/>
      <c r="BL10" s="1831"/>
      <c r="BM10" s="1831"/>
      <c r="BN10" s="1831"/>
      <c r="BO10" s="1831"/>
      <c r="BP10" s="1831"/>
      <c r="BQ10" s="1831"/>
      <c r="BR10" s="1831"/>
      <c r="BS10" s="1831"/>
      <c r="BT10" s="1832"/>
      <c r="BU10" s="71"/>
      <c r="BV10" s="71"/>
      <c r="BW10" s="71"/>
      <c r="BX10" s="71"/>
      <c r="BY10" s="71"/>
      <c r="BZ10" s="71"/>
      <c r="CA10" s="71"/>
      <c r="CB10" s="71"/>
      <c r="CC10" s="71"/>
    </row>
    <row r="11" spans="1:81" ht="15" customHeight="1" x14ac:dyDescent="0.2">
      <c r="A11" s="71"/>
      <c r="B11" s="1830"/>
      <c r="C11" s="1831"/>
      <c r="D11" s="1831"/>
      <c r="E11" s="1831"/>
      <c r="F11" s="1831"/>
      <c r="G11" s="1831"/>
      <c r="H11" s="1831"/>
      <c r="I11" s="1831"/>
      <c r="J11" s="1831"/>
      <c r="K11" s="1831"/>
      <c r="L11" s="1831"/>
      <c r="M11" s="1831"/>
      <c r="N11" s="1831"/>
      <c r="O11" s="1831"/>
      <c r="P11" s="1831"/>
      <c r="Q11" s="1831"/>
      <c r="R11" s="1831"/>
      <c r="S11" s="1831"/>
      <c r="T11" s="1831"/>
      <c r="U11" s="1831"/>
      <c r="V11" s="1831"/>
      <c r="W11" s="1831"/>
      <c r="X11" s="1831"/>
      <c r="Y11" s="1831"/>
      <c r="Z11" s="1831"/>
      <c r="AA11" s="1831"/>
      <c r="AB11" s="1831"/>
      <c r="AC11" s="1831"/>
      <c r="AD11" s="1831"/>
      <c r="AE11" s="1831"/>
      <c r="AF11" s="1831"/>
      <c r="AG11" s="1831"/>
      <c r="AH11" s="1831"/>
      <c r="AI11" s="1831"/>
      <c r="AJ11" s="1831"/>
      <c r="AK11" s="1831"/>
      <c r="AL11" s="1831"/>
      <c r="AM11" s="1831"/>
      <c r="AN11" s="1831"/>
      <c r="AO11" s="1831"/>
      <c r="AP11" s="1831"/>
      <c r="AQ11" s="1831"/>
      <c r="AR11" s="1831"/>
      <c r="AS11" s="1831"/>
      <c r="AT11" s="1831"/>
      <c r="AU11" s="1831"/>
      <c r="AV11" s="1831"/>
      <c r="AW11" s="1831"/>
      <c r="AX11" s="1831"/>
      <c r="AY11" s="1831"/>
      <c r="AZ11" s="1831"/>
      <c r="BA11" s="1831"/>
      <c r="BB11" s="1831"/>
      <c r="BC11" s="1831"/>
      <c r="BD11" s="1831"/>
      <c r="BE11" s="1831"/>
      <c r="BF11" s="1831"/>
      <c r="BG11" s="1831"/>
      <c r="BH11" s="1831"/>
      <c r="BI11" s="1831"/>
      <c r="BJ11" s="1831"/>
      <c r="BK11" s="1831"/>
      <c r="BL11" s="1831"/>
      <c r="BM11" s="1831"/>
      <c r="BN11" s="1831"/>
      <c r="BO11" s="1831"/>
      <c r="BP11" s="1831"/>
      <c r="BQ11" s="1831"/>
      <c r="BR11" s="1831"/>
      <c r="BS11" s="1831"/>
      <c r="BT11" s="1832"/>
      <c r="BU11" s="71"/>
      <c r="BV11" s="71"/>
      <c r="BW11" s="71"/>
      <c r="BX11" s="71"/>
      <c r="BY11" s="71"/>
      <c r="BZ11" s="71"/>
      <c r="CA11" s="71"/>
      <c r="CB11" s="71"/>
      <c r="CC11" s="71"/>
    </row>
    <row r="12" spans="1:81" ht="15" customHeight="1" x14ac:dyDescent="0.2">
      <c r="A12" s="71"/>
      <c r="B12" s="1830"/>
      <c r="C12" s="1831"/>
      <c r="D12" s="1831"/>
      <c r="E12" s="1831"/>
      <c r="F12" s="1831"/>
      <c r="G12" s="1831"/>
      <c r="H12" s="1831"/>
      <c r="I12" s="1831"/>
      <c r="J12" s="1831"/>
      <c r="K12" s="1831"/>
      <c r="L12" s="1831"/>
      <c r="M12" s="1831"/>
      <c r="N12" s="1831"/>
      <c r="O12" s="1831"/>
      <c r="P12" s="1831"/>
      <c r="Q12" s="1831"/>
      <c r="R12" s="1831"/>
      <c r="S12" s="1831"/>
      <c r="T12" s="1831"/>
      <c r="U12" s="1831"/>
      <c r="V12" s="1831"/>
      <c r="W12" s="1831"/>
      <c r="X12" s="1831"/>
      <c r="Y12" s="1831"/>
      <c r="Z12" s="1831"/>
      <c r="AA12" s="1831"/>
      <c r="AB12" s="1831"/>
      <c r="AC12" s="1831"/>
      <c r="AD12" s="1831"/>
      <c r="AE12" s="1831"/>
      <c r="AF12" s="1831"/>
      <c r="AG12" s="1831"/>
      <c r="AH12" s="1831"/>
      <c r="AI12" s="1831"/>
      <c r="AJ12" s="1831"/>
      <c r="AK12" s="1831"/>
      <c r="AL12" s="1831"/>
      <c r="AM12" s="1831"/>
      <c r="AN12" s="1831"/>
      <c r="AO12" s="1831"/>
      <c r="AP12" s="1831"/>
      <c r="AQ12" s="1831"/>
      <c r="AR12" s="1831"/>
      <c r="AS12" s="1831"/>
      <c r="AT12" s="1831"/>
      <c r="AU12" s="1831"/>
      <c r="AV12" s="1831"/>
      <c r="AW12" s="1831"/>
      <c r="AX12" s="1831"/>
      <c r="AY12" s="1831"/>
      <c r="AZ12" s="1831"/>
      <c r="BA12" s="1831"/>
      <c r="BB12" s="1831"/>
      <c r="BC12" s="1831"/>
      <c r="BD12" s="1831"/>
      <c r="BE12" s="1831"/>
      <c r="BF12" s="1831"/>
      <c r="BG12" s="1831"/>
      <c r="BH12" s="1831"/>
      <c r="BI12" s="1831"/>
      <c r="BJ12" s="1831"/>
      <c r="BK12" s="1831"/>
      <c r="BL12" s="1831"/>
      <c r="BM12" s="1831"/>
      <c r="BN12" s="1831"/>
      <c r="BO12" s="1831"/>
      <c r="BP12" s="1831"/>
      <c r="BQ12" s="1831"/>
      <c r="BR12" s="1831"/>
      <c r="BS12" s="1831"/>
      <c r="BT12" s="1832"/>
      <c r="BU12" s="71"/>
      <c r="BV12" s="71"/>
      <c r="BW12" s="71"/>
      <c r="BX12" s="71"/>
      <c r="BY12" s="71"/>
      <c r="BZ12" s="71"/>
      <c r="CA12" s="71"/>
      <c r="CB12" s="71"/>
      <c r="CC12" s="71"/>
    </row>
    <row r="13" spans="1:81" ht="15" customHeight="1" x14ac:dyDescent="0.2">
      <c r="A13" s="71"/>
      <c r="B13" s="1830"/>
      <c r="C13" s="1831"/>
      <c r="D13" s="1831"/>
      <c r="E13" s="1831"/>
      <c r="F13" s="1831"/>
      <c r="G13" s="1831"/>
      <c r="H13" s="1831"/>
      <c r="I13" s="1831"/>
      <c r="J13" s="1831"/>
      <c r="K13" s="1831"/>
      <c r="L13" s="1831"/>
      <c r="M13" s="1831"/>
      <c r="N13" s="1831"/>
      <c r="O13" s="1831"/>
      <c r="P13" s="1831"/>
      <c r="Q13" s="1831"/>
      <c r="R13" s="1831"/>
      <c r="S13" s="1831"/>
      <c r="T13" s="1831"/>
      <c r="U13" s="1831"/>
      <c r="V13" s="1831"/>
      <c r="W13" s="1831"/>
      <c r="X13" s="1831"/>
      <c r="Y13" s="1831"/>
      <c r="Z13" s="1831"/>
      <c r="AA13" s="1831"/>
      <c r="AB13" s="1831"/>
      <c r="AC13" s="1831"/>
      <c r="AD13" s="1831"/>
      <c r="AE13" s="1831"/>
      <c r="AF13" s="1831"/>
      <c r="AG13" s="1831"/>
      <c r="AH13" s="1831"/>
      <c r="AI13" s="1831"/>
      <c r="AJ13" s="1831"/>
      <c r="AK13" s="1831"/>
      <c r="AL13" s="1831"/>
      <c r="AM13" s="1831"/>
      <c r="AN13" s="1831"/>
      <c r="AO13" s="1831"/>
      <c r="AP13" s="1831"/>
      <c r="AQ13" s="1831"/>
      <c r="AR13" s="1831"/>
      <c r="AS13" s="1831"/>
      <c r="AT13" s="1831"/>
      <c r="AU13" s="1831"/>
      <c r="AV13" s="1831"/>
      <c r="AW13" s="1831"/>
      <c r="AX13" s="1831"/>
      <c r="AY13" s="1831"/>
      <c r="AZ13" s="1831"/>
      <c r="BA13" s="1831"/>
      <c r="BB13" s="1831"/>
      <c r="BC13" s="1831"/>
      <c r="BD13" s="1831"/>
      <c r="BE13" s="1831"/>
      <c r="BF13" s="1831"/>
      <c r="BG13" s="1831"/>
      <c r="BH13" s="1831"/>
      <c r="BI13" s="1831"/>
      <c r="BJ13" s="1831"/>
      <c r="BK13" s="1831"/>
      <c r="BL13" s="1831"/>
      <c r="BM13" s="1831"/>
      <c r="BN13" s="1831"/>
      <c r="BO13" s="1831"/>
      <c r="BP13" s="1831"/>
      <c r="BQ13" s="1831"/>
      <c r="BR13" s="1831"/>
      <c r="BS13" s="1831"/>
      <c r="BT13" s="1832"/>
      <c r="BU13" s="71"/>
      <c r="BV13" s="71"/>
      <c r="BW13" s="71"/>
      <c r="BX13" s="71"/>
      <c r="BY13" s="71"/>
      <c r="BZ13" s="71"/>
      <c r="CA13" s="71"/>
      <c r="CB13" s="71"/>
      <c r="CC13" s="71"/>
    </row>
    <row r="14" spans="1:81" ht="15" customHeight="1" x14ac:dyDescent="0.2">
      <c r="A14" s="71"/>
      <c r="B14" s="1830"/>
      <c r="C14" s="1831"/>
      <c r="D14" s="1831"/>
      <c r="E14" s="1831"/>
      <c r="F14" s="1831"/>
      <c r="G14" s="1831"/>
      <c r="H14" s="1831"/>
      <c r="I14" s="1831"/>
      <c r="J14" s="1831"/>
      <c r="K14" s="1831"/>
      <c r="L14" s="1831"/>
      <c r="M14" s="1831"/>
      <c r="N14" s="1831"/>
      <c r="O14" s="1831"/>
      <c r="P14" s="1831"/>
      <c r="Q14" s="1831"/>
      <c r="R14" s="1831"/>
      <c r="S14" s="1831"/>
      <c r="T14" s="1831"/>
      <c r="U14" s="1831"/>
      <c r="V14" s="1831"/>
      <c r="W14" s="1831"/>
      <c r="X14" s="1831"/>
      <c r="Y14" s="1831"/>
      <c r="Z14" s="1831"/>
      <c r="AA14" s="1831"/>
      <c r="AB14" s="1831"/>
      <c r="AC14" s="1831"/>
      <c r="AD14" s="1831"/>
      <c r="AE14" s="1831"/>
      <c r="AF14" s="1831"/>
      <c r="AG14" s="1831"/>
      <c r="AH14" s="1831"/>
      <c r="AI14" s="1831"/>
      <c r="AJ14" s="1831"/>
      <c r="AK14" s="1831"/>
      <c r="AL14" s="1831"/>
      <c r="AM14" s="1831"/>
      <c r="AN14" s="1831"/>
      <c r="AO14" s="1831"/>
      <c r="AP14" s="1831"/>
      <c r="AQ14" s="1831"/>
      <c r="AR14" s="1831"/>
      <c r="AS14" s="1831"/>
      <c r="AT14" s="1831"/>
      <c r="AU14" s="1831"/>
      <c r="AV14" s="1831"/>
      <c r="AW14" s="1831"/>
      <c r="AX14" s="1831"/>
      <c r="AY14" s="1831"/>
      <c r="AZ14" s="1831"/>
      <c r="BA14" s="1831"/>
      <c r="BB14" s="1831"/>
      <c r="BC14" s="1831"/>
      <c r="BD14" s="1831"/>
      <c r="BE14" s="1831"/>
      <c r="BF14" s="1831"/>
      <c r="BG14" s="1831"/>
      <c r="BH14" s="1831"/>
      <c r="BI14" s="1831"/>
      <c r="BJ14" s="1831"/>
      <c r="BK14" s="1831"/>
      <c r="BL14" s="1831"/>
      <c r="BM14" s="1831"/>
      <c r="BN14" s="1831"/>
      <c r="BO14" s="1831"/>
      <c r="BP14" s="1831"/>
      <c r="BQ14" s="1831"/>
      <c r="BR14" s="1831"/>
      <c r="BS14" s="1831"/>
      <c r="BT14" s="1832"/>
      <c r="BU14" s="71"/>
      <c r="BV14" s="71"/>
      <c r="BW14" s="71"/>
      <c r="BX14" s="71"/>
      <c r="BY14" s="71"/>
      <c r="BZ14" s="71"/>
      <c r="CA14" s="71"/>
      <c r="CB14" s="71"/>
      <c r="CC14" s="71"/>
    </row>
    <row r="15" spans="1:81" ht="15" customHeight="1" x14ac:dyDescent="0.2">
      <c r="A15" s="71"/>
      <c r="B15" s="1830"/>
      <c r="C15" s="1831"/>
      <c r="D15" s="1831"/>
      <c r="E15" s="1831"/>
      <c r="F15" s="1831"/>
      <c r="G15" s="1831"/>
      <c r="H15" s="1831"/>
      <c r="I15" s="1831"/>
      <c r="J15" s="1831"/>
      <c r="K15" s="1831"/>
      <c r="L15" s="1831"/>
      <c r="M15" s="1831"/>
      <c r="N15" s="1831"/>
      <c r="O15" s="1831"/>
      <c r="P15" s="1831"/>
      <c r="Q15" s="1831"/>
      <c r="R15" s="1831"/>
      <c r="S15" s="1831"/>
      <c r="T15" s="1831"/>
      <c r="U15" s="1831"/>
      <c r="V15" s="1831"/>
      <c r="W15" s="1831"/>
      <c r="X15" s="1831"/>
      <c r="Y15" s="1831"/>
      <c r="Z15" s="1831"/>
      <c r="AA15" s="1831"/>
      <c r="AB15" s="1831"/>
      <c r="AC15" s="1831"/>
      <c r="AD15" s="1831"/>
      <c r="AE15" s="1831"/>
      <c r="AF15" s="1831"/>
      <c r="AG15" s="1831"/>
      <c r="AH15" s="1831"/>
      <c r="AI15" s="1831"/>
      <c r="AJ15" s="1831"/>
      <c r="AK15" s="1831"/>
      <c r="AL15" s="1831"/>
      <c r="AM15" s="1831"/>
      <c r="AN15" s="1831"/>
      <c r="AO15" s="1831"/>
      <c r="AP15" s="1831"/>
      <c r="AQ15" s="1831"/>
      <c r="AR15" s="1831"/>
      <c r="AS15" s="1831"/>
      <c r="AT15" s="1831"/>
      <c r="AU15" s="1831"/>
      <c r="AV15" s="1831"/>
      <c r="AW15" s="1831"/>
      <c r="AX15" s="1831"/>
      <c r="AY15" s="1831"/>
      <c r="AZ15" s="1831"/>
      <c r="BA15" s="1831"/>
      <c r="BB15" s="1831"/>
      <c r="BC15" s="1831"/>
      <c r="BD15" s="1831"/>
      <c r="BE15" s="1831"/>
      <c r="BF15" s="1831"/>
      <c r="BG15" s="1831"/>
      <c r="BH15" s="1831"/>
      <c r="BI15" s="1831"/>
      <c r="BJ15" s="1831"/>
      <c r="BK15" s="1831"/>
      <c r="BL15" s="1831"/>
      <c r="BM15" s="1831"/>
      <c r="BN15" s="1831"/>
      <c r="BO15" s="1831"/>
      <c r="BP15" s="1831"/>
      <c r="BQ15" s="1831"/>
      <c r="BR15" s="1831"/>
      <c r="BS15" s="1831"/>
      <c r="BT15" s="1832"/>
      <c r="BU15" s="71"/>
      <c r="BV15" s="71"/>
      <c r="BW15" s="71"/>
      <c r="BX15" s="71"/>
      <c r="BY15" s="71"/>
      <c r="BZ15" s="71"/>
      <c r="CA15" s="71"/>
      <c r="CB15" s="71"/>
      <c r="CC15" s="71"/>
    </row>
    <row r="16" spans="1:81" ht="15" customHeight="1" x14ac:dyDescent="0.2">
      <c r="A16" s="71"/>
      <c r="B16" s="1830"/>
      <c r="C16" s="1831"/>
      <c r="D16" s="1831"/>
      <c r="E16" s="1831"/>
      <c r="F16" s="1831"/>
      <c r="G16" s="1831"/>
      <c r="H16" s="1831"/>
      <c r="I16" s="1831"/>
      <c r="J16" s="1831"/>
      <c r="K16" s="1831"/>
      <c r="L16" s="1831"/>
      <c r="M16" s="1831"/>
      <c r="N16" s="1831"/>
      <c r="O16" s="1831"/>
      <c r="P16" s="1831"/>
      <c r="Q16" s="1831"/>
      <c r="R16" s="1831"/>
      <c r="S16" s="1831"/>
      <c r="T16" s="1831"/>
      <c r="U16" s="1831"/>
      <c r="V16" s="1831"/>
      <c r="W16" s="1831"/>
      <c r="X16" s="1831"/>
      <c r="Y16" s="1831"/>
      <c r="Z16" s="1831"/>
      <c r="AA16" s="1831"/>
      <c r="AB16" s="1831"/>
      <c r="AC16" s="1831"/>
      <c r="AD16" s="1831"/>
      <c r="AE16" s="1831"/>
      <c r="AF16" s="1831"/>
      <c r="AG16" s="1831"/>
      <c r="AH16" s="1831"/>
      <c r="AI16" s="1831"/>
      <c r="AJ16" s="1831"/>
      <c r="AK16" s="1831"/>
      <c r="AL16" s="1831"/>
      <c r="AM16" s="1831"/>
      <c r="AN16" s="1831"/>
      <c r="AO16" s="1831"/>
      <c r="AP16" s="1831"/>
      <c r="AQ16" s="1831"/>
      <c r="AR16" s="1831"/>
      <c r="AS16" s="1831"/>
      <c r="AT16" s="1831"/>
      <c r="AU16" s="1831"/>
      <c r="AV16" s="1831"/>
      <c r="AW16" s="1831"/>
      <c r="AX16" s="1831"/>
      <c r="AY16" s="1831"/>
      <c r="AZ16" s="1831"/>
      <c r="BA16" s="1831"/>
      <c r="BB16" s="1831"/>
      <c r="BC16" s="1831"/>
      <c r="BD16" s="1831"/>
      <c r="BE16" s="1831"/>
      <c r="BF16" s="1831"/>
      <c r="BG16" s="1831"/>
      <c r="BH16" s="1831"/>
      <c r="BI16" s="1831"/>
      <c r="BJ16" s="1831"/>
      <c r="BK16" s="1831"/>
      <c r="BL16" s="1831"/>
      <c r="BM16" s="1831"/>
      <c r="BN16" s="1831"/>
      <c r="BO16" s="1831"/>
      <c r="BP16" s="1831"/>
      <c r="BQ16" s="1831"/>
      <c r="BR16" s="1831"/>
      <c r="BS16" s="1831"/>
      <c r="BT16" s="1832"/>
      <c r="BU16" s="71"/>
      <c r="BV16" s="71"/>
      <c r="BW16" s="71"/>
      <c r="BX16" s="71"/>
      <c r="BY16" s="71"/>
      <c r="BZ16" s="71"/>
      <c r="CA16" s="71"/>
      <c r="CB16" s="71"/>
      <c r="CC16" s="71"/>
    </row>
    <row r="17" spans="1:81" ht="15" customHeight="1" x14ac:dyDescent="0.2">
      <c r="A17" s="71"/>
      <c r="B17" s="1830"/>
      <c r="C17" s="1831"/>
      <c r="D17" s="1831"/>
      <c r="E17" s="1831"/>
      <c r="F17" s="1831"/>
      <c r="G17" s="1831"/>
      <c r="H17" s="1831"/>
      <c r="I17" s="1831"/>
      <c r="J17" s="1831"/>
      <c r="K17" s="1831"/>
      <c r="L17" s="1831"/>
      <c r="M17" s="1831"/>
      <c r="N17" s="1831"/>
      <c r="O17" s="1831"/>
      <c r="P17" s="1831"/>
      <c r="Q17" s="1831"/>
      <c r="R17" s="1831"/>
      <c r="S17" s="1831"/>
      <c r="T17" s="1831"/>
      <c r="U17" s="1831"/>
      <c r="V17" s="1831"/>
      <c r="W17" s="1831"/>
      <c r="X17" s="1831"/>
      <c r="Y17" s="1831"/>
      <c r="Z17" s="1831"/>
      <c r="AA17" s="1831"/>
      <c r="AB17" s="1831"/>
      <c r="AC17" s="1831"/>
      <c r="AD17" s="1831"/>
      <c r="AE17" s="1831"/>
      <c r="AF17" s="1831"/>
      <c r="AG17" s="1831"/>
      <c r="AH17" s="1831"/>
      <c r="AI17" s="1831"/>
      <c r="AJ17" s="1831"/>
      <c r="AK17" s="1831"/>
      <c r="AL17" s="1831"/>
      <c r="AM17" s="1831"/>
      <c r="AN17" s="1831"/>
      <c r="AO17" s="1831"/>
      <c r="AP17" s="1831"/>
      <c r="AQ17" s="1831"/>
      <c r="AR17" s="1831"/>
      <c r="AS17" s="1831"/>
      <c r="AT17" s="1831"/>
      <c r="AU17" s="1831"/>
      <c r="AV17" s="1831"/>
      <c r="AW17" s="1831"/>
      <c r="AX17" s="1831"/>
      <c r="AY17" s="1831"/>
      <c r="AZ17" s="1831"/>
      <c r="BA17" s="1831"/>
      <c r="BB17" s="1831"/>
      <c r="BC17" s="1831"/>
      <c r="BD17" s="1831"/>
      <c r="BE17" s="1831"/>
      <c r="BF17" s="1831"/>
      <c r="BG17" s="1831"/>
      <c r="BH17" s="1831"/>
      <c r="BI17" s="1831"/>
      <c r="BJ17" s="1831"/>
      <c r="BK17" s="1831"/>
      <c r="BL17" s="1831"/>
      <c r="BM17" s="1831"/>
      <c r="BN17" s="1831"/>
      <c r="BO17" s="1831"/>
      <c r="BP17" s="1831"/>
      <c r="BQ17" s="1831"/>
      <c r="BR17" s="1831"/>
      <c r="BS17" s="1831"/>
      <c r="BT17" s="1832"/>
      <c r="BU17" s="71"/>
      <c r="BV17" s="71"/>
      <c r="BW17" s="71"/>
      <c r="BX17" s="71"/>
      <c r="BY17" s="71"/>
      <c r="BZ17" s="71"/>
      <c r="CA17" s="71"/>
      <c r="CB17" s="71"/>
      <c r="CC17" s="71"/>
    </row>
    <row r="18" spans="1:81" ht="15" customHeight="1" x14ac:dyDescent="0.2">
      <c r="A18" s="71"/>
      <c r="B18" s="1830"/>
      <c r="C18" s="1831"/>
      <c r="D18" s="1831"/>
      <c r="E18" s="1831"/>
      <c r="F18" s="1831"/>
      <c r="G18" s="1831"/>
      <c r="H18" s="1831"/>
      <c r="I18" s="1831"/>
      <c r="J18" s="1831"/>
      <c r="K18" s="1831"/>
      <c r="L18" s="1831"/>
      <c r="M18" s="1831"/>
      <c r="N18" s="1831"/>
      <c r="O18" s="1831"/>
      <c r="P18" s="1831"/>
      <c r="Q18" s="1831"/>
      <c r="R18" s="1831"/>
      <c r="S18" s="1831"/>
      <c r="T18" s="1831"/>
      <c r="U18" s="1831"/>
      <c r="V18" s="1831"/>
      <c r="W18" s="1831"/>
      <c r="X18" s="1831"/>
      <c r="Y18" s="1831"/>
      <c r="Z18" s="1831"/>
      <c r="AA18" s="1831"/>
      <c r="AB18" s="1831"/>
      <c r="AC18" s="1831"/>
      <c r="AD18" s="1831"/>
      <c r="AE18" s="1831"/>
      <c r="AF18" s="1831"/>
      <c r="AG18" s="1831"/>
      <c r="AH18" s="1831"/>
      <c r="AI18" s="1831"/>
      <c r="AJ18" s="1831"/>
      <c r="AK18" s="1831"/>
      <c r="AL18" s="1831"/>
      <c r="AM18" s="1831"/>
      <c r="AN18" s="1831"/>
      <c r="AO18" s="1831"/>
      <c r="AP18" s="1831"/>
      <c r="AQ18" s="1831"/>
      <c r="AR18" s="1831"/>
      <c r="AS18" s="1831"/>
      <c r="AT18" s="1831"/>
      <c r="AU18" s="1831"/>
      <c r="AV18" s="1831"/>
      <c r="AW18" s="1831"/>
      <c r="AX18" s="1831"/>
      <c r="AY18" s="1831"/>
      <c r="AZ18" s="1831"/>
      <c r="BA18" s="1831"/>
      <c r="BB18" s="1831"/>
      <c r="BC18" s="1831"/>
      <c r="BD18" s="1831"/>
      <c r="BE18" s="1831"/>
      <c r="BF18" s="1831"/>
      <c r="BG18" s="1831"/>
      <c r="BH18" s="1831"/>
      <c r="BI18" s="1831"/>
      <c r="BJ18" s="1831"/>
      <c r="BK18" s="1831"/>
      <c r="BL18" s="1831"/>
      <c r="BM18" s="1831"/>
      <c r="BN18" s="1831"/>
      <c r="BO18" s="1831"/>
      <c r="BP18" s="1831"/>
      <c r="BQ18" s="1831"/>
      <c r="BR18" s="1831"/>
      <c r="BS18" s="1831"/>
      <c r="BT18" s="1832"/>
      <c r="BU18" s="71"/>
      <c r="BV18" s="71"/>
      <c r="BW18" s="71"/>
      <c r="BX18" s="71"/>
      <c r="BY18" s="71"/>
      <c r="BZ18" s="71"/>
      <c r="CA18" s="71"/>
      <c r="CB18" s="71"/>
      <c r="CC18" s="71"/>
    </row>
    <row r="19" spans="1:81" ht="15" customHeight="1" x14ac:dyDescent="0.2">
      <c r="A19" s="71"/>
      <c r="B19" s="1830"/>
      <c r="C19" s="1831"/>
      <c r="D19" s="1831"/>
      <c r="E19" s="1831"/>
      <c r="F19" s="1831"/>
      <c r="G19" s="1831"/>
      <c r="H19" s="1831"/>
      <c r="I19" s="1831"/>
      <c r="J19" s="1831"/>
      <c r="K19" s="1831"/>
      <c r="L19" s="1831"/>
      <c r="M19" s="1831"/>
      <c r="N19" s="1831"/>
      <c r="O19" s="1831"/>
      <c r="P19" s="1831"/>
      <c r="Q19" s="1831"/>
      <c r="R19" s="1831"/>
      <c r="S19" s="1831"/>
      <c r="T19" s="1831"/>
      <c r="U19" s="1831"/>
      <c r="V19" s="1831"/>
      <c r="W19" s="1831"/>
      <c r="X19" s="1831"/>
      <c r="Y19" s="1831"/>
      <c r="Z19" s="1831"/>
      <c r="AA19" s="1831"/>
      <c r="AB19" s="1831"/>
      <c r="AC19" s="1831"/>
      <c r="AD19" s="1831"/>
      <c r="AE19" s="1831"/>
      <c r="AF19" s="1831"/>
      <c r="AG19" s="1831"/>
      <c r="AH19" s="1831"/>
      <c r="AI19" s="1831"/>
      <c r="AJ19" s="1831"/>
      <c r="AK19" s="1831"/>
      <c r="AL19" s="1831"/>
      <c r="AM19" s="1831"/>
      <c r="AN19" s="1831"/>
      <c r="AO19" s="1831"/>
      <c r="AP19" s="1831"/>
      <c r="AQ19" s="1831"/>
      <c r="AR19" s="1831"/>
      <c r="AS19" s="1831"/>
      <c r="AT19" s="1831"/>
      <c r="AU19" s="1831"/>
      <c r="AV19" s="1831"/>
      <c r="AW19" s="1831"/>
      <c r="AX19" s="1831"/>
      <c r="AY19" s="1831"/>
      <c r="AZ19" s="1831"/>
      <c r="BA19" s="1831"/>
      <c r="BB19" s="1831"/>
      <c r="BC19" s="1831"/>
      <c r="BD19" s="1831"/>
      <c r="BE19" s="1831"/>
      <c r="BF19" s="1831"/>
      <c r="BG19" s="1831"/>
      <c r="BH19" s="1831"/>
      <c r="BI19" s="1831"/>
      <c r="BJ19" s="1831"/>
      <c r="BK19" s="1831"/>
      <c r="BL19" s="1831"/>
      <c r="BM19" s="1831"/>
      <c r="BN19" s="1831"/>
      <c r="BO19" s="1831"/>
      <c r="BP19" s="1831"/>
      <c r="BQ19" s="1831"/>
      <c r="BR19" s="1831"/>
      <c r="BS19" s="1831"/>
      <c r="BT19" s="1832"/>
      <c r="BU19" s="71"/>
      <c r="BV19" s="71"/>
      <c r="BW19" s="71"/>
      <c r="BX19" s="71"/>
      <c r="BY19" s="71"/>
      <c r="BZ19" s="71"/>
      <c r="CA19" s="71"/>
      <c r="CB19" s="71"/>
      <c r="CC19" s="71"/>
    </row>
    <row r="20" spans="1:81" ht="15" customHeight="1" x14ac:dyDescent="0.2">
      <c r="A20" s="71"/>
      <c r="B20" s="1830"/>
      <c r="C20" s="1831"/>
      <c r="D20" s="1831"/>
      <c r="E20" s="1831"/>
      <c r="F20" s="1831"/>
      <c r="G20" s="1831"/>
      <c r="H20" s="1831"/>
      <c r="I20" s="1831"/>
      <c r="J20" s="1831"/>
      <c r="K20" s="1831"/>
      <c r="L20" s="1831"/>
      <c r="M20" s="1831"/>
      <c r="N20" s="1831"/>
      <c r="O20" s="1831"/>
      <c r="P20" s="1831"/>
      <c r="Q20" s="1831"/>
      <c r="R20" s="1831"/>
      <c r="S20" s="1831"/>
      <c r="T20" s="1831"/>
      <c r="U20" s="1831"/>
      <c r="V20" s="1831"/>
      <c r="W20" s="1831"/>
      <c r="X20" s="1831"/>
      <c r="Y20" s="1831"/>
      <c r="Z20" s="1831"/>
      <c r="AA20" s="1831"/>
      <c r="AB20" s="1831"/>
      <c r="AC20" s="1831"/>
      <c r="AD20" s="1831"/>
      <c r="AE20" s="1831"/>
      <c r="AF20" s="1831"/>
      <c r="AG20" s="1831"/>
      <c r="AH20" s="1831"/>
      <c r="AI20" s="1831"/>
      <c r="AJ20" s="1831"/>
      <c r="AK20" s="1831"/>
      <c r="AL20" s="1831"/>
      <c r="AM20" s="1831"/>
      <c r="AN20" s="1831"/>
      <c r="AO20" s="1831"/>
      <c r="AP20" s="1831"/>
      <c r="AQ20" s="1831"/>
      <c r="AR20" s="1831"/>
      <c r="AS20" s="1831"/>
      <c r="AT20" s="1831"/>
      <c r="AU20" s="1831"/>
      <c r="AV20" s="1831"/>
      <c r="AW20" s="1831"/>
      <c r="AX20" s="1831"/>
      <c r="AY20" s="1831"/>
      <c r="AZ20" s="1831"/>
      <c r="BA20" s="1831"/>
      <c r="BB20" s="1831"/>
      <c r="BC20" s="1831"/>
      <c r="BD20" s="1831"/>
      <c r="BE20" s="1831"/>
      <c r="BF20" s="1831"/>
      <c r="BG20" s="1831"/>
      <c r="BH20" s="1831"/>
      <c r="BI20" s="1831"/>
      <c r="BJ20" s="1831"/>
      <c r="BK20" s="1831"/>
      <c r="BL20" s="1831"/>
      <c r="BM20" s="1831"/>
      <c r="BN20" s="1831"/>
      <c r="BO20" s="1831"/>
      <c r="BP20" s="1831"/>
      <c r="BQ20" s="1831"/>
      <c r="BR20" s="1831"/>
      <c r="BS20" s="1831"/>
      <c r="BT20" s="1832"/>
      <c r="BU20" s="71"/>
      <c r="BV20" s="71"/>
      <c r="BW20" s="71"/>
      <c r="BX20" s="71"/>
      <c r="BY20" s="71"/>
      <c r="BZ20" s="71"/>
      <c r="CA20" s="71"/>
      <c r="CB20" s="71"/>
      <c r="CC20" s="71"/>
    </row>
    <row r="21" spans="1:81" ht="15" customHeight="1" x14ac:dyDescent="0.2">
      <c r="A21" s="71"/>
      <c r="B21" s="1830"/>
      <c r="C21" s="1831"/>
      <c r="D21" s="1831"/>
      <c r="E21" s="1831"/>
      <c r="F21" s="1831"/>
      <c r="G21" s="1831"/>
      <c r="H21" s="1831"/>
      <c r="I21" s="1831"/>
      <c r="J21" s="1831"/>
      <c r="K21" s="1831"/>
      <c r="L21" s="1831"/>
      <c r="M21" s="1831"/>
      <c r="N21" s="1831"/>
      <c r="O21" s="1831"/>
      <c r="P21" s="1831"/>
      <c r="Q21" s="1831"/>
      <c r="R21" s="1831"/>
      <c r="S21" s="1831"/>
      <c r="T21" s="1831"/>
      <c r="U21" s="1831"/>
      <c r="V21" s="1831"/>
      <c r="W21" s="1831"/>
      <c r="X21" s="1831"/>
      <c r="Y21" s="1831"/>
      <c r="Z21" s="1831"/>
      <c r="AA21" s="1831"/>
      <c r="AB21" s="1831"/>
      <c r="AC21" s="1831"/>
      <c r="AD21" s="1831"/>
      <c r="AE21" s="1831"/>
      <c r="AF21" s="1831"/>
      <c r="AG21" s="1831"/>
      <c r="AH21" s="1831"/>
      <c r="AI21" s="1831"/>
      <c r="AJ21" s="1831"/>
      <c r="AK21" s="1831"/>
      <c r="AL21" s="1831"/>
      <c r="AM21" s="1831"/>
      <c r="AN21" s="1831"/>
      <c r="AO21" s="1831"/>
      <c r="AP21" s="1831"/>
      <c r="AQ21" s="1831"/>
      <c r="AR21" s="1831"/>
      <c r="AS21" s="1831"/>
      <c r="AT21" s="1831"/>
      <c r="AU21" s="1831"/>
      <c r="AV21" s="1831"/>
      <c r="AW21" s="1831"/>
      <c r="AX21" s="1831"/>
      <c r="AY21" s="1831"/>
      <c r="AZ21" s="1831"/>
      <c r="BA21" s="1831"/>
      <c r="BB21" s="1831"/>
      <c r="BC21" s="1831"/>
      <c r="BD21" s="1831"/>
      <c r="BE21" s="1831"/>
      <c r="BF21" s="1831"/>
      <c r="BG21" s="1831"/>
      <c r="BH21" s="1831"/>
      <c r="BI21" s="1831"/>
      <c r="BJ21" s="1831"/>
      <c r="BK21" s="1831"/>
      <c r="BL21" s="1831"/>
      <c r="BM21" s="1831"/>
      <c r="BN21" s="1831"/>
      <c r="BO21" s="1831"/>
      <c r="BP21" s="1831"/>
      <c r="BQ21" s="1831"/>
      <c r="BR21" s="1831"/>
      <c r="BS21" s="1831"/>
      <c r="BT21" s="1832"/>
      <c r="BU21" s="71"/>
      <c r="BV21" s="71"/>
      <c r="BW21" s="71"/>
      <c r="BX21" s="71"/>
      <c r="BY21" s="71"/>
      <c r="BZ21" s="71"/>
      <c r="CA21" s="71"/>
      <c r="CB21" s="71"/>
      <c r="CC21" s="71"/>
    </row>
    <row r="22" spans="1:81" ht="15" customHeight="1" x14ac:dyDescent="0.2">
      <c r="A22" s="71"/>
      <c r="B22" s="1830"/>
      <c r="C22" s="1831"/>
      <c r="D22" s="1831"/>
      <c r="E22" s="1831"/>
      <c r="F22" s="1831"/>
      <c r="G22" s="1831"/>
      <c r="H22" s="1831"/>
      <c r="I22" s="1831"/>
      <c r="J22" s="1831"/>
      <c r="K22" s="1831"/>
      <c r="L22" s="1831"/>
      <c r="M22" s="1831"/>
      <c r="N22" s="1831"/>
      <c r="O22" s="1831"/>
      <c r="P22" s="1831"/>
      <c r="Q22" s="1831"/>
      <c r="R22" s="1831"/>
      <c r="S22" s="1831"/>
      <c r="T22" s="1831"/>
      <c r="U22" s="1831"/>
      <c r="V22" s="1831"/>
      <c r="W22" s="1831"/>
      <c r="X22" s="1831"/>
      <c r="Y22" s="1831"/>
      <c r="Z22" s="1831"/>
      <c r="AA22" s="1831"/>
      <c r="AB22" s="1831"/>
      <c r="AC22" s="1831"/>
      <c r="AD22" s="1831"/>
      <c r="AE22" s="1831"/>
      <c r="AF22" s="1831"/>
      <c r="AG22" s="1831"/>
      <c r="AH22" s="1831"/>
      <c r="AI22" s="1831"/>
      <c r="AJ22" s="1831"/>
      <c r="AK22" s="1831"/>
      <c r="AL22" s="1831"/>
      <c r="AM22" s="1831"/>
      <c r="AN22" s="1831"/>
      <c r="AO22" s="1831"/>
      <c r="AP22" s="1831"/>
      <c r="AQ22" s="1831"/>
      <c r="AR22" s="1831"/>
      <c r="AS22" s="1831"/>
      <c r="AT22" s="1831"/>
      <c r="AU22" s="1831"/>
      <c r="AV22" s="1831"/>
      <c r="AW22" s="1831"/>
      <c r="AX22" s="1831"/>
      <c r="AY22" s="1831"/>
      <c r="AZ22" s="1831"/>
      <c r="BA22" s="1831"/>
      <c r="BB22" s="1831"/>
      <c r="BC22" s="1831"/>
      <c r="BD22" s="1831"/>
      <c r="BE22" s="1831"/>
      <c r="BF22" s="1831"/>
      <c r="BG22" s="1831"/>
      <c r="BH22" s="1831"/>
      <c r="BI22" s="1831"/>
      <c r="BJ22" s="1831"/>
      <c r="BK22" s="1831"/>
      <c r="BL22" s="1831"/>
      <c r="BM22" s="1831"/>
      <c r="BN22" s="1831"/>
      <c r="BO22" s="1831"/>
      <c r="BP22" s="1831"/>
      <c r="BQ22" s="1831"/>
      <c r="BR22" s="1831"/>
      <c r="BS22" s="1831"/>
      <c r="BT22" s="1832"/>
      <c r="BU22" s="71"/>
      <c r="BV22" s="71"/>
      <c r="BW22" s="71"/>
      <c r="BX22" s="71"/>
      <c r="BY22" s="71"/>
      <c r="BZ22" s="71"/>
      <c r="CA22" s="71"/>
      <c r="CB22" s="71"/>
      <c r="CC22" s="71"/>
    </row>
    <row r="23" spans="1:81" ht="15" customHeight="1" x14ac:dyDescent="0.2">
      <c r="A23" s="71"/>
      <c r="B23" s="1830"/>
      <c r="C23" s="1831"/>
      <c r="D23" s="1831"/>
      <c r="E23" s="1831"/>
      <c r="F23" s="1831"/>
      <c r="G23" s="1831"/>
      <c r="H23" s="1831"/>
      <c r="I23" s="1831"/>
      <c r="J23" s="1831"/>
      <c r="K23" s="1831"/>
      <c r="L23" s="1831"/>
      <c r="M23" s="1831"/>
      <c r="N23" s="1831"/>
      <c r="O23" s="1831"/>
      <c r="P23" s="1831"/>
      <c r="Q23" s="1831"/>
      <c r="R23" s="1831"/>
      <c r="S23" s="1831"/>
      <c r="T23" s="1831"/>
      <c r="U23" s="1831"/>
      <c r="V23" s="1831"/>
      <c r="W23" s="1831"/>
      <c r="X23" s="1831"/>
      <c r="Y23" s="1831"/>
      <c r="Z23" s="1831"/>
      <c r="AA23" s="1831"/>
      <c r="AB23" s="1831"/>
      <c r="AC23" s="1831"/>
      <c r="AD23" s="1831"/>
      <c r="AE23" s="1831"/>
      <c r="AF23" s="1831"/>
      <c r="AG23" s="1831"/>
      <c r="AH23" s="1831"/>
      <c r="AI23" s="1831"/>
      <c r="AJ23" s="1831"/>
      <c r="AK23" s="1831"/>
      <c r="AL23" s="1831"/>
      <c r="AM23" s="1831"/>
      <c r="AN23" s="1831"/>
      <c r="AO23" s="1831"/>
      <c r="AP23" s="1831"/>
      <c r="AQ23" s="1831"/>
      <c r="AR23" s="1831"/>
      <c r="AS23" s="1831"/>
      <c r="AT23" s="1831"/>
      <c r="AU23" s="1831"/>
      <c r="AV23" s="1831"/>
      <c r="AW23" s="1831"/>
      <c r="AX23" s="1831"/>
      <c r="AY23" s="1831"/>
      <c r="AZ23" s="1831"/>
      <c r="BA23" s="1831"/>
      <c r="BB23" s="1831"/>
      <c r="BC23" s="1831"/>
      <c r="BD23" s="1831"/>
      <c r="BE23" s="1831"/>
      <c r="BF23" s="1831"/>
      <c r="BG23" s="1831"/>
      <c r="BH23" s="1831"/>
      <c r="BI23" s="1831"/>
      <c r="BJ23" s="1831"/>
      <c r="BK23" s="1831"/>
      <c r="BL23" s="1831"/>
      <c r="BM23" s="1831"/>
      <c r="BN23" s="1831"/>
      <c r="BO23" s="1831"/>
      <c r="BP23" s="1831"/>
      <c r="BQ23" s="1831"/>
      <c r="BR23" s="1831"/>
      <c r="BS23" s="1831"/>
      <c r="BT23" s="1832"/>
      <c r="BU23" s="71"/>
      <c r="BV23" s="71"/>
      <c r="BW23" s="71"/>
      <c r="BX23" s="71"/>
      <c r="BY23" s="71"/>
      <c r="BZ23" s="71"/>
      <c r="CA23" s="71"/>
      <c r="CB23" s="71"/>
      <c r="CC23" s="71"/>
    </row>
    <row r="24" spans="1:81" ht="15" customHeight="1" x14ac:dyDescent="0.2">
      <c r="A24" s="71"/>
      <c r="B24" s="1830"/>
      <c r="C24" s="1831"/>
      <c r="D24" s="1831"/>
      <c r="E24" s="1831"/>
      <c r="F24" s="1831"/>
      <c r="G24" s="1831"/>
      <c r="H24" s="1831"/>
      <c r="I24" s="1831"/>
      <c r="J24" s="1831"/>
      <c r="K24" s="1831"/>
      <c r="L24" s="1831"/>
      <c r="M24" s="1831"/>
      <c r="N24" s="1831"/>
      <c r="O24" s="1831"/>
      <c r="P24" s="1831"/>
      <c r="Q24" s="1831"/>
      <c r="R24" s="1831"/>
      <c r="S24" s="1831"/>
      <c r="T24" s="1831"/>
      <c r="U24" s="1831"/>
      <c r="V24" s="1831"/>
      <c r="W24" s="1831"/>
      <c r="X24" s="1831"/>
      <c r="Y24" s="1831"/>
      <c r="Z24" s="1831"/>
      <c r="AA24" s="1831"/>
      <c r="AB24" s="1831"/>
      <c r="AC24" s="1831"/>
      <c r="AD24" s="1831"/>
      <c r="AE24" s="1831"/>
      <c r="AF24" s="1831"/>
      <c r="AG24" s="1831"/>
      <c r="AH24" s="1831"/>
      <c r="AI24" s="1831"/>
      <c r="AJ24" s="1831"/>
      <c r="AK24" s="1831"/>
      <c r="AL24" s="1831"/>
      <c r="AM24" s="1831"/>
      <c r="AN24" s="1831"/>
      <c r="AO24" s="1831"/>
      <c r="AP24" s="1831"/>
      <c r="AQ24" s="1831"/>
      <c r="AR24" s="1831"/>
      <c r="AS24" s="1831"/>
      <c r="AT24" s="1831"/>
      <c r="AU24" s="1831"/>
      <c r="AV24" s="1831"/>
      <c r="AW24" s="1831"/>
      <c r="AX24" s="1831"/>
      <c r="AY24" s="1831"/>
      <c r="AZ24" s="1831"/>
      <c r="BA24" s="1831"/>
      <c r="BB24" s="1831"/>
      <c r="BC24" s="1831"/>
      <c r="BD24" s="1831"/>
      <c r="BE24" s="1831"/>
      <c r="BF24" s="1831"/>
      <c r="BG24" s="1831"/>
      <c r="BH24" s="1831"/>
      <c r="BI24" s="1831"/>
      <c r="BJ24" s="1831"/>
      <c r="BK24" s="1831"/>
      <c r="BL24" s="1831"/>
      <c r="BM24" s="1831"/>
      <c r="BN24" s="1831"/>
      <c r="BO24" s="1831"/>
      <c r="BP24" s="1831"/>
      <c r="BQ24" s="1831"/>
      <c r="BR24" s="1831"/>
      <c r="BS24" s="1831"/>
      <c r="BT24" s="1832"/>
      <c r="BU24" s="71"/>
      <c r="BV24" s="71"/>
      <c r="BW24" s="71"/>
      <c r="BX24" s="71"/>
      <c r="BY24" s="71"/>
      <c r="BZ24" s="71"/>
      <c r="CA24" s="71"/>
      <c r="CB24" s="71"/>
      <c r="CC24" s="71"/>
    </row>
    <row r="25" spans="1:81" ht="15" customHeight="1" x14ac:dyDescent="0.2">
      <c r="A25" s="71"/>
      <c r="B25" s="1830"/>
      <c r="C25" s="1831"/>
      <c r="D25" s="1831"/>
      <c r="E25" s="1831"/>
      <c r="F25" s="1831"/>
      <c r="G25" s="1831"/>
      <c r="H25" s="1831"/>
      <c r="I25" s="1831"/>
      <c r="J25" s="1831"/>
      <c r="K25" s="1831"/>
      <c r="L25" s="1831"/>
      <c r="M25" s="1831"/>
      <c r="N25" s="1831"/>
      <c r="O25" s="1831"/>
      <c r="P25" s="1831"/>
      <c r="Q25" s="1831"/>
      <c r="R25" s="1831"/>
      <c r="S25" s="1831"/>
      <c r="T25" s="1831"/>
      <c r="U25" s="1831"/>
      <c r="V25" s="1831"/>
      <c r="W25" s="1831"/>
      <c r="X25" s="1831"/>
      <c r="Y25" s="1831"/>
      <c r="Z25" s="1831"/>
      <c r="AA25" s="1831"/>
      <c r="AB25" s="1831"/>
      <c r="AC25" s="1831"/>
      <c r="AD25" s="1831"/>
      <c r="AE25" s="1831"/>
      <c r="AF25" s="1831"/>
      <c r="AG25" s="1831"/>
      <c r="AH25" s="1831"/>
      <c r="AI25" s="1831"/>
      <c r="AJ25" s="1831"/>
      <c r="AK25" s="1831"/>
      <c r="AL25" s="1831"/>
      <c r="AM25" s="1831"/>
      <c r="AN25" s="1831"/>
      <c r="AO25" s="1831"/>
      <c r="AP25" s="1831"/>
      <c r="AQ25" s="1831"/>
      <c r="AR25" s="1831"/>
      <c r="AS25" s="1831"/>
      <c r="AT25" s="1831"/>
      <c r="AU25" s="1831"/>
      <c r="AV25" s="1831"/>
      <c r="AW25" s="1831"/>
      <c r="AX25" s="1831"/>
      <c r="AY25" s="1831"/>
      <c r="AZ25" s="1831"/>
      <c r="BA25" s="1831"/>
      <c r="BB25" s="1831"/>
      <c r="BC25" s="1831"/>
      <c r="BD25" s="1831"/>
      <c r="BE25" s="1831"/>
      <c r="BF25" s="1831"/>
      <c r="BG25" s="1831"/>
      <c r="BH25" s="1831"/>
      <c r="BI25" s="1831"/>
      <c r="BJ25" s="1831"/>
      <c r="BK25" s="1831"/>
      <c r="BL25" s="1831"/>
      <c r="BM25" s="1831"/>
      <c r="BN25" s="1831"/>
      <c r="BO25" s="1831"/>
      <c r="BP25" s="1831"/>
      <c r="BQ25" s="1831"/>
      <c r="BR25" s="1831"/>
      <c r="BS25" s="1831"/>
      <c r="BT25" s="1832"/>
      <c r="BU25" s="71"/>
      <c r="BV25" s="71"/>
      <c r="BW25" s="71"/>
      <c r="BX25" s="71"/>
      <c r="BY25" s="71"/>
      <c r="BZ25" s="71"/>
      <c r="CA25" s="71"/>
      <c r="CB25" s="71"/>
      <c r="CC25" s="71"/>
    </row>
    <row r="26" spans="1:81" ht="15" customHeight="1" x14ac:dyDescent="0.2">
      <c r="A26" s="71"/>
      <c r="B26" s="1830"/>
      <c r="C26" s="1831"/>
      <c r="D26" s="1831"/>
      <c r="E26" s="1831"/>
      <c r="F26" s="1831"/>
      <c r="G26" s="1831"/>
      <c r="H26" s="1831"/>
      <c r="I26" s="1831"/>
      <c r="J26" s="1831"/>
      <c r="K26" s="1831"/>
      <c r="L26" s="1831"/>
      <c r="M26" s="1831"/>
      <c r="N26" s="1831"/>
      <c r="O26" s="1831"/>
      <c r="P26" s="1831"/>
      <c r="Q26" s="1831"/>
      <c r="R26" s="1831"/>
      <c r="S26" s="1831"/>
      <c r="T26" s="1831"/>
      <c r="U26" s="1831"/>
      <c r="V26" s="1831"/>
      <c r="W26" s="1831"/>
      <c r="X26" s="1831"/>
      <c r="Y26" s="1831"/>
      <c r="Z26" s="1831"/>
      <c r="AA26" s="1831"/>
      <c r="AB26" s="1831"/>
      <c r="AC26" s="1831"/>
      <c r="AD26" s="1831"/>
      <c r="AE26" s="1831"/>
      <c r="AF26" s="1831"/>
      <c r="AG26" s="1831"/>
      <c r="AH26" s="1831"/>
      <c r="AI26" s="1831"/>
      <c r="AJ26" s="1831"/>
      <c r="AK26" s="1831"/>
      <c r="AL26" s="1831"/>
      <c r="AM26" s="1831"/>
      <c r="AN26" s="1831"/>
      <c r="AO26" s="1831"/>
      <c r="AP26" s="1831"/>
      <c r="AQ26" s="1831"/>
      <c r="AR26" s="1831"/>
      <c r="AS26" s="1831"/>
      <c r="AT26" s="1831"/>
      <c r="AU26" s="1831"/>
      <c r="AV26" s="1831"/>
      <c r="AW26" s="1831"/>
      <c r="AX26" s="1831"/>
      <c r="AY26" s="1831"/>
      <c r="AZ26" s="1831"/>
      <c r="BA26" s="1831"/>
      <c r="BB26" s="1831"/>
      <c r="BC26" s="1831"/>
      <c r="BD26" s="1831"/>
      <c r="BE26" s="1831"/>
      <c r="BF26" s="1831"/>
      <c r="BG26" s="1831"/>
      <c r="BH26" s="1831"/>
      <c r="BI26" s="1831"/>
      <c r="BJ26" s="1831"/>
      <c r="BK26" s="1831"/>
      <c r="BL26" s="1831"/>
      <c r="BM26" s="1831"/>
      <c r="BN26" s="1831"/>
      <c r="BO26" s="1831"/>
      <c r="BP26" s="1831"/>
      <c r="BQ26" s="1831"/>
      <c r="BR26" s="1831"/>
      <c r="BS26" s="1831"/>
      <c r="BT26" s="1832"/>
      <c r="BU26" s="71"/>
      <c r="BV26" s="71"/>
      <c r="BW26" s="71"/>
      <c r="BX26" s="71"/>
      <c r="BY26" s="71"/>
      <c r="BZ26" s="71"/>
      <c r="CA26" s="71"/>
      <c r="CB26" s="71"/>
      <c r="CC26" s="71"/>
    </row>
    <row r="27" spans="1:81" ht="15" customHeight="1" x14ac:dyDescent="0.2">
      <c r="A27" s="71"/>
      <c r="B27" s="1830"/>
      <c r="C27" s="1831"/>
      <c r="D27" s="1831"/>
      <c r="E27" s="1831"/>
      <c r="F27" s="1831"/>
      <c r="G27" s="1831"/>
      <c r="H27" s="1831"/>
      <c r="I27" s="1831"/>
      <c r="J27" s="1831"/>
      <c r="K27" s="1831"/>
      <c r="L27" s="1831"/>
      <c r="M27" s="1831"/>
      <c r="N27" s="1831"/>
      <c r="O27" s="1831"/>
      <c r="P27" s="1831"/>
      <c r="Q27" s="1831"/>
      <c r="R27" s="1831"/>
      <c r="S27" s="1831"/>
      <c r="T27" s="1831"/>
      <c r="U27" s="1831"/>
      <c r="V27" s="1831"/>
      <c r="W27" s="1831"/>
      <c r="X27" s="1831"/>
      <c r="Y27" s="1831"/>
      <c r="Z27" s="1831"/>
      <c r="AA27" s="1831"/>
      <c r="AB27" s="1831"/>
      <c r="AC27" s="1831"/>
      <c r="AD27" s="1831"/>
      <c r="AE27" s="1831"/>
      <c r="AF27" s="1831"/>
      <c r="AG27" s="1831"/>
      <c r="AH27" s="1831"/>
      <c r="AI27" s="1831"/>
      <c r="AJ27" s="1831"/>
      <c r="AK27" s="1831"/>
      <c r="AL27" s="1831"/>
      <c r="AM27" s="1831"/>
      <c r="AN27" s="1831"/>
      <c r="AO27" s="1831"/>
      <c r="AP27" s="1831"/>
      <c r="AQ27" s="1831"/>
      <c r="AR27" s="1831"/>
      <c r="AS27" s="1831"/>
      <c r="AT27" s="1831"/>
      <c r="AU27" s="1831"/>
      <c r="AV27" s="1831"/>
      <c r="AW27" s="1831"/>
      <c r="AX27" s="1831"/>
      <c r="AY27" s="1831"/>
      <c r="AZ27" s="1831"/>
      <c r="BA27" s="1831"/>
      <c r="BB27" s="1831"/>
      <c r="BC27" s="1831"/>
      <c r="BD27" s="1831"/>
      <c r="BE27" s="1831"/>
      <c r="BF27" s="1831"/>
      <c r="BG27" s="1831"/>
      <c r="BH27" s="1831"/>
      <c r="BI27" s="1831"/>
      <c r="BJ27" s="1831"/>
      <c r="BK27" s="1831"/>
      <c r="BL27" s="1831"/>
      <c r="BM27" s="1831"/>
      <c r="BN27" s="1831"/>
      <c r="BO27" s="1831"/>
      <c r="BP27" s="1831"/>
      <c r="BQ27" s="1831"/>
      <c r="BR27" s="1831"/>
      <c r="BS27" s="1831"/>
      <c r="BT27" s="1832"/>
      <c r="BU27" s="71"/>
      <c r="BV27" s="71"/>
      <c r="BW27" s="71"/>
      <c r="BX27" s="71"/>
      <c r="BY27" s="71"/>
      <c r="BZ27" s="71"/>
      <c r="CA27" s="71"/>
      <c r="CB27" s="71"/>
      <c r="CC27" s="71"/>
    </row>
    <row r="28" spans="1:81" ht="15" customHeight="1" x14ac:dyDescent="0.2">
      <c r="A28" s="71"/>
      <c r="B28" s="1830"/>
      <c r="C28" s="1831"/>
      <c r="D28" s="1831"/>
      <c r="E28" s="1831"/>
      <c r="F28" s="1831"/>
      <c r="G28" s="1831"/>
      <c r="H28" s="1831"/>
      <c r="I28" s="1831"/>
      <c r="J28" s="1831"/>
      <c r="K28" s="1831"/>
      <c r="L28" s="1831"/>
      <c r="M28" s="1831"/>
      <c r="N28" s="1831"/>
      <c r="O28" s="1831"/>
      <c r="P28" s="1831"/>
      <c r="Q28" s="1831"/>
      <c r="R28" s="1831"/>
      <c r="S28" s="1831"/>
      <c r="T28" s="1831"/>
      <c r="U28" s="1831"/>
      <c r="V28" s="1831"/>
      <c r="W28" s="1831"/>
      <c r="X28" s="1831"/>
      <c r="Y28" s="1831"/>
      <c r="Z28" s="1831"/>
      <c r="AA28" s="1831"/>
      <c r="AB28" s="1831"/>
      <c r="AC28" s="1831"/>
      <c r="AD28" s="1831"/>
      <c r="AE28" s="1831"/>
      <c r="AF28" s="1831"/>
      <c r="AG28" s="1831"/>
      <c r="AH28" s="1831"/>
      <c r="AI28" s="1831"/>
      <c r="AJ28" s="1831"/>
      <c r="AK28" s="1831"/>
      <c r="AL28" s="1831"/>
      <c r="AM28" s="1831"/>
      <c r="AN28" s="1831"/>
      <c r="AO28" s="1831"/>
      <c r="AP28" s="1831"/>
      <c r="AQ28" s="1831"/>
      <c r="AR28" s="1831"/>
      <c r="AS28" s="1831"/>
      <c r="AT28" s="1831"/>
      <c r="AU28" s="1831"/>
      <c r="AV28" s="1831"/>
      <c r="AW28" s="1831"/>
      <c r="AX28" s="1831"/>
      <c r="AY28" s="1831"/>
      <c r="AZ28" s="1831"/>
      <c r="BA28" s="1831"/>
      <c r="BB28" s="1831"/>
      <c r="BC28" s="1831"/>
      <c r="BD28" s="1831"/>
      <c r="BE28" s="1831"/>
      <c r="BF28" s="1831"/>
      <c r="BG28" s="1831"/>
      <c r="BH28" s="1831"/>
      <c r="BI28" s="1831"/>
      <c r="BJ28" s="1831"/>
      <c r="BK28" s="1831"/>
      <c r="BL28" s="1831"/>
      <c r="BM28" s="1831"/>
      <c r="BN28" s="1831"/>
      <c r="BO28" s="1831"/>
      <c r="BP28" s="1831"/>
      <c r="BQ28" s="1831"/>
      <c r="BR28" s="1831"/>
      <c r="BS28" s="1831"/>
      <c r="BT28" s="1832"/>
      <c r="BU28" s="71"/>
      <c r="BV28" s="71"/>
      <c r="BW28" s="71"/>
      <c r="BX28" s="71"/>
      <c r="BY28" s="71"/>
      <c r="BZ28" s="71"/>
      <c r="CA28" s="71"/>
      <c r="CB28" s="71"/>
      <c r="CC28" s="71"/>
    </row>
    <row r="29" spans="1:81" ht="15" customHeight="1" thickBot="1" x14ac:dyDescent="0.25">
      <c r="A29" s="71"/>
      <c r="B29" s="1833"/>
      <c r="C29" s="1834"/>
      <c r="D29" s="1834"/>
      <c r="E29" s="1834"/>
      <c r="F29" s="1834"/>
      <c r="G29" s="1834"/>
      <c r="H29" s="1834"/>
      <c r="I29" s="1834"/>
      <c r="J29" s="1834"/>
      <c r="K29" s="1834"/>
      <c r="L29" s="1834"/>
      <c r="M29" s="1834"/>
      <c r="N29" s="1834"/>
      <c r="O29" s="1834"/>
      <c r="P29" s="1834"/>
      <c r="Q29" s="1834"/>
      <c r="R29" s="1834"/>
      <c r="S29" s="1834"/>
      <c r="T29" s="1834"/>
      <c r="U29" s="1834"/>
      <c r="V29" s="1834"/>
      <c r="W29" s="1834"/>
      <c r="X29" s="1834"/>
      <c r="Y29" s="1834"/>
      <c r="Z29" s="1834"/>
      <c r="AA29" s="1834"/>
      <c r="AB29" s="1834"/>
      <c r="AC29" s="1834"/>
      <c r="AD29" s="1834"/>
      <c r="AE29" s="1834"/>
      <c r="AF29" s="1834"/>
      <c r="AG29" s="1834"/>
      <c r="AH29" s="1834"/>
      <c r="AI29" s="1834"/>
      <c r="AJ29" s="1834"/>
      <c r="AK29" s="1834"/>
      <c r="AL29" s="1834"/>
      <c r="AM29" s="1834"/>
      <c r="AN29" s="1834"/>
      <c r="AO29" s="1834"/>
      <c r="AP29" s="1834"/>
      <c r="AQ29" s="1834"/>
      <c r="AR29" s="1834"/>
      <c r="AS29" s="1834"/>
      <c r="AT29" s="1834"/>
      <c r="AU29" s="1834"/>
      <c r="AV29" s="1834"/>
      <c r="AW29" s="1834"/>
      <c r="AX29" s="1834"/>
      <c r="AY29" s="1834"/>
      <c r="AZ29" s="1834"/>
      <c r="BA29" s="1834"/>
      <c r="BB29" s="1834"/>
      <c r="BC29" s="1834"/>
      <c r="BD29" s="1834"/>
      <c r="BE29" s="1834"/>
      <c r="BF29" s="1834"/>
      <c r="BG29" s="1834"/>
      <c r="BH29" s="1834"/>
      <c r="BI29" s="1834"/>
      <c r="BJ29" s="1834"/>
      <c r="BK29" s="1834"/>
      <c r="BL29" s="1834"/>
      <c r="BM29" s="1834"/>
      <c r="BN29" s="1834"/>
      <c r="BO29" s="1834"/>
      <c r="BP29" s="1834"/>
      <c r="BQ29" s="1834"/>
      <c r="BR29" s="1834"/>
      <c r="BS29" s="1834"/>
      <c r="BT29" s="1835"/>
      <c r="BU29" s="71"/>
      <c r="BV29" s="71"/>
      <c r="BW29" s="71"/>
      <c r="BX29" s="71"/>
      <c r="BY29" s="71"/>
      <c r="BZ29" s="71"/>
      <c r="CA29" s="71"/>
      <c r="CB29" s="71"/>
      <c r="CC29" s="71"/>
    </row>
    <row r="30" spans="1:81" ht="15" customHeight="1" x14ac:dyDescent="0.2">
      <c r="A30" s="71"/>
      <c r="B30" s="456"/>
      <c r="C30" s="526"/>
      <c r="D30" s="526"/>
      <c r="E30" s="526"/>
      <c r="F30" s="526"/>
      <c r="G30" s="526"/>
      <c r="H30" s="526"/>
      <c r="I30" s="526"/>
      <c r="J30" s="526"/>
      <c r="K30" s="526"/>
      <c r="L30" s="526"/>
      <c r="M30" s="526"/>
      <c r="N30" s="526"/>
      <c r="O30" s="526"/>
      <c r="P30" s="526"/>
      <c r="Q30" s="526"/>
      <c r="R30" s="526"/>
      <c r="S30" s="526"/>
      <c r="T30" s="526"/>
      <c r="U30" s="526"/>
      <c r="V30" s="526"/>
      <c r="W30" s="526"/>
      <c r="X30" s="526"/>
      <c r="Y30" s="526"/>
      <c r="Z30" s="526"/>
      <c r="AA30" s="526"/>
      <c r="AB30" s="526"/>
      <c r="AC30" s="526"/>
      <c r="AD30" s="526"/>
      <c r="AE30" s="526"/>
      <c r="AF30" s="526"/>
      <c r="AG30" s="526"/>
      <c r="AH30" s="526"/>
      <c r="AI30" s="526"/>
      <c r="AJ30" s="526"/>
      <c r="AK30" s="526"/>
      <c r="AL30" s="526"/>
      <c r="AM30" s="526"/>
      <c r="AN30" s="526"/>
      <c r="AO30" s="526"/>
      <c r="AP30" s="526"/>
      <c r="AQ30" s="526"/>
      <c r="AR30" s="526"/>
      <c r="AS30" s="526"/>
      <c r="AT30" s="526"/>
      <c r="AU30" s="526"/>
      <c r="AV30" s="526"/>
      <c r="AW30" s="526"/>
      <c r="AX30" s="526"/>
      <c r="AY30" s="526"/>
      <c r="AZ30" s="526"/>
      <c r="BA30" s="526"/>
      <c r="BB30" s="526"/>
      <c r="BC30" s="526"/>
      <c r="BD30" s="443"/>
      <c r="BE30" s="443"/>
      <c r="BF30" s="443"/>
      <c r="BG30" s="443"/>
      <c r="BH30" s="443"/>
      <c r="BI30" s="443"/>
      <c r="BJ30" s="443"/>
      <c r="BK30" s="443"/>
      <c r="BL30" s="443"/>
      <c r="BM30" s="443"/>
      <c r="BN30" s="443"/>
      <c r="BO30" s="443"/>
      <c r="BP30" s="443"/>
      <c r="BQ30" s="443"/>
      <c r="BR30" s="443"/>
      <c r="BS30" s="443"/>
      <c r="BT30" s="527"/>
      <c r="BU30" s="71"/>
      <c r="BV30" s="71"/>
      <c r="BW30" s="71"/>
      <c r="BX30" s="71"/>
      <c r="BY30" s="71"/>
      <c r="BZ30" s="71"/>
      <c r="CA30" s="71"/>
      <c r="CB30" s="71"/>
      <c r="CC30" s="71"/>
    </row>
    <row r="31" spans="1:81" ht="15" customHeight="1" x14ac:dyDescent="0.2">
      <c r="A31" s="71"/>
      <c r="B31" s="453"/>
      <c r="C31" s="443"/>
      <c r="D31" s="457" t="s">
        <v>917</v>
      </c>
      <c r="E31" s="443"/>
      <c r="F31" s="443"/>
      <c r="G31" s="443"/>
      <c r="H31" s="443"/>
      <c r="I31" s="443"/>
      <c r="J31" s="443"/>
      <c r="K31" s="443"/>
      <c r="L31" s="443"/>
      <c r="M31" s="443"/>
      <c r="N31" s="443"/>
      <c r="O31" s="443"/>
      <c r="P31" s="443"/>
      <c r="Q31" s="443"/>
      <c r="R31" s="443"/>
      <c r="S31" s="443"/>
      <c r="T31" s="443"/>
      <c r="U31" s="443"/>
      <c r="V31" s="443"/>
      <c r="W31" s="443"/>
      <c r="X31" s="443"/>
      <c r="Y31" s="443"/>
      <c r="Z31" s="443"/>
      <c r="AA31" s="457" t="s">
        <v>917</v>
      </c>
      <c r="AB31" s="443"/>
      <c r="AC31" s="443"/>
      <c r="AD31" s="443"/>
      <c r="AE31" s="443"/>
      <c r="AF31" s="443"/>
      <c r="AG31" s="443"/>
      <c r="AH31" s="443"/>
      <c r="AI31" s="443"/>
      <c r="AJ31" s="443"/>
      <c r="AK31" s="443"/>
      <c r="AL31" s="526"/>
      <c r="AM31" s="526"/>
      <c r="AN31" s="526"/>
      <c r="AO31" s="526"/>
      <c r="AP31" s="526"/>
      <c r="AQ31" s="443"/>
      <c r="AR31" s="443"/>
      <c r="AS31" s="443"/>
      <c r="AT31" s="443"/>
      <c r="AU31" s="443"/>
      <c r="AV31" s="443"/>
      <c r="AW31" s="443"/>
      <c r="AX31" s="457" t="s">
        <v>917</v>
      </c>
      <c r="AY31" s="443"/>
      <c r="AZ31" s="443"/>
      <c r="BA31" s="443"/>
      <c r="BB31" s="443"/>
      <c r="BC31" s="457"/>
      <c r="BD31" s="443"/>
      <c r="BE31" s="443"/>
      <c r="BF31" s="443"/>
      <c r="BG31" s="443"/>
      <c r="BH31" s="443"/>
      <c r="BI31" s="443"/>
      <c r="BJ31" s="443"/>
      <c r="BK31" s="443"/>
      <c r="BL31" s="443"/>
      <c r="BM31" s="443"/>
      <c r="BN31" s="443"/>
      <c r="BO31" s="443"/>
      <c r="BP31" s="443"/>
      <c r="BQ31" s="443"/>
      <c r="BR31" s="443"/>
      <c r="BS31" s="443"/>
      <c r="BT31" s="447"/>
      <c r="BU31" s="71"/>
      <c r="BV31" s="71"/>
      <c r="BW31" s="71"/>
      <c r="BX31" s="71"/>
      <c r="BY31" s="71"/>
      <c r="BZ31" s="71"/>
      <c r="CA31" s="71"/>
      <c r="CB31" s="71"/>
      <c r="CC31" s="71"/>
    </row>
    <row r="32" spans="1:81" ht="15" customHeight="1" x14ac:dyDescent="0.2">
      <c r="A32" s="71"/>
      <c r="B32" s="453"/>
      <c r="C32" s="443"/>
      <c r="D32" s="458"/>
      <c r="E32" s="459"/>
      <c r="F32" s="459"/>
      <c r="G32" s="459"/>
      <c r="H32" s="459"/>
      <c r="I32" s="459"/>
      <c r="J32" s="459"/>
      <c r="K32" s="459"/>
      <c r="L32" s="459"/>
      <c r="M32" s="459"/>
      <c r="N32" s="459"/>
      <c r="O32" s="459"/>
      <c r="P32" s="459"/>
      <c r="Q32" s="459"/>
      <c r="R32" s="459"/>
      <c r="S32" s="459"/>
      <c r="T32" s="460"/>
      <c r="U32" s="460"/>
      <c r="V32" s="460"/>
      <c r="W32" s="461"/>
      <c r="X32" s="443"/>
      <c r="Y32" s="443"/>
      <c r="Z32" s="443"/>
      <c r="AA32" s="458"/>
      <c r="AB32" s="459"/>
      <c r="AC32" s="459"/>
      <c r="AD32" s="459"/>
      <c r="AE32" s="459"/>
      <c r="AF32" s="459"/>
      <c r="AG32" s="459"/>
      <c r="AH32" s="459"/>
      <c r="AI32" s="459"/>
      <c r="AJ32" s="459"/>
      <c r="AK32" s="459"/>
      <c r="AL32" s="459"/>
      <c r="AM32" s="459"/>
      <c r="AN32" s="459"/>
      <c r="AO32" s="459"/>
      <c r="AP32" s="459"/>
      <c r="AQ32" s="460"/>
      <c r="AR32" s="460"/>
      <c r="AS32" s="460"/>
      <c r="AT32" s="461"/>
      <c r="AU32" s="443"/>
      <c r="AV32" s="443"/>
      <c r="AW32" s="443"/>
      <c r="AX32" s="458"/>
      <c r="AY32" s="459"/>
      <c r="AZ32" s="459"/>
      <c r="BA32" s="459"/>
      <c r="BB32" s="459"/>
      <c r="BC32" s="459"/>
      <c r="BD32" s="459"/>
      <c r="BE32" s="459"/>
      <c r="BF32" s="459"/>
      <c r="BG32" s="459"/>
      <c r="BH32" s="459"/>
      <c r="BI32" s="459"/>
      <c r="BJ32" s="459"/>
      <c r="BK32" s="459"/>
      <c r="BL32" s="459"/>
      <c r="BM32" s="459"/>
      <c r="BN32" s="460"/>
      <c r="BO32" s="460"/>
      <c r="BP32" s="460"/>
      <c r="BQ32" s="461"/>
      <c r="BR32" s="443"/>
      <c r="BS32" s="443"/>
      <c r="BT32" s="447"/>
      <c r="BU32" s="71"/>
      <c r="BV32" s="71"/>
      <c r="BW32" s="71"/>
      <c r="BX32" s="71"/>
      <c r="BY32" s="71"/>
      <c r="BZ32" s="71"/>
      <c r="CA32" s="71"/>
      <c r="CB32" s="71"/>
      <c r="CC32" s="71"/>
    </row>
    <row r="33" spans="1:81" ht="15" customHeight="1" x14ac:dyDescent="0.2">
      <c r="A33" s="71"/>
      <c r="B33" s="453"/>
      <c r="C33" s="443"/>
      <c r="D33" s="462"/>
      <c r="E33" s="463"/>
      <c r="F33" s="463"/>
      <c r="G33" s="463"/>
      <c r="H33" s="463"/>
      <c r="I33" s="463"/>
      <c r="J33" s="463"/>
      <c r="K33" s="463"/>
      <c r="L33" s="463"/>
      <c r="M33" s="463"/>
      <c r="N33" s="463"/>
      <c r="O33" s="463"/>
      <c r="P33" s="463"/>
      <c r="Q33" s="463"/>
      <c r="R33" s="463"/>
      <c r="S33" s="463"/>
      <c r="T33" s="443"/>
      <c r="U33" s="443"/>
      <c r="V33" s="443"/>
      <c r="W33" s="464"/>
      <c r="X33" s="443"/>
      <c r="Y33" s="443"/>
      <c r="Z33" s="443"/>
      <c r="AA33" s="462"/>
      <c r="AB33" s="463"/>
      <c r="AC33" s="463"/>
      <c r="AD33" s="463"/>
      <c r="AE33" s="463"/>
      <c r="AF33" s="463"/>
      <c r="AG33" s="463"/>
      <c r="AH33" s="463"/>
      <c r="AI33" s="463"/>
      <c r="AJ33" s="463"/>
      <c r="AK33" s="463"/>
      <c r="AL33" s="463"/>
      <c r="AM33" s="463"/>
      <c r="AN33" s="463"/>
      <c r="AO33" s="463"/>
      <c r="AP33" s="463"/>
      <c r="AQ33" s="443"/>
      <c r="AR33" s="443"/>
      <c r="AS33" s="443"/>
      <c r="AT33" s="464"/>
      <c r="AU33" s="443"/>
      <c r="AV33" s="443"/>
      <c r="AW33" s="443"/>
      <c r="AX33" s="462"/>
      <c r="AY33" s="463"/>
      <c r="AZ33" s="463"/>
      <c r="BA33" s="463"/>
      <c r="BB33" s="463"/>
      <c r="BC33" s="463"/>
      <c r="BD33" s="463"/>
      <c r="BE33" s="463"/>
      <c r="BF33" s="463"/>
      <c r="BG33" s="463"/>
      <c r="BH33" s="463"/>
      <c r="BI33" s="463"/>
      <c r="BJ33" s="463"/>
      <c r="BK33" s="463"/>
      <c r="BL33" s="463"/>
      <c r="BM33" s="463"/>
      <c r="BN33" s="443"/>
      <c r="BO33" s="443"/>
      <c r="BP33" s="443"/>
      <c r="BQ33" s="464"/>
      <c r="BR33" s="443"/>
      <c r="BS33" s="443"/>
      <c r="BT33" s="447"/>
      <c r="BU33" s="71"/>
      <c r="BV33" s="71"/>
      <c r="BW33" s="71"/>
      <c r="BX33" s="71"/>
      <c r="BY33" s="71"/>
      <c r="BZ33" s="71"/>
      <c r="CA33" s="71"/>
      <c r="CB33" s="71"/>
      <c r="CC33" s="71"/>
    </row>
    <row r="34" spans="1:81" ht="15" customHeight="1" x14ac:dyDescent="0.2">
      <c r="A34" s="71"/>
      <c r="B34" s="453"/>
      <c r="C34" s="443"/>
      <c r="D34" s="462"/>
      <c r="E34" s="463"/>
      <c r="F34" s="463"/>
      <c r="G34" s="463"/>
      <c r="H34" s="463"/>
      <c r="I34" s="463"/>
      <c r="J34" s="463"/>
      <c r="K34" s="463"/>
      <c r="L34" s="463"/>
      <c r="M34" s="463"/>
      <c r="N34" s="463"/>
      <c r="O34" s="463"/>
      <c r="P34" s="463"/>
      <c r="Q34" s="463"/>
      <c r="R34" s="463"/>
      <c r="S34" s="463"/>
      <c r="T34" s="443"/>
      <c r="U34" s="443"/>
      <c r="V34" s="443"/>
      <c r="W34" s="464"/>
      <c r="X34" s="443"/>
      <c r="Y34" s="443"/>
      <c r="Z34" s="443"/>
      <c r="AA34" s="462"/>
      <c r="AB34" s="463"/>
      <c r="AC34" s="463"/>
      <c r="AD34" s="463"/>
      <c r="AE34" s="463"/>
      <c r="AF34" s="463"/>
      <c r="AG34" s="463"/>
      <c r="AH34" s="463"/>
      <c r="AI34" s="463"/>
      <c r="AJ34" s="463"/>
      <c r="AK34" s="463"/>
      <c r="AL34" s="463"/>
      <c r="AM34" s="463"/>
      <c r="AN34" s="463"/>
      <c r="AO34" s="463"/>
      <c r="AP34" s="463"/>
      <c r="AQ34" s="443"/>
      <c r="AR34" s="443"/>
      <c r="AS34" s="443"/>
      <c r="AT34" s="464"/>
      <c r="AU34" s="443"/>
      <c r="AV34" s="443"/>
      <c r="AW34" s="443"/>
      <c r="AX34" s="462"/>
      <c r="AY34" s="463"/>
      <c r="AZ34" s="463"/>
      <c r="BA34" s="463"/>
      <c r="BB34" s="463"/>
      <c r="BC34" s="463"/>
      <c r="BD34" s="463"/>
      <c r="BE34" s="463"/>
      <c r="BF34" s="463"/>
      <c r="BG34" s="463"/>
      <c r="BH34" s="463"/>
      <c r="BI34" s="463"/>
      <c r="BJ34" s="463"/>
      <c r="BK34" s="463"/>
      <c r="BL34" s="463"/>
      <c r="BM34" s="463"/>
      <c r="BN34" s="443"/>
      <c r="BO34" s="443"/>
      <c r="BP34" s="443"/>
      <c r="BQ34" s="464"/>
      <c r="BR34" s="443"/>
      <c r="BS34" s="443"/>
      <c r="BT34" s="447"/>
      <c r="BU34" s="71"/>
      <c r="BV34" s="71"/>
      <c r="BW34" s="71"/>
      <c r="BX34" s="71"/>
      <c r="BY34" s="71"/>
      <c r="BZ34" s="71"/>
      <c r="CA34" s="71"/>
      <c r="CB34" s="71"/>
      <c r="CC34" s="71"/>
    </row>
    <row r="35" spans="1:81" ht="15" customHeight="1" x14ac:dyDescent="0.2">
      <c r="A35" s="71"/>
      <c r="B35" s="453"/>
      <c r="C35" s="443"/>
      <c r="D35" s="462"/>
      <c r="E35" s="463"/>
      <c r="F35" s="463"/>
      <c r="G35" s="463"/>
      <c r="H35" s="463"/>
      <c r="I35" s="463"/>
      <c r="J35" s="463"/>
      <c r="K35" s="463"/>
      <c r="L35" s="463"/>
      <c r="M35" s="463"/>
      <c r="N35" s="463"/>
      <c r="O35" s="463"/>
      <c r="P35" s="463"/>
      <c r="Q35" s="463"/>
      <c r="R35" s="463"/>
      <c r="S35" s="463"/>
      <c r="T35" s="443"/>
      <c r="U35" s="443"/>
      <c r="V35" s="443"/>
      <c r="W35" s="464"/>
      <c r="X35" s="443"/>
      <c r="Y35" s="443"/>
      <c r="Z35" s="443"/>
      <c r="AA35" s="462"/>
      <c r="AB35" s="463"/>
      <c r="AC35" s="463"/>
      <c r="AD35" s="463"/>
      <c r="AE35" s="463"/>
      <c r="AF35" s="463"/>
      <c r="AG35" s="463"/>
      <c r="AH35" s="463"/>
      <c r="AI35" s="463"/>
      <c r="AJ35" s="463"/>
      <c r="AK35" s="463"/>
      <c r="AL35" s="463"/>
      <c r="AM35" s="463"/>
      <c r="AN35" s="463"/>
      <c r="AO35" s="463"/>
      <c r="AP35" s="463"/>
      <c r="AQ35" s="443"/>
      <c r="AR35" s="443"/>
      <c r="AS35" s="443"/>
      <c r="AT35" s="464"/>
      <c r="AU35" s="443"/>
      <c r="AV35" s="443"/>
      <c r="AW35" s="443"/>
      <c r="AX35" s="462"/>
      <c r="AY35" s="463"/>
      <c r="AZ35" s="463"/>
      <c r="BA35" s="463"/>
      <c r="BB35" s="463"/>
      <c r="BC35" s="463"/>
      <c r="BD35" s="463"/>
      <c r="BE35" s="463"/>
      <c r="BF35" s="463"/>
      <c r="BG35" s="463"/>
      <c r="BH35" s="463"/>
      <c r="BI35" s="463"/>
      <c r="BJ35" s="463"/>
      <c r="BK35" s="463"/>
      <c r="BL35" s="463"/>
      <c r="BM35" s="463"/>
      <c r="BN35" s="443"/>
      <c r="BO35" s="443"/>
      <c r="BP35" s="443"/>
      <c r="BQ35" s="464"/>
      <c r="BR35" s="443"/>
      <c r="BS35" s="443"/>
      <c r="BT35" s="447"/>
      <c r="BU35" s="71"/>
      <c r="BV35" s="71"/>
      <c r="BW35" s="71"/>
      <c r="BX35" s="71"/>
      <c r="BY35" s="71"/>
      <c r="BZ35" s="71"/>
      <c r="CA35" s="71"/>
      <c r="CB35" s="71"/>
      <c r="CC35" s="71"/>
    </row>
    <row r="36" spans="1:81" ht="15" customHeight="1" x14ac:dyDescent="0.2">
      <c r="A36" s="71"/>
      <c r="B36" s="453"/>
      <c r="C36" s="443"/>
      <c r="D36" s="462"/>
      <c r="E36" s="463"/>
      <c r="F36" s="463"/>
      <c r="G36" s="463"/>
      <c r="H36" s="463"/>
      <c r="I36" s="463"/>
      <c r="J36" s="463"/>
      <c r="K36" s="463"/>
      <c r="L36" s="463"/>
      <c r="M36" s="463"/>
      <c r="N36" s="463"/>
      <c r="O36" s="463"/>
      <c r="P36" s="463"/>
      <c r="Q36" s="463"/>
      <c r="R36" s="463"/>
      <c r="S36" s="463"/>
      <c r="T36" s="443"/>
      <c r="U36" s="443"/>
      <c r="V36" s="443"/>
      <c r="W36" s="464"/>
      <c r="X36" s="443"/>
      <c r="Y36" s="443"/>
      <c r="Z36" s="443"/>
      <c r="AA36" s="462"/>
      <c r="AB36" s="463"/>
      <c r="AC36" s="463"/>
      <c r="AD36" s="463"/>
      <c r="AE36" s="463"/>
      <c r="AF36" s="463"/>
      <c r="AG36" s="463"/>
      <c r="AH36" s="463"/>
      <c r="AI36" s="463"/>
      <c r="AJ36" s="463"/>
      <c r="AK36" s="463"/>
      <c r="AL36" s="463"/>
      <c r="AM36" s="463"/>
      <c r="AN36" s="463"/>
      <c r="AO36" s="463"/>
      <c r="AP36" s="463"/>
      <c r="AQ36" s="443"/>
      <c r="AR36" s="443"/>
      <c r="AS36" s="443"/>
      <c r="AT36" s="464"/>
      <c r="AU36" s="443"/>
      <c r="AV36" s="443"/>
      <c r="AW36" s="443"/>
      <c r="AX36" s="462"/>
      <c r="AY36" s="463"/>
      <c r="AZ36" s="463"/>
      <c r="BA36" s="463"/>
      <c r="BB36" s="463"/>
      <c r="BC36" s="463"/>
      <c r="BD36" s="463"/>
      <c r="BE36" s="463"/>
      <c r="BF36" s="463"/>
      <c r="BG36" s="463"/>
      <c r="BH36" s="463"/>
      <c r="BI36" s="463"/>
      <c r="BJ36" s="463"/>
      <c r="BK36" s="463"/>
      <c r="BL36" s="463"/>
      <c r="BM36" s="463"/>
      <c r="BN36" s="443"/>
      <c r="BO36" s="443"/>
      <c r="BP36" s="443"/>
      <c r="BQ36" s="464"/>
      <c r="BR36" s="443"/>
      <c r="BS36" s="443"/>
      <c r="BT36" s="447"/>
      <c r="BU36" s="71"/>
      <c r="BV36" s="71"/>
      <c r="BW36" s="71"/>
      <c r="BX36" s="71"/>
      <c r="BY36" s="71"/>
      <c r="BZ36" s="71"/>
      <c r="CA36" s="71"/>
      <c r="CB36" s="71"/>
      <c r="CC36" s="71"/>
    </row>
    <row r="37" spans="1:81" ht="15" customHeight="1" x14ac:dyDescent="0.2">
      <c r="A37" s="71"/>
      <c r="B37" s="453"/>
      <c r="C37" s="443"/>
      <c r="D37" s="462"/>
      <c r="E37" s="463"/>
      <c r="F37" s="463"/>
      <c r="G37" s="463"/>
      <c r="H37" s="463"/>
      <c r="I37" s="463"/>
      <c r="J37" s="463"/>
      <c r="K37" s="463"/>
      <c r="L37" s="463"/>
      <c r="M37" s="463"/>
      <c r="N37" s="463"/>
      <c r="O37" s="463"/>
      <c r="P37" s="463"/>
      <c r="Q37" s="463"/>
      <c r="R37" s="463"/>
      <c r="S37" s="463"/>
      <c r="T37" s="443"/>
      <c r="U37" s="443"/>
      <c r="V37" s="443"/>
      <c r="W37" s="464"/>
      <c r="X37" s="443"/>
      <c r="Y37" s="443"/>
      <c r="Z37" s="443"/>
      <c r="AA37" s="462"/>
      <c r="AB37" s="463"/>
      <c r="AC37" s="463"/>
      <c r="AD37" s="463"/>
      <c r="AE37" s="463"/>
      <c r="AF37" s="463"/>
      <c r="AG37" s="463"/>
      <c r="AH37" s="463"/>
      <c r="AI37" s="463"/>
      <c r="AJ37" s="463"/>
      <c r="AK37" s="463"/>
      <c r="AL37" s="463"/>
      <c r="AM37" s="463"/>
      <c r="AN37" s="463"/>
      <c r="AO37" s="463"/>
      <c r="AP37" s="463"/>
      <c r="AQ37" s="443"/>
      <c r="AR37" s="443"/>
      <c r="AS37" s="443"/>
      <c r="AT37" s="464"/>
      <c r="AU37" s="443"/>
      <c r="AV37" s="443"/>
      <c r="AW37" s="443"/>
      <c r="AX37" s="462"/>
      <c r="AY37" s="463"/>
      <c r="AZ37" s="463"/>
      <c r="BA37" s="463"/>
      <c r="BB37" s="463"/>
      <c r="BC37" s="463"/>
      <c r="BD37" s="463"/>
      <c r="BE37" s="463"/>
      <c r="BF37" s="463"/>
      <c r="BG37" s="463"/>
      <c r="BH37" s="463"/>
      <c r="BI37" s="463"/>
      <c r="BJ37" s="463"/>
      <c r="BK37" s="463"/>
      <c r="BL37" s="463"/>
      <c r="BM37" s="463"/>
      <c r="BN37" s="443"/>
      <c r="BO37" s="443"/>
      <c r="BP37" s="443"/>
      <c r="BQ37" s="464"/>
      <c r="BR37" s="443"/>
      <c r="BS37" s="443"/>
      <c r="BT37" s="447"/>
      <c r="BU37" s="71"/>
      <c r="BV37" s="71"/>
      <c r="BW37" s="71"/>
      <c r="BX37" s="71"/>
      <c r="BY37" s="71"/>
      <c r="BZ37" s="71"/>
      <c r="CA37" s="71"/>
      <c r="CB37" s="71"/>
      <c r="CC37" s="71"/>
    </row>
    <row r="38" spans="1:81" ht="15" customHeight="1" x14ac:dyDescent="0.2">
      <c r="A38" s="71"/>
      <c r="B38" s="453"/>
      <c r="C38" s="443"/>
      <c r="D38" s="462"/>
      <c r="E38" s="463"/>
      <c r="F38" s="463"/>
      <c r="G38" s="463"/>
      <c r="H38" s="463"/>
      <c r="I38" s="463"/>
      <c r="J38" s="463"/>
      <c r="K38" s="463"/>
      <c r="L38" s="463"/>
      <c r="M38" s="463"/>
      <c r="N38" s="463"/>
      <c r="O38" s="463"/>
      <c r="P38" s="463"/>
      <c r="Q38" s="463"/>
      <c r="R38" s="463"/>
      <c r="S38" s="463"/>
      <c r="T38" s="443"/>
      <c r="U38" s="443"/>
      <c r="V38" s="443"/>
      <c r="W38" s="464"/>
      <c r="X38" s="443"/>
      <c r="Y38" s="443"/>
      <c r="Z38" s="443"/>
      <c r="AA38" s="462"/>
      <c r="AB38" s="463"/>
      <c r="AC38" s="463"/>
      <c r="AD38" s="463"/>
      <c r="AE38" s="463"/>
      <c r="AF38" s="463"/>
      <c r="AG38" s="463"/>
      <c r="AH38" s="463"/>
      <c r="AI38" s="463"/>
      <c r="AJ38" s="463"/>
      <c r="AK38" s="463"/>
      <c r="AL38" s="463"/>
      <c r="AM38" s="463"/>
      <c r="AN38" s="463"/>
      <c r="AO38" s="463"/>
      <c r="AP38" s="463"/>
      <c r="AQ38" s="443"/>
      <c r="AR38" s="443"/>
      <c r="AS38" s="443"/>
      <c r="AT38" s="464"/>
      <c r="AU38" s="443"/>
      <c r="AV38" s="443"/>
      <c r="AW38" s="443"/>
      <c r="AX38" s="462"/>
      <c r="AY38" s="463"/>
      <c r="AZ38" s="463"/>
      <c r="BA38" s="463"/>
      <c r="BB38" s="463"/>
      <c r="BC38" s="463"/>
      <c r="BD38" s="463"/>
      <c r="BE38" s="463"/>
      <c r="BF38" s="463"/>
      <c r="BG38" s="463"/>
      <c r="BH38" s="463"/>
      <c r="BI38" s="463"/>
      <c r="BJ38" s="463"/>
      <c r="BK38" s="463"/>
      <c r="BL38" s="463"/>
      <c r="BM38" s="463"/>
      <c r="BN38" s="443"/>
      <c r="BO38" s="443"/>
      <c r="BP38" s="443"/>
      <c r="BQ38" s="464"/>
      <c r="BR38" s="443"/>
      <c r="BS38" s="443"/>
      <c r="BT38" s="447"/>
      <c r="BU38" s="71"/>
      <c r="BV38" s="71"/>
      <c r="BW38" s="71"/>
      <c r="BX38" s="71"/>
      <c r="BY38" s="71"/>
      <c r="BZ38" s="71"/>
      <c r="CA38" s="71"/>
      <c r="CB38" s="71"/>
      <c r="CC38" s="71"/>
    </row>
    <row r="39" spans="1:81" ht="15" customHeight="1" x14ac:dyDescent="0.2">
      <c r="A39" s="71"/>
      <c r="B39" s="453"/>
      <c r="C39" s="443"/>
      <c r="D39" s="462"/>
      <c r="E39" s="463"/>
      <c r="F39" s="463"/>
      <c r="G39" s="463"/>
      <c r="H39" s="463"/>
      <c r="I39" s="463"/>
      <c r="J39" s="463"/>
      <c r="K39" s="463"/>
      <c r="L39" s="463"/>
      <c r="M39" s="463"/>
      <c r="N39" s="463"/>
      <c r="O39" s="463"/>
      <c r="P39" s="463"/>
      <c r="Q39" s="463"/>
      <c r="R39" s="463"/>
      <c r="S39" s="463"/>
      <c r="T39" s="443"/>
      <c r="U39" s="443"/>
      <c r="V39" s="443"/>
      <c r="W39" s="464"/>
      <c r="X39" s="443"/>
      <c r="Y39" s="443"/>
      <c r="Z39" s="443"/>
      <c r="AA39" s="462"/>
      <c r="AB39" s="463"/>
      <c r="AC39" s="463"/>
      <c r="AD39" s="463"/>
      <c r="AE39" s="463"/>
      <c r="AF39" s="463"/>
      <c r="AG39" s="463"/>
      <c r="AH39" s="463"/>
      <c r="AI39" s="463"/>
      <c r="AJ39" s="463"/>
      <c r="AK39" s="463"/>
      <c r="AL39" s="463"/>
      <c r="AM39" s="463"/>
      <c r="AN39" s="463"/>
      <c r="AO39" s="463"/>
      <c r="AP39" s="463"/>
      <c r="AQ39" s="443"/>
      <c r="AR39" s="443"/>
      <c r="AS39" s="443"/>
      <c r="AT39" s="464"/>
      <c r="AU39" s="443"/>
      <c r="AV39" s="443"/>
      <c r="AW39" s="443"/>
      <c r="AX39" s="462"/>
      <c r="AY39" s="463"/>
      <c r="AZ39" s="463"/>
      <c r="BA39" s="463"/>
      <c r="BB39" s="463"/>
      <c r="BC39" s="463"/>
      <c r="BD39" s="463"/>
      <c r="BE39" s="463"/>
      <c r="BF39" s="463"/>
      <c r="BG39" s="463"/>
      <c r="BH39" s="463"/>
      <c r="BI39" s="463"/>
      <c r="BJ39" s="463"/>
      <c r="BK39" s="463"/>
      <c r="BL39" s="463"/>
      <c r="BM39" s="463"/>
      <c r="BN39" s="443"/>
      <c r="BO39" s="443"/>
      <c r="BP39" s="443"/>
      <c r="BQ39" s="464"/>
      <c r="BR39" s="443"/>
      <c r="BS39" s="443"/>
      <c r="BT39" s="447"/>
      <c r="BU39" s="71"/>
      <c r="BV39" s="71"/>
      <c r="BW39" s="71"/>
      <c r="BX39" s="71"/>
      <c r="BY39" s="71"/>
      <c r="BZ39" s="71"/>
      <c r="CA39" s="71"/>
      <c r="CB39" s="71"/>
      <c r="CC39" s="71"/>
    </row>
    <row r="40" spans="1:81" ht="15" customHeight="1" x14ac:dyDescent="0.2">
      <c r="A40" s="71"/>
      <c r="B40" s="453"/>
      <c r="C40" s="443"/>
      <c r="D40" s="462"/>
      <c r="E40" s="463"/>
      <c r="F40" s="463"/>
      <c r="G40" s="463"/>
      <c r="H40" s="463"/>
      <c r="I40" s="463"/>
      <c r="J40" s="463"/>
      <c r="K40" s="463"/>
      <c r="L40" s="463"/>
      <c r="M40" s="463"/>
      <c r="N40" s="463"/>
      <c r="O40" s="463"/>
      <c r="P40" s="463"/>
      <c r="Q40" s="463"/>
      <c r="R40" s="463"/>
      <c r="S40" s="463"/>
      <c r="T40" s="443"/>
      <c r="U40" s="443"/>
      <c r="V40" s="443"/>
      <c r="W40" s="464"/>
      <c r="X40" s="443"/>
      <c r="Y40" s="443"/>
      <c r="Z40" s="443"/>
      <c r="AA40" s="462"/>
      <c r="AB40" s="463"/>
      <c r="AC40" s="463"/>
      <c r="AD40" s="463"/>
      <c r="AE40" s="463"/>
      <c r="AF40" s="463"/>
      <c r="AG40" s="463"/>
      <c r="AH40" s="463"/>
      <c r="AI40" s="463"/>
      <c r="AJ40" s="463"/>
      <c r="AK40" s="463"/>
      <c r="AL40" s="463"/>
      <c r="AM40" s="463"/>
      <c r="AN40" s="463"/>
      <c r="AO40" s="463"/>
      <c r="AP40" s="463"/>
      <c r="AQ40" s="443"/>
      <c r="AR40" s="443"/>
      <c r="AS40" s="443"/>
      <c r="AT40" s="464"/>
      <c r="AU40" s="443"/>
      <c r="AV40" s="443"/>
      <c r="AW40" s="443"/>
      <c r="AX40" s="462"/>
      <c r="AY40" s="463"/>
      <c r="AZ40" s="463"/>
      <c r="BA40" s="463"/>
      <c r="BB40" s="463"/>
      <c r="BC40" s="463"/>
      <c r="BD40" s="463"/>
      <c r="BE40" s="463"/>
      <c r="BF40" s="463"/>
      <c r="BG40" s="463"/>
      <c r="BH40" s="463"/>
      <c r="BI40" s="463"/>
      <c r="BJ40" s="463"/>
      <c r="BK40" s="463"/>
      <c r="BL40" s="463"/>
      <c r="BM40" s="463"/>
      <c r="BN40" s="443"/>
      <c r="BO40" s="443"/>
      <c r="BP40" s="443"/>
      <c r="BQ40" s="464"/>
      <c r="BR40" s="443"/>
      <c r="BS40" s="443"/>
      <c r="BT40" s="447"/>
      <c r="BU40" s="71"/>
      <c r="BV40" s="71"/>
      <c r="BW40" s="71"/>
      <c r="BX40" s="71"/>
      <c r="BY40" s="71"/>
      <c r="BZ40" s="71"/>
      <c r="CA40" s="71"/>
      <c r="CB40" s="71"/>
      <c r="CC40" s="71"/>
    </row>
    <row r="41" spans="1:81" ht="15" customHeight="1" x14ac:dyDescent="0.2">
      <c r="A41" s="71"/>
      <c r="B41" s="453"/>
      <c r="C41" s="443"/>
      <c r="D41" s="462"/>
      <c r="E41" s="463"/>
      <c r="F41" s="463"/>
      <c r="G41" s="463"/>
      <c r="H41" s="463"/>
      <c r="I41" s="463"/>
      <c r="J41" s="463"/>
      <c r="K41" s="463"/>
      <c r="L41" s="463"/>
      <c r="M41" s="463"/>
      <c r="N41" s="463"/>
      <c r="O41" s="463"/>
      <c r="P41" s="463"/>
      <c r="Q41" s="463"/>
      <c r="R41" s="463"/>
      <c r="S41" s="463"/>
      <c r="T41" s="443"/>
      <c r="U41" s="443"/>
      <c r="V41" s="443"/>
      <c r="W41" s="464"/>
      <c r="X41" s="443"/>
      <c r="Y41" s="443"/>
      <c r="Z41" s="443"/>
      <c r="AA41" s="462"/>
      <c r="AB41" s="463"/>
      <c r="AC41" s="463"/>
      <c r="AD41" s="463"/>
      <c r="AE41" s="463"/>
      <c r="AF41" s="463"/>
      <c r="AG41" s="463"/>
      <c r="AH41" s="463"/>
      <c r="AI41" s="463"/>
      <c r="AJ41" s="463"/>
      <c r="AK41" s="463"/>
      <c r="AL41" s="463"/>
      <c r="AM41" s="463"/>
      <c r="AN41" s="463"/>
      <c r="AO41" s="463"/>
      <c r="AP41" s="463"/>
      <c r="AQ41" s="443"/>
      <c r="AR41" s="443"/>
      <c r="AS41" s="443"/>
      <c r="AT41" s="464"/>
      <c r="AU41" s="443"/>
      <c r="AV41" s="443"/>
      <c r="AW41" s="443"/>
      <c r="AX41" s="462"/>
      <c r="AY41" s="463"/>
      <c r="AZ41" s="463"/>
      <c r="BA41" s="463"/>
      <c r="BB41" s="463"/>
      <c r="BC41" s="463"/>
      <c r="BD41" s="463"/>
      <c r="BE41" s="463"/>
      <c r="BF41" s="463"/>
      <c r="BG41" s="463"/>
      <c r="BH41" s="463"/>
      <c r="BI41" s="463"/>
      <c r="BJ41" s="463"/>
      <c r="BK41" s="463"/>
      <c r="BL41" s="463"/>
      <c r="BM41" s="463"/>
      <c r="BN41" s="443"/>
      <c r="BO41" s="443"/>
      <c r="BP41" s="443"/>
      <c r="BQ41" s="464"/>
      <c r="BR41" s="443"/>
      <c r="BS41" s="443"/>
      <c r="BT41" s="447"/>
      <c r="BU41" s="71"/>
      <c r="BV41" s="71"/>
      <c r="BW41" s="71"/>
      <c r="BX41" s="71"/>
      <c r="BY41" s="71"/>
      <c r="BZ41" s="71"/>
      <c r="CA41" s="71"/>
      <c r="CB41" s="71"/>
      <c r="CC41" s="71"/>
    </row>
    <row r="42" spans="1:81" ht="15" customHeight="1" x14ac:dyDescent="0.2">
      <c r="A42" s="71"/>
      <c r="B42" s="453"/>
      <c r="C42" s="443"/>
      <c r="D42" s="462"/>
      <c r="E42" s="463"/>
      <c r="F42" s="463"/>
      <c r="G42" s="463"/>
      <c r="H42" s="463"/>
      <c r="I42" s="463"/>
      <c r="J42" s="463"/>
      <c r="K42" s="463"/>
      <c r="L42" s="463"/>
      <c r="M42" s="463"/>
      <c r="N42" s="463"/>
      <c r="O42" s="463"/>
      <c r="P42" s="463"/>
      <c r="Q42" s="463"/>
      <c r="R42" s="463"/>
      <c r="S42" s="463"/>
      <c r="T42" s="443"/>
      <c r="U42" s="443"/>
      <c r="V42" s="443"/>
      <c r="W42" s="464"/>
      <c r="X42" s="443"/>
      <c r="Y42" s="443"/>
      <c r="Z42" s="443"/>
      <c r="AA42" s="462"/>
      <c r="AB42" s="463"/>
      <c r="AC42" s="463"/>
      <c r="AD42" s="463"/>
      <c r="AE42" s="463"/>
      <c r="AF42" s="463"/>
      <c r="AG42" s="463"/>
      <c r="AH42" s="463"/>
      <c r="AI42" s="463"/>
      <c r="AJ42" s="463"/>
      <c r="AK42" s="463"/>
      <c r="AL42" s="463"/>
      <c r="AM42" s="463"/>
      <c r="AN42" s="463"/>
      <c r="AO42" s="463"/>
      <c r="AP42" s="463"/>
      <c r="AQ42" s="443"/>
      <c r="AR42" s="443"/>
      <c r="AS42" s="443"/>
      <c r="AT42" s="464"/>
      <c r="AU42" s="443"/>
      <c r="AV42" s="443"/>
      <c r="AW42" s="443"/>
      <c r="AX42" s="462"/>
      <c r="AY42" s="463"/>
      <c r="AZ42" s="463"/>
      <c r="BA42" s="463"/>
      <c r="BB42" s="463"/>
      <c r="BC42" s="463"/>
      <c r="BD42" s="463"/>
      <c r="BE42" s="463"/>
      <c r="BF42" s="463"/>
      <c r="BG42" s="463"/>
      <c r="BH42" s="463"/>
      <c r="BI42" s="463"/>
      <c r="BJ42" s="463"/>
      <c r="BK42" s="463"/>
      <c r="BL42" s="463"/>
      <c r="BM42" s="463"/>
      <c r="BN42" s="443"/>
      <c r="BO42" s="443"/>
      <c r="BP42" s="443"/>
      <c r="BQ42" s="464"/>
      <c r="BR42" s="443"/>
      <c r="BS42" s="443"/>
      <c r="BT42" s="447"/>
      <c r="BU42" s="71"/>
      <c r="BV42" s="71"/>
      <c r="BW42" s="71"/>
      <c r="BX42" s="71"/>
      <c r="BY42" s="71"/>
      <c r="BZ42" s="71"/>
      <c r="CA42" s="71"/>
      <c r="CB42" s="71"/>
      <c r="CC42" s="71"/>
    </row>
    <row r="43" spans="1:81" ht="15" customHeight="1" x14ac:dyDescent="0.2">
      <c r="A43" s="71"/>
      <c r="B43" s="453"/>
      <c r="C43" s="443"/>
      <c r="D43" s="465"/>
      <c r="E43" s="443"/>
      <c r="F43" s="443"/>
      <c r="G43" s="443"/>
      <c r="H43" s="443"/>
      <c r="I43" s="443"/>
      <c r="J43" s="443"/>
      <c r="K43" s="443"/>
      <c r="L43" s="443"/>
      <c r="M43" s="443"/>
      <c r="N43" s="443"/>
      <c r="O43" s="443"/>
      <c r="P43" s="443"/>
      <c r="Q43" s="443"/>
      <c r="R43" s="443"/>
      <c r="S43" s="443"/>
      <c r="T43" s="443"/>
      <c r="U43" s="443"/>
      <c r="V43" s="443"/>
      <c r="W43" s="464"/>
      <c r="X43" s="443"/>
      <c r="Y43" s="443"/>
      <c r="Z43" s="443"/>
      <c r="AA43" s="465"/>
      <c r="AB43" s="443"/>
      <c r="AC43" s="443"/>
      <c r="AD43" s="443"/>
      <c r="AE43" s="443"/>
      <c r="AF43" s="443"/>
      <c r="AG43" s="443"/>
      <c r="AH43" s="443"/>
      <c r="AI43" s="443"/>
      <c r="AJ43" s="443"/>
      <c r="AK43" s="443"/>
      <c r="AL43" s="443"/>
      <c r="AM43" s="443"/>
      <c r="AN43" s="443"/>
      <c r="AO43" s="443"/>
      <c r="AP43" s="443"/>
      <c r="AQ43" s="443"/>
      <c r="AR43" s="443"/>
      <c r="AS43" s="443"/>
      <c r="AT43" s="464"/>
      <c r="AU43" s="443"/>
      <c r="AV43" s="443"/>
      <c r="AW43" s="443"/>
      <c r="AX43" s="465"/>
      <c r="AY43" s="443"/>
      <c r="AZ43" s="443"/>
      <c r="BA43" s="443"/>
      <c r="BB43" s="443"/>
      <c r="BC43" s="443"/>
      <c r="BD43" s="443"/>
      <c r="BE43" s="443"/>
      <c r="BF43" s="443"/>
      <c r="BG43" s="443"/>
      <c r="BH43" s="443"/>
      <c r="BI43" s="443"/>
      <c r="BJ43" s="443"/>
      <c r="BK43" s="443"/>
      <c r="BL43" s="443"/>
      <c r="BM43" s="443"/>
      <c r="BN43" s="443"/>
      <c r="BO43" s="443"/>
      <c r="BP43" s="443"/>
      <c r="BQ43" s="464"/>
      <c r="BR43" s="443"/>
      <c r="BS43" s="443"/>
      <c r="BT43" s="447"/>
      <c r="BU43" s="71"/>
      <c r="BV43" s="71"/>
      <c r="BW43" s="71"/>
      <c r="BX43" s="71"/>
      <c r="BY43" s="71"/>
      <c r="BZ43" s="71"/>
      <c r="CA43" s="71"/>
      <c r="CB43" s="71"/>
      <c r="CC43" s="71"/>
    </row>
    <row r="44" spans="1:81" ht="15" customHeight="1" x14ac:dyDescent="0.2">
      <c r="A44" s="71"/>
      <c r="B44" s="453"/>
      <c r="C44" s="443"/>
      <c r="D44" s="465"/>
      <c r="E44" s="443"/>
      <c r="F44" s="443"/>
      <c r="G44" s="443"/>
      <c r="H44" s="443"/>
      <c r="I44" s="443"/>
      <c r="J44" s="443"/>
      <c r="K44" s="443"/>
      <c r="L44" s="443"/>
      <c r="M44" s="443"/>
      <c r="N44" s="443"/>
      <c r="O44" s="443"/>
      <c r="P44" s="443"/>
      <c r="Q44" s="443"/>
      <c r="R44" s="443"/>
      <c r="S44" s="443"/>
      <c r="T44" s="443"/>
      <c r="U44" s="443"/>
      <c r="V44" s="443"/>
      <c r="W44" s="464"/>
      <c r="X44" s="443"/>
      <c r="Y44" s="443"/>
      <c r="Z44" s="443"/>
      <c r="AA44" s="465"/>
      <c r="AB44" s="443"/>
      <c r="AC44" s="443"/>
      <c r="AD44" s="443"/>
      <c r="AE44" s="443"/>
      <c r="AF44" s="443"/>
      <c r="AG44" s="443"/>
      <c r="AH44" s="443"/>
      <c r="AI44" s="443"/>
      <c r="AJ44" s="443"/>
      <c r="AK44" s="443"/>
      <c r="AL44" s="443"/>
      <c r="AM44" s="443"/>
      <c r="AN44" s="443"/>
      <c r="AO44" s="443"/>
      <c r="AP44" s="443"/>
      <c r="AQ44" s="443"/>
      <c r="AR44" s="443"/>
      <c r="AS44" s="443"/>
      <c r="AT44" s="464"/>
      <c r="AU44" s="443"/>
      <c r="AV44" s="443"/>
      <c r="AW44" s="443"/>
      <c r="AX44" s="465"/>
      <c r="AY44" s="443"/>
      <c r="AZ44" s="443"/>
      <c r="BA44" s="443"/>
      <c r="BB44" s="443"/>
      <c r="BC44" s="443"/>
      <c r="BD44" s="443"/>
      <c r="BE44" s="443"/>
      <c r="BF44" s="443"/>
      <c r="BG44" s="443"/>
      <c r="BH44" s="443"/>
      <c r="BI44" s="443"/>
      <c r="BJ44" s="443"/>
      <c r="BK44" s="443"/>
      <c r="BL44" s="443"/>
      <c r="BM44" s="443"/>
      <c r="BN44" s="443"/>
      <c r="BO44" s="443"/>
      <c r="BP44" s="443"/>
      <c r="BQ44" s="464"/>
      <c r="BR44" s="443"/>
      <c r="BS44" s="443"/>
      <c r="BT44" s="447"/>
      <c r="BU44" s="71"/>
      <c r="BV44" s="71"/>
      <c r="BW44" s="71"/>
      <c r="BX44" s="71"/>
      <c r="BY44" s="71"/>
      <c r="BZ44" s="71"/>
      <c r="CA44" s="71"/>
      <c r="CB44" s="71"/>
      <c r="CC44" s="71"/>
    </row>
    <row r="45" spans="1:81" ht="15" customHeight="1" x14ac:dyDescent="0.2">
      <c r="A45" s="71"/>
      <c r="B45" s="453"/>
      <c r="C45" s="443"/>
      <c r="D45" s="466"/>
      <c r="E45" s="467"/>
      <c r="F45" s="467"/>
      <c r="G45" s="467"/>
      <c r="H45" s="467"/>
      <c r="I45" s="467"/>
      <c r="J45" s="467"/>
      <c r="K45" s="467"/>
      <c r="L45" s="467"/>
      <c r="M45" s="467"/>
      <c r="N45" s="467"/>
      <c r="O45" s="467"/>
      <c r="P45" s="467"/>
      <c r="Q45" s="467"/>
      <c r="R45" s="467"/>
      <c r="S45" s="467"/>
      <c r="T45" s="467"/>
      <c r="U45" s="467"/>
      <c r="V45" s="467"/>
      <c r="W45" s="468"/>
      <c r="X45" s="443"/>
      <c r="Y45" s="443"/>
      <c r="Z45" s="443"/>
      <c r="AA45" s="466"/>
      <c r="AB45" s="467"/>
      <c r="AC45" s="467"/>
      <c r="AD45" s="467"/>
      <c r="AE45" s="467"/>
      <c r="AF45" s="467"/>
      <c r="AG45" s="467"/>
      <c r="AH45" s="467"/>
      <c r="AI45" s="467"/>
      <c r="AJ45" s="467"/>
      <c r="AK45" s="467"/>
      <c r="AL45" s="467"/>
      <c r="AM45" s="467"/>
      <c r="AN45" s="467"/>
      <c r="AO45" s="467"/>
      <c r="AP45" s="467"/>
      <c r="AQ45" s="467"/>
      <c r="AR45" s="467"/>
      <c r="AS45" s="467"/>
      <c r="AT45" s="468"/>
      <c r="AU45" s="443"/>
      <c r="AV45" s="443"/>
      <c r="AW45" s="443"/>
      <c r="AX45" s="466"/>
      <c r="AY45" s="467"/>
      <c r="AZ45" s="467"/>
      <c r="BA45" s="467"/>
      <c r="BB45" s="467"/>
      <c r="BC45" s="467"/>
      <c r="BD45" s="467"/>
      <c r="BE45" s="467"/>
      <c r="BF45" s="467"/>
      <c r="BG45" s="467"/>
      <c r="BH45" s="467"/>
      <c r="BI45" s="467"/>
      <c r="BJ45" s="467"/>
      <c r="BK45" s="467"/>
      <c r="BL45" s="467"/>
      <c r="BM45" s="467"/>
      <c r="BN45" s="467"/>
      <c r="BO45" s="467"/>
      <c r="BP45" s="467"/>
      <c r="BQ45" s="468"/>
      <c r="BR45" s="443"/>
      <c r="BS45" s="443"/>
      <c r="BT45" s="447"/>
      <c r="BU45" s="71"/>
      <c r="BV45" s="71"/>
      <c r="BW45" s="71"/>
      <c r="BX45" s="71"/>
      <c r="BY45" s="71"/>
      <c r="BZ45" s="71"/>
      <c r="CA45" s="71"/>
      <c r="CB45" s="71"/>
      <c r="CC45" s="71"/>
    </row>
    <row r="46" spans="1:81" ht="15" customHeight="1" x14ac:dyDescent="0.2">
      <c r="A46" s="71"/>
      <c r="B46" s="453"/>
      <c r="C46" s="44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443"/>
      <c r="AL46" s="443"/>
      <c r="AM46" s="443"/>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69"/>
      <c r="BL46" s="469"/>
      <c r="BM46" s="469"/>
      <c r="BN46" s="470"/>
      <c r="BO46" s="443"/>
      <c r="BP46" s="443"/>
      <c r="BQ46" s="443"/>
      <c r="BR46" s="443"/>
      <c r="BS46" s="443"/>
      <c r="BT46" s="447"/>
      <c r="BU46" s="71"/>
      <c r="BV46" s="71"/>
      <c r="BW46" s="71"/>
      <c r="BX46" s="71"/>
      <c r="BY46" s="71"/>
      <c r="BZ46" s="71"/>
      <c r="CA46" s="71"/>
      <c r="CB46" s="71"/>
      <c r="CC46" s="71"/>
    </row>
    <row r="47" spans="1:81" x14ac:dyDescent="0.2">
      <c r="A47" s="531"/>
      <c r="B47" s="71"/>
      <c r="C47" s="71"/>
      <c r="D47" s="71"/>
      <c r="E47" s="71"/>
      <c r="F47" s="71"/>
      <c r="G47" s="71"/>
      <c r="H47" s="71"/>
      <c r="I47" s="71"/>
      <c r="J47" s="71"/>
      <c r="K47" s="71" t="s">
        <v>1372</v>
      </c>
      <c r="L47" s="71"/>
      <c r="M47" s="71"/>
      <c r="N47" s="71"/>
      <c r="O47" s="71">
        <v>1</v>
      </c>
      <c r="P47" s="71"/>
      <c r="Q47" s="71"/>
      <c r="R47" s="71"/>
      <c r="S47" s="71"/>
      <c r="T47" s="71"/>
      <c r="U47" s="71"/>
      <c r="V47" s="71"/>
      <c r="W47" s="71"/>
      <c r="X47" s="71"/>
      <c r="Y47" s="71"/>
      <c r="Z47" s="71"/>
      <c r="AA47" s="71"/>
      <c r="AB47" s="71"/>
      <c r="AC47" s="71"/>
      <c r="AD47" s="71"/>
      <c r="AE47" s="71"/>
      <c r="AF47" s="71"/>
      <c r="AG47" s="71"/>
      <c r="AH47" s="71" t="s">
        <v>1372</v>
      </c>
      <c r="AI47" s="71"/>
      <c r="AJ47" s="71"/>
      <c r="AK47" s="71"/>
      <c r="AL47" s="71">
        <v>2</v>
      </c>
      <c r="AM47" s="71"/>
      <c r="AN47" s="71"/>
      <c r="AO47" s="71"/>
      <c r="AP47" s="71"/>
      <c r="AQ47" s="71"/>
      <c r="AR47" s="71"/>
      <c r="AS47" s="71"/>
      <c r="AT47" s="71"/>
      <c r="AU47" s="71"/>
      <c r="AV47" s="71"/>
      <c r="AW47" s="71"/>
      <c r="AX47" s="71"/>
      <c r="AY47" s="71"/>
      <c r="AZ47" s="71"/>
      <c r="BA47" s="71"/>
      <c r="BB47" s="71"/>
      <c r="BC47" s="71"/>
      <c r="BD47" s="71"/>
      <c r="BE47" s="71" t="s">
        <v>1372</v>
      </c>
      <c r="BF47" s="71"/>
      <c r="BG47" s="71"/>
      <c r="BH47" s="71"/>
      <c r="BI47" s="71">
        <v>3</v>
      </c>
      <c r="BJ47" s="71"/>
      <c r="BK47" s="71"/>
      <c r="BL47" s="71"/>
      <c r="BM47" s="71"/>
      <c r="BN47" s="71"/>
      <c r="BO47" s="71"/>
      <c r="BP47" s="71"/>
      <c r="BQ47" s="71"/>
      <c r="BR47" s="71"/>
      <c r="BS47" s="71"/>
      <c r="BT47" s="531"/>
      <c r="BU47" s="71"/>
      <c r="BV47" s="71"/>
      <c r="BW47" s="71"/>
      <c r="BX47" s="71"/>
      <c r="BY47" s="71"/>
      <c r="BZ47" s="71"/>
      <c r="CA47" s="71"/>
      <c r="CB47" s="71"/>
      <c r="CC47" s="71"/>
    </row>
    <row r="48" spans="1:81" x14ac:dyDescent="0.2">
      <c r="A48" s="531"/>
      <c r="B48" s="71"/>
      <c r="C48" s="71"/>
      <c r="D48" s="71"/>
      <c r="E48" s="71"/>
      <c r="F48" s="71"/>
      <c r="G48" s="71"/>
      <c r="H48" s="71"/>
      <c r="I48" s="71"/>
      <c r="J48" s="71"/>
      <c r="K48" s="71"/>
      <c r="L48" s="71"/>
      <c r="M48" s="71"/>
      <c r="N48" s="71"/>
      <c r="O48" s="71"/>
      <c r="P48" s="71"/>
      <c r="Q48" s="71"/>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318"/>
      <c r="BJ48" s="318"/>
      <c r="BK48" s="318"/>
      <c r="BL48" s="318"/>
      <c r="BM48" s="318"/>
      <c r="BN48" s="318"/>
      <c r="BO48" s="318"/>
      <c r="BP48" s="318"/>
      <c r="BQ48" s="318"/>
      <c r="BR48" s="71"/>
      <c r="BS48" s="71"/>
      <c r="BT48" s="531"/>
      <c r="BU48" s="71"/>
      <c r="BV48" s="71"/>
      <c r="BW48" s="71"/>
      <c r="BX48" s="71"/>
      <c r="BY48" s="71"/>
      <c r="BZ48" s="71"/>
      <c r="CA48" s="71"/>
      <c r="CB48" s="71"/>
      <c r="CC48" s="71"/>
    </row>
    <row r="49" spans="1:81" x14ac:dyDescent="0.2">
      <c r="A49" s="531"/>
      <c r="B49" s="71"/>
      <c r="C49" s="71"/>
      <c r="D49" s="71"/>
      <c r="E49" s="71"/>
      <c r="F49" s="71"/>
      <c r="G49" s="71"/>
      <c r="H49" s="71"/>
      <c r="I49" s="71"/>
      <c r="J49" s="71"/>
      <c r="K49" s="318" t="s">
        <v>919</v>
      </c>
      <c r="L49" s="318"/>
      <c r="M49" s="318"/>
      <c r="N49" s="71"/>
      <c r="O49" s="1976" t="str">
        <f>VLOOKUP(O47,Portada!$B$29:$AQ$44,5)</f>
        <v>Ofert.</v>
      </c>
      <c r="P49" s="1976"/>
      <c r="Q49" s="1976"/>
      <c r="R49" s="1976"/>
      <c r="S49" s="1976"/>
      <c r="T49" s="1976"/>
      <c r="U49" s="1976"/>
      <c r="V49" s="1976"/>
      <c r="W49" s="1976"/>
      <c r="X49" s="71"/>
      <c r="Y49" s="71"/>
      <c r="Z49" s="71"/>
      <c r="AA49" s="71"/>
      <c r="AB49" s="71"/>
      <c r="AC49" s="71"/>
      <c r="AD49" s="71"/>
      <c r="AE49" s="71"/>
      <c r="AF49" s="71"/>
      <c r="AG49" s="71"/>
      <c r="AH49" s="318" t="s">
        <v>919</v>
      </c>
      <c r="AI49" s="318"/>
      <c r="AJ49" s="318"/>
      <c r="AK49" s="71"/>
      <c r="AL49" s="1976" t="str">
        <f>VLOOKUP(AL47,Portada!$B$29:$AQ$44,5)</f>
        <v>Ofert.</v>
      </c>
      <c r="AM49" s="1976"/>
      <c r="AN49" s="1976"/>
      <c r="AO49" s="1976"/>
      <c r="AP49" s="1976"/>
      <c r="AQ49" s="1976"/>
      <c r="AR49" s="1976"/>
      <c r="AS49" s="1976"/>
      <c r="AT49" s="1976"/>
      <c r="AU49" s="71"/>
      <c r="AV49" s="71"/>
      <c r="AW49" s="71"/>
      <c r="AX49" s="71"/>
      <c r="AY49" s="71"/>
      <c r="AZ49" s="71"/>
      <c r="BA49" s="71"/>
      <c r="BB49" s="71"/>
      <c r="BC49" s="71"/>
      <c r="BD49" s="71"/>
      <c r="BE49" s="318" t="s">
        <v>919</v>
      </c>
      <c r="BF49" s="318"/>
      <c r="BG49" s="318"/>
      <c r="BH49" s="71"/>
      <c r="BI49" s="1976" t="str">
        <f>VLOOKUP(BI47,Portada!$B$29:$AQ$44,5)</f>
        <v>Ofert.</v>
      </c>
      <c r="BJ49" s="1976"/>
      <c r="BK49" s="1976"/>
      <c r="BL49" s="1976"/>
      <c r="BM49" s="1976"/>
      <c r="BN49" s="1976"/>
      <c r="BO49" s="1976"/>
      <c r="BP49" s="1976"/>
      <c r="BQ49" s="1976"/>
      <c r="BR49" s="71"/>
      <c r="BS49" s="71"/>
      <c r="BT49" s="531"/>
      <c r="BU49" s="71"/>
      <c r="BV49" s="71"/>
      <c r="BW49" s="71"/>
      <c r="BX49" s="71"/>
      <c r="BY49" s="71"/>
      <c r="BZ49" s="71"/>
      <c r="CA49" s="71"/>
      <c r="CB49" s="71"/>
      <c r="CC49" s="71"/>
    </row>
    <row r="50" spans="1:81" x14ac:dyDescent="0.2">
      <c r="A50" s="531"/>
      <c r="B50" s="71"/>
      <c r="C50" s="71"/>
      <c r="D50" s="71"/>
      <c r="E50" s="71"/>
      <c r="F50" s="71"/>
      <c r="G50" s="71"/>
      <c r="H50" s="71"/>
      <c r="I50" s="71"/>
      <c r="J50" s="71"/>
      <c r="K50" s="318" t="s">
        <v>676</v>
      </c>
      <c r="L50" s="318"/>
      <c r="M50" s="318"/>
      <c r="N50" s="71"/>
      <c r="O50" s="1976" t="str">
        <f>VLOOKUP(O47,Portada!$B$29:$AQ$44,7)</f>
        <v>Coronel Souper 4060, Estacion Central</v>
      </c>
      <c r="P50" s="1976"/>
      <c r="Q50" s="1976"/>
      <c r="R50" s="1976"/>
      <c r="S50" s="1976"/>
      <c r="T50" s="1976"/>
      <c r="U50" s="1976"/>
      <c r="V50" s="1976"/>
      <c r="W50" s="1976"/>
      <c r="X50" s="71"/>
      <c r="Y50" s="71"/>
      <c r="Z50" s="71"/>
      <c r="AA50" s="71"/>
      <c r="AB50" s="71"/>
      <c r="AC50" s="71"/>
      <c r="AD50" s="71"/>
      <c r="AE50" s="71"/>
      <c r="AF50" s="71"/>
      <c r="AG50" s="71"/>
      <c r="AH50" s="318" t="s">
        <v>676</v>
      </c>
      <c r="AI50" s="318"/>
      <c r="AJ50" s="318"/>
      <c r="AK50" s="71"/>
      <c r="AL50" s="1976" t="str">
        <f>VLOOKUP(AL47,Portada!$B$29:$AQ$44,7)</f>
        <v>Cnel. Souper 3900 - 4200, Estación Central</v>
      </c>
      <c r="AM50" s="1976"/>
      <c r="AN50" s="1976"/>
      <c r="AO50" s="1976"/>
      <c r="AP50" s="1976"/>
      <c r="AQ50" s="1976"/>
      <c r="AR50" s="1976"/>
      <c r="AS50" s="1976"/>
      <c r="AT50" s="1976"/>
      <c r="AU50" s="71"/>
      <c r="AV50" s="71"/>
      <c r="AW50" s="71"/>
      <c r="AX50" s="71"/>
      <c r="AY50" s="71"/>
      <c r="AZ50" s="71"/>
      <c r="BA50" s="71"/>
      <c r="BB50" s="71"/>
      <c r="BC50" s="71"/>
      <c r="BD50" s="71"/>
      <c r="BE50" s="318" t="s">
        <v>676</v>
      </c>
      <c r="BF50" s="318"/>
      <c r="BG50" s="318"/>
      <c r="BH50" s="71"/>
      <c r="BI50" s="1976" t="str">
        <f>VLOOKUP(BI47,Portada!$B$29:$AQ$44,7)</f>
        <v>Coronel Souper 4060, Estacion Central</v>
      </c>
      <c r="BJ50" s="1976"/>
      <c r="BK50" s="1976"/>
      <c r="BL50" s="1976"/>
      <c r="BM50" s="1976"/>
      <c r="BN50" s="1976"/>
      <c r="BO50" s="1976"/>
      <c r="BP50" s="1976"/>
      <c r="BQ50" s="1976"/>
      <c r="BR50" s="71"/>
      <c r="BS50" s="71"/>
      <c r="BT50" s="531"/>
      <c r="BU50" s="71"/>
      <c r="BV50" s="71"/>
      <c r="BW50" s="71"/>
      <c r="BX50" s="71"/>
      <c r="BY50" s="71"/>
      <c r="BZ50" s="71"/>
      <c r="CA50" s="71"/>
      <c r="CB50" s="71"/>
      <c r="CC50" s="71"/>
    </row>
    <row r="51" spans="1:81" x14ac:dyDescent="0.2">
      <c r="A51" s="531"/>
      <c r="B51" s="71"/>
      <c r="C51" s="71"/>
      <c r="D51" s="71"/>
      <c r="E51" s="71"/>
      <c r="F51" s="71"/>
      <c r="G51" s="71"/>
      <c r="H51" s="71"/>
      <c r="I51" s="71"/>
      <c r="J51" s="71"/>
      <c r="K51" s="318" t="s">
        <v>920</v>
      </c>
      <c r="L51" s="318"/>
      <c r="M51" s="318"/>
      <c r="N51" s="71"/>
      <c r="O51" s="1976">
        <f>VLOOKUP(O47,Portada!$B$29:$AQ$44,29)</f>
        <v>1490</v>
      </c>
      <c r="P51" s="1976"/>
      <c r="Q51" s="1976"/>
      <c r="R51" s="1976"/>
      <c r="S51" s="1976"/>
      <c r="T51" s="1976"/>
      <c r="U51" s="1976"/>
      <c r="V51" s="1976"/>
      <c r="W51" s="1976"/>
      <c r="X51" s="71"/>
      <c r="Y51" s="71"/>
      <c r="Z51" s="71"/>
      <c r="AA51" s="71"/>
      <c r="AB51" s="71"/>
      <c r="AC51" s="71"/>
      <c r="AD51" s="71"/>
      <c r="AE51" s="71"/>
      <c r="AF51" s="71"/>
      <c r="AG51" s="71"/>
      <c r="AH51" s="318" t="s">
        <v>920</v>
      </c>
      <c r="AI51" s="318"/>
      <c r="AJ51" s="318"/>
      <c r="AK51" s="71"/>
      <c r="AL51" s="1976">
        <f>VLOOKUP(AL47,Portada!$B$29:$AQ$44,29)</f>
        <v>1300</v>
      </c>
      <c r="AM51" s="1976"/>
      <c r="AN51" s="1976"/>
      <c r="AO51" s="1976"/>
      <c r="AP51" s="1976"/>
      <c r="AQ51" s="1976"/>
      <c r="AR51" s="1976"/>
      <c r="AS51" s="1976"/>
      <c r="AT51" s="1976"/>
      <c r="AU51" s="71"/>
      <c r="AV51" s="71"/>
      <c r="AW51" s="71"/>
      <c r="AX51" s="71"/>
      <c r="AY51" s="71"/>
      <c r="AZ51" s="71"/>
      <c r="BA51" s="71"/>
      <c r="BB51" s="71"/>
      <c r="BC51" s="71"/>
      <c r="BD51" s="71"/>
      <c r="BE51" s="317" t="s">
        <v>920</v>
      </c>
      <c r="BF51" s="317"/>
      <c r="BG51" s="317"/>
      <c r="BH51" s="71"/>
      <c r="BI51" s="1976">
        <f>VLOOKUP(BI47,Portada!$B$29:$AQ$44,29)</f>
        <v>1675</v>
      </c>
      <c r="BJ51" s="1976"/>
      <c r="BK51" s="1976"/>
      <c r="BL51" s="1976"/>
      <c r="BM51" s="1976"/>
      <c r="BN51" s="1976"/>
      <c r="BO51" s="1976"/>
      <c r="BP51" s="1976"/>
      <c r="BQ51" s="1976"/>
      <c r="BR51" s="71"/>
      <c r="BS51" s="71"/>
      <c r="BT51" s="531"/>
      <c r="BU51" s="71"/>
      <c r="BV51" s="71"/>
      <c r="BW51" s="71"/>
      <c r="BX51" s="71"/>
      <c r="BY51" s="71"/>
      <c r="BZ51" s="71"/>
      <c r="CA51" s="71"/>
      <c r="CB51" s="71"/>
      <c r="CC51" s="71"/>
    </row>
    <row r="52" spans="1:81" x14ac:dyDescent="0.2">
      <c r="A52" s="531"/>
      <c r="B52" s="71"/>
      <c r="C52" s="71"/>
      <c r="D52" s="71"/>
      <c r="E52" s="71"/>
      <c r="F52" s="71"/>
      <c r="G52" s="71"/>
      <c r="H52" s="71"/>
      <c r="I52" s="71"/>
      <c r="J52" s="71"/>
      <c r="K52" s="318" t="s">
        <v>921</v>
      </c>
      <c r="L52" s="318"/>
      <c r="M52" s="318"/>
      <c r="N52" s="71"/>
      <c r="O52" s="1976">
        <f>VLOOKUP(O47,Portada!$B$29:$AQ$44,23)</f>
        <v>2017</v>
      </c>
      <c r="P52" s="1976"/>
      <c r="Q52" s="1976"/>
      <c r="R52" s="1976"/>
      <c r="S52" s="1976"/>
      <c r="T52" s="1976"/>
      <c r="U52" s="1976"/>
      <c r="V52" s="1976"/>
      <c r="W52" s="1976"/>
      <c r="X52" s="71"/>
      <c r="Y52" s="71"/>
      <c r="Z52" s="71"/>
      <c r="AA52" s="71"/>
      <c r="AB52" s="71"/>
      <c r="AC52" s="71"/>
      <c r="AD52" s="71"/>
      <c r="AE52" s="71"/>
      <c r="AF52" s="71"/>
      <c r="AG52" s="71"/>
      <c r="AH52" s="318" t="s">
        <v>921</v>
      </c>
      <c r="AI52" s="318"/>
      <c r="AJ52" s="318"/>
      <c r="AK52" s="71"/>
      <c r="AL52" s="1976">
        <f>VLOOKUP(AL47,Portada!$B$29:$AQ$44,23)</f>
        <v>2017</v>
      </c>
      <c r="AM52" s="1976"/>
      <c r="AN52" s="1976"/>
      <c r="AO52" s="1976"/>
      <c r="AP52" s="1976"/>
      <c r="AQ52" s="1976"/>
      <c r="AR52" s="1976"/>
      <c r="AS52" s="1976"/>
      <c r="AT52" s="1976"/>
      <c r="AU52" s="71"/>
      <c r="AV52" s="71"/>
      <c r="AW52" s="71"/>
      <c r="AX52" s="71"/>
      <c r="AY52" s="71"/>
      <c r="AZ52" s="71"/>
      <c r="BA52" s="71"/>
      <c r="BB52" s="71"/>
      <c r="BC52" s="71"/>
      <c r="BD52" s="71"/>
      <c r="BE52" s="317" t="s">
        <v>921</v>
      </c>
      <c r="BF52" s="317"/>
      <c r="BG52" s="317"/>
      <c r="BH52" s="71"/>
      <c r="BI52" s="1976">
        <f>VLOOKUP(BI47,Portada!$B$29:$AQ$44,23)</f>
        <v>2017</v>
      </c>
      <c r="BJ52" s="1976"/>
      <c r="BK52" s="1976"/>
      <c r="BL52" s="1976"/>
      <c r="BM52" s="1976"/>
      <c r="BN52" s="1976"/>
      <c r="BO52" s="1976"/>
      <c r="BP52" s="1976"/>
      <c r="BQ52" s="1976"/>
      <c r="BR52" s="71"/>
      <c r="BS52" s="71"/>
      <c r="BT52" s="531"/>
      <c r="BU52" s="71"/>
      <c r="BV52" s="71"/>
      <c r="BW52" s="71"/>
      <c r="BX52" s="71"/>
      <c r="BY52" s="71"/>
      <c r="BZ52" s="71"/>
      <c r="CA52" s="71"/>
      <c r="CB52" s="71"/>
      <c r="CC52" s="71"/>
    </row>
    <row r="53" spans="1:81" x14ac:dyDescent="0.2">
      <c r="A53" s="531"/>
      <c r="B53" s="71"/>
      <c r="H53" s="71"/>
      <c r="I53" s="71"/>
      <c r="J53" s="71"/>
      <c r="K53" s="318" t="s">
        <v>922</v>
      </c>
      <c r="L53" s="318"/>
      <c r="M53" s="318"/>
      <c r="N53" s="71"/>
      <c r="O53" s="1984">
        <f>VLOOKUP(O47,Portada!$B$29:$AQ$44,38)</f>
        <v>45</v>
      </c>
      <c r="P53" s="1984"/>
      <c r="Q53" s="1984"/>
      <c r="R53" s="1984"/>
      <c r="S53" s="1984"/>
      <c r="T53" s="1984"/>
      <c r="U53" s="1984"/>
      <c r="V53" s="1984"/>
      <c r="W53" s="1984"/>
      <c r="X53" s="71"/>
      <c r="Y53" s="71"/>
      <c r="Z53" s="71"/>
      <c r="AA53" s="71"/>
      <c r="AB53" s="71"/>
      <c r="AC53" s="71"/>
      <c r="AD53" s="71"/>
      <c r="AE53" s="71"/>
      <c r="AF53" s="71"/>
      <c r="AG53" s="71"/>
      <c r="AH53" s="318" t="s">
        <v>922</v>
      </c>
      <c r="AI53" s="318"/>
      <c r="AJ53" s="318"/>
      <c r="AK53" s="71"/>
      <c r="AL53" s="1984">
        <f>VLOOKUP(AL47,Portada!$B$29:$AQ$44,38)</f>
        <v>41</v>
      </c>
      <c r="AM53" s="1984"/>
      <c r="AN53" s="1984"/>
      <c r="AO53" s="1984"/>
      <c r="AP53" s="1984"/>
      <c r="AQ53" s="1984"/>
      <c r="AR53" s="1984"/>
      <c r="AS53" s="1984"/>
      <c r="AT53" s="1984"/>
      <c r="AU53" s="71"/>
      <c r="AV53" s="71"/>
      <c r="AW53" s="71"/>
      <c r="AX53" s="71"/>
      <c r="AY53" s="71"/>
      <c r="AZ53" s="71"/>
      <c r="BA53" s="71"/>
      <c r="BB53" s="71"/>
      <c r="BC53" s="71"/>
      <c r="BD53" s="71"/>
      <c r="BE53" s="317" t="s">
        <v>922</v>
      </c>
      <c r="BF53" s="317"/>
      <c r="BG53" s="317"/>
      <c r="BH53" s="71"/>
      <c r="BI53" s="1984">
        <f>VLOOKUP(BI47,Portada!$B$29:$AQ$44,38)</f>
        <v>42</v>
      </c>
      <c r="BJ53" s="1984"/>
      <c r="BK53" s="1984"/>
      <c r="BL53" s="1984"/>
      <c r="BM53" s="1984"/>
      <c r="BN53" s="1984"/>
      <c r="BO53" s="1984"/>
      <c r="BP53" s="1984"/>
      <c r="BQ53" s="1984"/>
      <c r="BR53" s="71"/>
      <c r="BS53" s="71"/>
      <c r="BT53" s="531"/>
      <c r="BU53" s="71"/>
      <c r="BV53" s="71"/>
      <c r="BW53" s="71"/>
      <c r="BX53" s="71"/>
      <c r="BY53" s="71"/>
      <c r="BZ53" s="71"/>
      <c r="CA53" s="71"/>
      <c r="CB53" s="71"/>
      <c r="CC53" s="71"/>
    </row>
    <row r="54" spans="1:81" x14ac:dyDescent="0.2">
      <c r="A54" s="531"/>
      <c r="B54" s="71"/>
      <c r="H54" s="71"/>
      <c r="I54" s="71"/>
      <c r="J54" s="71"/>
      <c r="K54" s="318" t="s">
        <v>923</v>
      </c>
      <c r="L54" s="318"/>
      <c r="M54" s="318"/>
      <c r="N54" s="71"/>
      <c r="O54" s="1984">
        <f>VLOOKUP(O47,Portada!$B$29:$AQ$44,33)</f>
        <v>0</v>
      </c>
      <c r="P54" s="1984"/>
      <c r="Q54" s="1984"/>
      <c r="R54" s="1984"/>
      <c r="S54" s="1984"/>
      <c r="T54" s="1984"/>
      <c r="U54" s="1984"/>
      <c r="V54" s="1984"/>
      <c r="W54" s="1984"/>
      <c r="X54" s="71"/>
      <c r="Y54" s="71"/>
      <c r="Z54" s="71"/>
      <c r="AA54" s="71"/>
      <c r="AB54" s="71"/>
      <c r="AC54" s="71"/>
      <c r="AD54" s="71"/>
      <c r="AE54" s="71"/>
      <c r="AF54" s="71"/>
      <c r="AG54" s="71"/>
      <c r="AH54" s="318" t="s">
        <v>923</v>
      </c>
      <c r="AI54" s="318"/>
      <c r="AJ54" s="318"/>
      <c r="AK54" s="71"/>
      <c r="AL54" s="1984">
        <f>VLOOKUP(AL47,Portada!$B$29:$AQ$44,33)</f>
        <v>0</v>
      </c>
      <c r="AM54" s="1984"/>
      <c r="AN54" s="1984"/>
      <c r="AO54" s="1984"/>
      <c r="AP54" s="1984"/>
      <c r="AQ54" s="1984"/>
      <c r="AR54" s="1984"/>
      <c r="AS54" s="1984"/>
      <c r="AT54" s="1984"/>
      <c r="AU54" s="71"/>
      <c r="AV54" s="71"/>
      <c r="AW54" s="71"/>
      <c r="AX54" s="71"/>
      <c r="AY54" s="71"/>
      <c r="AZ54" s="71"/>
      <c r="BA54" s="71"/>
      <c r="BB54" s="71"/>
      <c r="BC54" s="71"/>
      <c r="BD54" s="71"/>
      <c r="BE54" s="317" t="s">
        <v>923</v>
      </c>
      <c r="BF54" s="317"/>
      <c r="BG54" s="317"/>
      <c r="BH54" s="71"/>
      <c r="BI54" s="1984">
        <f>VLOOKUP(BI47,Portada!$B$29:$AQ$44,33)</f>
        <v>0</v>
      </c>
      <c r="BJ54" s="1984"/>
      <c r="BK54" s="1984"/>
      <c r="BL54" s="1984"/>
      <c r="BM54" s="1984"/>
      <c r="BN54" s="1984"/>
      <c r="BO54" s="1984"/>
      <c r="BP54" s="1984"/>
      <c r="BQ54" s="1984"/>
      <c r="BR54" s="71"/>
      <c r="BS54" s="71"/>
      <c r="BT54" s="531"/>
      <c r="BU54" s="71"/>
      <c r="BV54" s="71"/>
      <c r="BW54" s="71"/>
      <c r="BX54" s="71"/>
      <c r="BY54" s="71"/>
      <c r="BZ54" s="71"/>
      <c r="CA54" s="71"/>
      <c r="CB54" s="71"/>
      <c r="CC54" s="71"/>
    </row>
    <row r="55" spans="1:81" x14ac:dyDescent="0.2">
      <c r="A55" s="531"/>
      <c r="B55" s="71"/>
      <c r="C55" s="71"/>
      <c r="D55" s="71"/>
      <c r="E55" s="71"/>
      <c r="F55" s="71"/>
      <c r="G55" s="71"/>
      <c r="H55" s="71"/>
      <c r="I55" s="71"/>
      <c r="J55" s="71"/>
      <c r="K55" s="318" t="s">
        <v>1510</v>
      </c>
      <c r="L55" s="71"/>
      <c r="M55" s="71"/>
      <c r="N55" s="71"/>
      <c r="O55" s="1983" t="str">
        <f>Portada!AA29</f>
        <v>56 9 3248 7153</v>
      </c>
      <c r="P55" s="1983"/>
      <c r="Q55" s="1983"/>
      <c r="R55" s="1983"/>
      <c r="S55" s="1983"/>
      <c r="T55" s="1983"/>
      <c r="U55" s="1983"/>
      <c r="V55" s="1983"/>
      <c r="W55" s="1983"/>
      <c r="X55" s="71"/>
      <c r="Y55" s="71"/>
      <c r="Z55" s="71"/>
      <c r="AA55" s="71"/>
      <c r="AB55" s="71"/>
      <c r="AC55" s="71"/>
      <c r="AD55" s="71"/>
      <c r="AE55" s="71"/>
      <c r="AF55" s="71"/>
      <c r="AG55" s="71"/>
      <c r="AH55" s="317" t="s">
        <v>1510</v>
      </c>
      <c r="AI55" s="317"/>
      <c r="AJ55" s="317"/>
      <c r="AK55" s="317"/>
      <c r="AL55" s="1983" t="str">
        <f>Portada!AA30</f>
        <v>56 9 3399 5948</v>
      </c>
      <c r="AM55" s="1983"/>
      <c r="AN55" s="1983"/>
      <c r="AO55" s="1983"/>
      <c r="AP55" s="1983"/>
      <c r="AQ55" s="1983"/>
      <c r="AR55" s="1983"/>
      <c r="AS55" s="1983"/>
      <c r="AT55" s="1983"/>
      <c r="AU55" s="317"/>
      <c r="AV55" s="71"/>
      <c r="AW55" s="71"/>
      <c r="AX55" s="71"/>
      <c r="AY55" s="71"/>
      <c r="AZ55" s="71"/>
      <c r="BA55" s="71"/>
      <c r="BB55" s="71"/>
      <c r="BC55" s="71"/>
      <c r="BD55" s="71"/>
      <c r="BE55" s="318" t="s">
        <v>1510</v>
      </c>
      <c r="BF55" s="71"/>
      <c r="BG55" s="71"/>
      <c r="BH55" s="71"/>
      <c r="BI55" s="1976" t="str">
        <f>Portada!AA31</f>
        <v>56 9 9205 0952</v>
      </c>
      <c r="BJ55" s="1976"/>
      <c r="BK55" s="1976"/>
      <c r="BL55" s="1976"/>
      <c r="BM55" s="1976"/>
      <c r="BN55" s="1976"/>
      <c r="BO55" s="1976"/>
      <c r="BP55" s="1976"/>
      <c r="BQ55" s="1976"/>
      <c r="BR55" s="71"/>
      <c r="BS55" s="71"/>
      <c r="BT55" s="531"/>
      <c r="BU55" s="71"/>
      <c r="BV55" s="71"/>
      <c r="BW55" s="71"/>
      <c r="BX55" s="71"/>
      <c r="BY55" s="71"/>
      <c r="BZ55" s="71"/>
      <c r="CA55" s="71"/>
      <c r="CB55" s="71"/>
      <c r="CC55" s="71"/>
    </row>
    <row r="56" spans="1:81" x14ac:dyDescent="0.2">
      <c r="A56" s="531"/>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317"/>
      <c r="AI56" s="317"/>
      <c r="AJ56" s="317"/>
      <c r="AK56" s="317"/>
      <c r="AL56" s="317"/>
      <c r="AM56" s="317"/>
      <c r="AN56" s="317"/>
      <c r="AO56" s="317"/>
      <c r="AP56" s="317"/>
      <c r="AQ56" s="317"/>
      <c r="AR56" s="317"/>
      <c r="AS56" s="317"/>
      <c r="AT56" s="317"/>
      <c r="AU56" s="317"/>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531"/>
      <c r="BU56" s="71"/>
      <c r="BV56" s="71"/>
      <c r="BW56" s="71"/>
      <c r="BX56" s="71"/>
      <c r="BY56" s="71"/>
      <c r="BZ56" s="71"/>
      <c r="CA56" s="71"/>
      <c r="CB56" s="71"/>
      <c r="CC56" s="71"/>
    </row>
    <row r="57" spans="1:81" x14ac:dyDescent="0.2">
      <c r="A57" s="531"/>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317"/>
      <c r="AI57" s="317"/>
      <c r="AJ57" s="317"/>
      <c r="AK57" s="317"/>
      <c r="AL57" s="317"/>
      <c r="AM57" s="317"/>
      <c r="AN57" s="317"/>
      <c r="AO57" s="317"/>
      <c r="AP57" s="317"/>
      <c r="AQ57" s="317"/>
      <c r="AR57" s="317"/>
      <c r="AS57" s="317"/>
      <c r="AT57" s="317"/>
      <c r="AU57" s="317"/>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531"/>
      <c r="BU57" s="71"/>
      <c r="BV57" s="71"/>
      <c r="BW57" s="71"/>
      <c r="BX57" s="71"/>
      <c r="BY57" s="71"/>
      <c r="BZ57" s="71"/>
      <c r="CA57" s="71"/>
      <c r="CB57" s="71"/>
      <c r="CC57" s="71"/>
    </row>
    <row r="58" spans="1:81" x14ac:dyDescent="0.2">
      <c r="A58" s="531"/>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531"/>
      <c r="BU58" s="71"/>
      <c r="BV58" s="71"/>
      <c r="BW58" s="71"/>
      <c r="BX58" s="71"/>
      <c r="BY58" s="71"/>
      <c r="BZ58" s="71"/>
      <c r="CA58" s="71"/>
      <c r="CB58" s="71"/>
      <c r="CC58" s="71"/>
    </row>
    <row r="59" spans="1:81" x14ac:dyDescent="0.2">
      <c r="A59" s="531"/>
      <c r="B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531"/>
      <c r="BU59" s="71"/>
      <c r="BV59" s="71"/>
      <c r="BW59" s="71"/>
      <c r="BX59" s="71"/>
      <c r="BY59" s="71"/>
      <c r="BZ59" s="71"/>
      <c r="CA59" s="71"/>
      <c r="CB59" s="71"/>
      <c r="CC59" s="71"/>
    </row>
    <row r="60" spans="1:81" x14ac:dyDescent="0.2">
      <c r="A60" s="531"/>
      <c r="B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531"/>
      <c r="BU60" s="71"/>
      <c r="BV60" s="71"/>
      <c r="BW60" s="71"/>
      <c r="BX60" s="71"/>
      <c r="BY60" s="71"/>
      <c r="BZ60" s="71"/>
      <c r="CA60" s="71"/>
      <c r="CB60" s="71"/>
      <c r="CC60" s="71"/>
    </row>
    <row r="61" spans="1:81" x14ac:dyDescent="0.2">
      <c r="A61" s="531"/>
      <c r="B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531"/>
      <c r="BU61" s="71"/>
      <c r="BV61" s="71"/>
      <c r="BW61" s="71"/>
      <c r="BX61" s="71"/>
      <c r="BY61" s="71"/>
      <c r="BZ61" s="71"/>
      <c r="CA61" s="71"/>
      <c r="CB61" s="71"/>
      <c r="CC61" s="71"/>
    </row>
    <row r="62" spans="1:81" ht="13.5" thickBot="1" x14ac:dyDescent="0.25">
      <c r="A62" s="531"/>
      <c r="B62" s="533"/>
      <c r="C62" s="534"/>
      <c r="D62" s="534"/>
      <c r="E62" s="534"/>
      <c r="F62" s="534"/>
      <c r="G62" s="534"/>
      <c r="H62" s="534"/>
      <c r="I62" s="534"/>
      <c r="J62" s="534"/>
      <c r="K62" s="534"/>
      <c r="L62" s="534"/>
      <c r="M62" s="534"/>
      <c r="N62" s="534"/>
      <c r="O62" s="534"/>
      <c r="P62" s="534"/>
      <c r="Q62" s="534"/>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534"/>
      <c r="BS62" s="534"/>
      <c r="BT62" s="535"/>
      <c r="BU62" s="532"/>
      <c r="BV62" s="71"/>
      <c r="BW62" s="71"/>
      <c r="BX62" s="71"/>
      <c r="BY62" s="71"/>
      <c r="BZ62" s="71"/>
      <c r="CA62" s="71"/>
      <c r="CB62" s="71"/>
      <c r="CC62" s="71"/>
    </row>
    <row r="63" spans="1:81" x14ac:dyDescent="0.2">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row>
    <row r="64" spans="1:81" x14ac:dyDescent="0.2">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row>
    <row r="65" spans="2:81" x14ac:dyDescent="0.2">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row>
    <row r="66" spans="2:81" x14ac:dyDescent="0.2">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row>
    <row r="67" spans="2:81" x14ac:dyDescent="0.2">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row>
    <row r="68" spans="2:81" x14ac:dyDescent="0.2">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row>
    <row r="69" spans="2:81" x14ac:dyDescent="0.2">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row>
    <row r="70" spans="2:81" x14ac:dyDescent="0.2">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row>
    <row r="71" spans="2:81" x14ac:dyDescent="0.2">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row>
    <row r="72" spans="2:81" x14ac:dyDescent="0.2">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row>
  </sheetData>
  <dataConsolidate/>
  <mergeCells count="35">
    <mergeCell ref="O55:W55"/>
    <mergeCell ref="AL55:AT55"/>
    <mergeCell ref="BI55:BQ55"/>
    <mergeCell ref="O53:W53"/>
    <mergeCell ref="AL53:AT53"/>
    <mergeCell ref="BI53:BQ53"/>
    <mergeCell ref="O54:W54"/>
    <mergeCell ref="AL54:AT54"/>
    <mergeCell ref="BI54:BQ54"/>
    <mergeCell ref="AN1:AV1"/>
    <mergeCell ref="E2:Y2"/>
    <mergeCell ref="AG2:AJ2"/>
    <mergeCell ref="E3:S3"/>
    <mergeCell ref="U3:V3"/>
    <mergeCell ref="W3:Y3"/>
    <mergeCell ref="Z3:AF3"/>
    <mergeCell ref="AG3:AN3"/>
    <mergeCell ref="B4:D4"/>
    <mergeCell ref="E4:L4"/>
    <mergeCell ref="S4:U4"/>
    <mergeCell ref="V4:AG4"/>
    <mergeCell ref="AH4:AU4"/>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AMX63"/>
  <sheetViews>
    <sheetView showGridLines="0" topLeftCell="A22" zoomScaleNormal="100" workbookViewId="0">
      <selection activeCell="B6" sqref="B6:BT29"/>
    </sheetView>
  </sheetViews>
  <sheetFormatPr baseColWidth="10" defaultColWidth="9.140625" defaultRowHeight="12.75" x14ac:dyDescent="0.2"/>
  <cols>
    <col min="1" max="1" width="2.85546875" customWidth="1"/>
    <col min="2" max="86" width="2.28515625" style="71" customWidth="1"/>
    <col min="87" max="1038" width="9.140625" style="71"/>
  </cols>
  <sheetData>
    <row r="1" spans="2:1037" s="312" customFormat="1" ht="15" customHeight="1" x14ac:dyDescent="0.3">
      <c r="I1" s="311"/>
      <c r="S1" s="313" t="s">
        <v>918</v>
      </c>
      <c r="AM1" s="314"/>
      <c r="AN1" s="1980"/>
      <c r="AO1" s="1980"/>
      <c r="AP1" s="1980"/>
      <c r="AQ1" s="1980"/>
      <c r="AR1" s="1980"/>
      <c r="AS1" s="1980"/>
      <c r="AT1" s="1980"/>
      <c r="AU1" s="1980"/>
      <c r="AV1" s="1980"/>
      <c r="AZ1" s="315"/>
      <c r="BJ1" s="316"/>
      <c r="BK1" s="316"/>
      <c r="BL1" s="316"/>
      <c r="BM1" s="316"/>
      <c r="BN1" s="316"/>
    </row>
    <row r="2" spans="2:1037" ht="15" customHeight="1" x14ac:dyDescent="0.2">
      <c r="B2" s="296" t="s">
        <v>675</v>
      </c>
      <c r="C2" s="297"/>
      <c r="D2" s="297"/>
      <c r="E2" s="1981" t="str">
        <f>+Portada!F3</f>
        <v>Janeth Patricia Cando Arias</v>
      </c>
      <c r="F2" s="1981"/>
      <c r="G2" s="1981"/>
      <c r="H2" s="1981"/>
      <c r="I2" s="1981"/>
      <c r="J2" s="1981"/>
      <c r="K2" s="1981"/>
      <c r="L2" s="1981"/>
      <c r="M2" s="1981"/>
      <c r="N2" s="1981"/>
      <c r="O2" s="1981"/>
      <c r="P2" s="1981"/>
      <c r="Q2" s="1981"/>
      <c r="R2" s="1981"/>
      <c r="S2" s="1981"/>
      <c r="T2" s="1981"/>
      <c r="U2" s="1981"/>
      <c r="V2" s="1981"/>
      <c r="W2" s="1981"/>
      <c r="X2" s="1981"/>
      <c r="Y2" s="1981"/>
      <c r="Z2" s="297"/>
      <c r="AA2" s="297" t="s">
        <v>456</v>
      </c>
      <c r="AB2" s="297"/>
      <c r="AC2" s="297"/>
      <c r="AD2" s="297"/>
      <c r="AE2" s="297"/>
      <c r="AF2" s="297"/>
      <c r="AG2" s="1981" t="str">
        <f>+Portada!AE3</f>
        <v>22.959.221-1</v>
      </c>
      <c r="AH2" s="1981"/>
      <c r="AI2" s="1981"/>
      <c r="AJ2" s="1981"/>
      <c r="AK2" s="297"/>
      <c r="AL2" s="297"/>
      <c r="AM2" s="297"/>
      <c r="AN2" s="297"/>
      <c r="AO2" s="297"/>
      <c r="AP2" s="298"/>
      <c r="AQ2" s="298"/>
      <c r="AR2" s="298"/>
      <c r="AS2" s="298"/>
      <c r="AT2" s="298"/>
      <c r="AU2" s="297"/>
      <c r="AV2" s="299"/>
      <c r="AW2"/>
      <c r="AX2"/>
      <c r="AY2"/>
      <c r="AZ2" s="315"/>
      <c r="BA2"/>
      <c r="BB2"/>
      <c r="BC2"/>
      <c r="BD2"/>
      <c r="BE2"/>
      <c r="BF2" s="312"/>
      <c r="BG2"/>
      <c r="BH2"/>
      <c r="BI2"/>
      <c r="BJ2" s="316"/>
      <c r="BK2" s="316"/>
      <c r="BL2" s="316"/>
      <c r="BM2" s="316"/>
      <c r="BN2" s="316"/>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
      <c r="B3" s="300" t="s">
        <v>676</v>
      </c>
      <c r="C3" s="301"/>
      <c r="D3" s="301"/>
      <c r="E3" s="1978" t="str">
        <f>+Portada!AU4</f>
        <v>Coronel Souper N° 4060</v>
      </c>
      <c r="F3" s="1978"/>
      <c r="G3" s="1978"/>
      <c r="H3" s="1978"/>
      <c r="I3" s="1978"/>
      <c r="J3" s="1978"/>
      <c r="K3" s="1978"/>
      <c r="L3" s="1978"/>
      <c r="M3" s="1978"/>
      <c r="N3" s="1978"/>
      <c r="O3" s="1978"/>
      <c r="P3" s="1978"/>
      <c r="Q3" s="1978"/>
      <c r="R3" s="1978"/>
      <c r="S3" s="1978"/>
      <c r="T3" s="302"/>
      <c r="U3" s="1982"/>
      <c r="V3" s="1982"/>
      <c r="W3" s="1982" t="str">
        <f>+Portada!AP5</f>
        <v>Depto.</v>
      </c>
      <c r="X3" s="1982"/>
      <c r="Y3" s="1982"/>
      <c r="Z3" s="1978" t="str">
        <f>+Portada!AU5</f>
        <v>N°2502 B</v>
      </c>
      <c r="AA3" s="1978"/>
      <c r="AB3" s="1978"/>
      <c r="AC3" s="1978"/>
      <c r="AD3" s="1978"/>
      <c r="AE3" s="1978"/>
      <c r="AF3" s="1978"/>
      <c r="AG3" s="1978" t="str">
        <f>+Portada!AU6</f>
        <v>Mirador Souper</v>
      </c>
      <c r="AH3" s="1978"/>
      <c r="AI3" s="1978"/>
      <c r="AJ3" s="1978"/>
      <c r="AK3" s="1978"/>
      <c r="AL3" s="1978"/>
      <c r="AM3" s="1978"/>
      <c r="AN3" s="1978"/>
      <c r="AO3" s="301"/>
      <c r="AP3" s="303"/>
      <c r="AQ3" s="303"/>
      <c r="AR3" s="303"/>
      <c r="AS3" s="303"/>
      <c r="AT3" s="303"/>
      <c r="AU3" s="301"/>
      <c r="AV3" s="304"/>
      <c r="AW3"/>
      <c r="AX3"/>
      <c r="AY3"/>
      <c r="AZ3" s="315"/>
      <c r="BA3"/>
      <c r="BB3"/>
      <c r="BC3"/>
      <c r="BD3"/>
      <c r="BE3"/>
      <c r="BF3" s="312"/>
      <c r="BG3"/>
      <c r="BH3"/>
      <c r="BI3"/>
      <c r="BJ3" s="316"/>
      <c r="BK3" s="316"/>
      <c r="BL3" s="316"/>
      <c r="BM3" s="316"/>
      <c r="BN3" s="316"/>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
      <c r="B4" s="1977" t="s">
        <v>457</v>
      </c>
      <c r="C4" s="1977"/>
      <c r="D4" s="1977"/>
      <c r="E4" s="1978" t="str">
        <f>+Portada!AU8</f>
        <v>Estación Central</v>
      </c>
      <c r="F4" s="1978"/>
      <c r="G4" s="1978"/>
      <c r="H4" s="1978"/>
      <c r="I4" s="1978"/>
      <c r="J4" s="1978"/>
      <c r="K4" s="1978"/>
      <c r="L4" s="1978"/>
      <c r="M4" s="302"/>
      <c r="N4" s="302"/>
      <c r="O4" s="302"/>
      <c r="P4" s="302"/>
      <c r="Q4" s="301"/>
      <c r="R4" s="301"/>
      <c r="S4" s="1979" t="s">
        <v>677</v>
      </c>
      <c r="T4" s="1979"/>
      <c r="U4" s="1979"/>
      <c r="V4" s="1979" t="str">
        <f>+Portada!AU7</f>
        <v>Metropolitana de Santiago</v>
      </c>
      <c r="W4" s="1979"/>
      <c r="X4" s="1979"/>
      <c r="Y4" s="1979"/>
      <c r="Z4" s="1979"/>
      <c r="AA4" s="1979"/>
      <c r="AB4" s="1979"/>
      <c r="AC4" s="1979"/>
      <c r="AD4" s="1979"/>
      <c r="AE4" s="1979"/>
      <c r="AF4" s="1979"/>
      <c r="AG4" s="1979"/>
      <c r="AH4" s="1978"/>
      <c r="AI4" s="1978"/>
      <c r="AJ4" s="1978"/>
      <c r="AK4" s="1978"/>
      <c r="AL4" s="1978"/>
      <c r="AM4" s="1978"/>
      <c r="AN4" s="1978"/>
      <c r="AO4" s="1978"/>
      <c r="AP4" s="1978"/>
      <c r="AQ4" s="1978"/>
      <c r="AR4" s="1978"/>
      <c r="AS4" s="1978"/>
      <c r="AT4" s="1978"/>
      <c r="AU4" s="1978"/>
      <c r="AV4" s="304"/>
      <c r="AW4"/>
      <c r="AX4"/>
      <c r="AY4"/>
      <c r="AZ4" s="315"/>
      <c r="BA4"/>
      <c r="BB4"/>
      <c r="BC4"/>
      <c r="BD4"/>
      <c r="BE4"/>
      <c r="BF4" s="312"/>
      <c r="BG4"/>
      <c r="BH4"/>
      <c r="BI4"/>
      <c r="BJ4" s="316"/>
      <c r="BK4" s="316"/>
      <c r="BL4" s="316"/>
      <c r="BM4" s="316"/>
      <c r="BN4" s="316"/>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35">
      <c r="B5" s="305"/>
      <c r="C5" s="306"/>
      <c r="D5" s="306"/>
      <c r="E5" s="306"/>
      <c r="F5" s="306"/>
      <c r="G5" s="306"/>
      <c r="H5" s="306"/>
      <c r="I5" s="307"/>
      <c r="J5" s="306"/>
      <c r="K5" s="306"/>
      <c r="L5" s="306"/>
      <c r="M5" s="306"/>
      <c r="N5" s="306"/>
      <c r="O5" s="306"/>
      <c r="P5" s="306"/>
      <c r="Q5" s="306"/>
      <c r="R5" s="306"/>
      <c r="S5" s="308"/>
      <c r="T5" s="306"/>
      <c r="U5" s="306"/>
      <c r="V5" s="306"/>
      <c r="W5" s="306"/>
      <c r="X5" s="306"/>
      <c r="Y5" s="306"/>
      <c r="Z5" s="306"/>
      <c r="AA5" s="306"/>
      <c r="AB5" s="306"/>
      <c r="AC5" s="306"/>
      <c r="AD5" s="306"/>
      <c r="AE5" s="306"/>
      <c r="AF5" s="306"/>
      <c r="AG5" s="306"/>
      <c r="AH5" s="306"/>
      <c r="AI5" s="306"/>
      <c r="AJ5" s="306"/>
      <c r="AK5" s="306"/>
      <c r="AL5" s="306"/>
      <c r="AM5" s="306"/>
      <c r="AN5" s="306"/>
      <c r="AO5" s="306"/>
      <c r="AP5" s="309"/>
      <c r="AQ5" s="309"/>
      <c r="AR5" s="309"/>
      <c r="AS5" s="309"/>
      <c r="AT5" s="309"/>
      <c r="AU5" s="306"/>
      <c r="AV5" s="310"/>
      <c r="AW5"/>
      <c r="AX5"/>
      <c r="AY5"/>
      <c r="AZ5" s="315"/>
      <c r="BA5"/>
      <c r="BB5"/>
      <c r="BC5"/>
      <c r="BD5"/>
      <c r="BE5"/>
      <c r="BF5" s="312"/>
      <c r="BG5"/>
      <c r="BH5"/>
      <c r="BI5"/>
      <c r="BJ5" s="316"/>
      <c r="BK5" s="316"/>
      <c r="BL5" s="316"/>
      <c r="BM5" s="316"/>
      <c r="BN5" s="316"/>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71" customFormat="1" ht="15" customHeight="1" x14ac:dyDescent="0.2">
      <c r="B6" s="1827"/>
      <c r="C6" s="1828"/>
      <c r="D6" s="1828"/>
      <c r="E6" s="1828"/>
      <c r="F6" s="1828"/>
      <c r="G6" s="1828"/>
      <c r="H6" s="1828"/>
      <c r="I6" s="1828"/>
      <c r="J6" s="1828"/>
      <c r="K6" s="1828"/>
      <c r="L6" s="1828"/>
      <c r="M6" s="1828"/>
      <c r="N6" s="1828"/>
      <c r="O6" s="1828"/>
      <c r="P6" s="1828"/>
      <c r="Q6" s="1828"/>
      <c r="R6" s="1828"/>
      <c r="S6" s="1828"/>
      <c r="T6" s="1828"/>
      <c r="U6" s="1828"/>
      <c r="V6" s="1828"/>
      <c r="W6" s="1828"/>
      <c r="X6" s="1828"/>
      <c r="Y6" s="1828"/>
      <c r="Z6" s="1828"/>
      <c r="AA6" s="1828"/>
      <c r="AB6" s="1828"/>
      <c r="AC6" s="1828"/>
      <c r="AD6" s="1828"/>
      <c r="AE6" s="1828"/>
      <c r="AF6" s="1828"/>
      <c r="AG6" s="1828"/>
      <c r="AH6" s="1828"/>
      <c r="AI6" s="1828"/>
      <c r="AJ6" s="1828"/>
      <c r="AK6" s="1828"/>
      <c r="AL6" s="1828"/>
      <c r="AM6" s="1828"/>
      <c r="AN6" s="1828"/>
      <c r="AO6" s="1828"/>
      <c r="AP6" s="1828"/>
      <c r="AQ6" s="1828"/>
      <c r="AR6" s="1828"/>
      <c r="AS6" s="1828"/>
      <c r="AT6" s="1828"/>
      <c r="AU6" s="1828"/>
      <c r="AV6" s="1828"/>
      <c r="AW6" s="1828"/>
      <c r="AX6" s="1828"/>
      <c r="AY6" s="1828"/>
      <c r="AZ6" s="1828"/>
      <c r="BA6" s="1828"/>
      <c r="BB6" s="1828"/>
      <c r="BC6" s="1828"/>
      <c r="BD6" s="1828"/>
      <c r="BE6" s="1828"/>
      <c r="BF6" s="1828"/>
      <c r="BG6" s="1828"/>
      <c r="BH6" s="1828"/>
      <c r="BI6" s="1828"/>
      <c r="BJ6" s="1828"/>
      <c r="BK6" s="1828"/>
      <c r="BL6" s="1828"/>
      <c r="BM6" s="1828"/>
      <c r="BN6" s="1828"/>
      <c r="BO6" s="1828"/>
      <c r="BP6" s="1828"/>
      <c r="BQ6" s="1828"/>
      <c r="BR6" s="1828"/>
      <c r="BS6" s="1828"/>
      <c r="BT6" s="1829"/>
    </row>
    <row r="7" spans="2:1037" s="71" customFormat="1" ht="15" customHeight="1" x14ac:dyDescent="0.2">
      <c r="B7" s="1830"/>
      <c r="C7" s="1831"/>
      <c r="D7" s="1831"/>
      <c r="E7" s="1831"/>
      <c r="F7" s="1831"/>
      <c r="G7" s="1831"/>
      <c r="H7" s="1831"/>
      <c r="I7" s="1831"/>
      <c r="J7" s="1831"/>
      <c r="K7" s="1831"/>
      <c r="L7" s="1831"/>
      <c r="M7" s="1831"/>
      <c r="N7" s="1831"/>
      <c r="O7" s="1831"/>
      <c r="P7" s="1831"/>
      <c r="Q7" s="1831"/>
      <c r="R7" s="1831"/>
      <c r="S7" s="1831"/>
      <c r="T7" s="1831"/>
      <c r="U7" s="1831"/>
      <c r="V7" s="1831"/>
      <c r="W7" s="1831"/>
      <c r="X7" s="1831"/>
      <c r="Y7" s="1831"/>
      <c r="Z7" s="1831"/>
      <c r="AA7" s="1831"/>
      <c r="AB7" s="1831"/>
      <c r="AC7" s="1831"/>
      <c r="AD7" s="1831"/>
      <c r="AE7" s="1831"/>
      <c r="AF7" s="1831"/>
      <c r="AG7" s="1831"/>
      <c r="AH7" s="1831"/>
      <c r="AI7" s="1831"/>
      <c r="AJ7" s="1831"/>
      <c r="AK7" s="1831"/>
      <c r="AL7" s="1831"/>
      <c r="AM7" s="1831"/>
      <c r="AN7" s="1831"/>
      <c r="AO7" s="1831"/>
      <c r="AP7" s="1831"/>
      <c r="AQ7" s="1831"/>
      <c r="AR7" s="1831"/>
      <c r="AS7" s="1831"/>
      <c r="AT7" s="1831"/>
      <c r="AU7" s="1831"/>
      <c r="AV7" s="1831"/>
      <c r="AW7" s="1831"/>
      <c r="AX7" s="1831"/>
      <c r="AY7" s="1831"/>
      <c r="AZ7" s="1831"/>
      <c r="BA7" s="1831"/>
      <c r="BB7" s="1831"/>
      <c r="BC7" s="1831"/>
      <c r="BD7" s="1831"/>
      <c r="BE7" s="1831"/>
      <c r="BF7" s="1831"/>
      <c r="BG7" s="1831"/>
      <c r="BH7" s="1831"/>
      <c r="BI7" s="1831"/>
      <c r="BJ7" s="1831"/>
      <c r="BK7" s="1831"/>
      <c r="BL7" s="1831"/>
      <c r="BM7" s="1831"/>
      <c r="BN7" s="1831"/>
      <c r="BO7" s="1831"/>
      <c r="BP7" s="1831"/>
      <c r="BQ7" s="1831"/>
      <c r="BR7" s="1831"/>
      <c r="BS7" s="1831"/>
      <c r="BT7" s="1832"/>
    </row>
    <row r="8" spans="2:1037" s="71" customFormat="1" ht="15" customHeight="1" x14ac:dyDescent="0.2">
      <c r="B8" s="1830"/>
      <c r="C8" s="1831"/>
      <c r="D8" s="1831"/>
      <c r="E8" s="1831"/>
      <c r="F8" s="1831"/>
      <c r="G8" s="1831"/>
      <c r="H8" s="1831"/>
      <c r="I8" s="1831"/>
      <c r="J8" s="1831"/>
      <c r="K8" s="1831"/>
      <c r="L8" s="1831"/>
      <c r="M8" s="1831"/>
      <c r="N8" s="1831"/>
      <c r="O8" s="1831"/>
      <c r="P8" s="1831"/>
      <c r="Q8" s="1831"/>
      <c r="R8" s="1831"/>
      <c r="S8" s="1831"/>
      <c r="T8" s="1831"/>
      <c r="U8" s="1831"/>
      <c r="V8" s="1831"/>
      <c r="W8" s="1831"/>
      <c r="X8" s="1831"/>
      <c r="Y8" s="1831"/>
      <c r="Z8" s="1831"/>
      <c r="AA8" s="1831"/>
      <c r="AB8" s="1831"/>
      <c r="AC8" s="1831"/>
      <c r="AD8" s="1831"/>
      <c r="AE8" s="1831"/>
      <c r="AF8" s="1831"/>
      <c r="AG8" s="1831"/>
      <c r="AH8" s="1831"/>
      <c r="AI8" s="1831"/>
      <c r="AJ8" s="1831"/>
      <c r="AK8" s="1831"/>
      <c r="AL8" s="1831"/>
      <c r="AM8" s="1831"/>
      <c r="AN8" s="1831"/>
      <c r="AO8" s="1831"/>
      <c r="AP8" s="1831"/>
      <c r="AQ8" s="1831"/>
      <c r="AR8" s="1831"/>
      <c r="AS8" s="1831"/>
      <c r="AT8" s="1831"/>
      <c r="AU8" s="1831"/>
      <c r="AV8" s="1831"/>
      <c r="AW8" s="1831"/>
      <c r="AX8" s="1831"/>
      <c r="AY8" s="1831"/>
      <c r="AZ8" s="1831"/>
      <c r="BA8" s="1831"/>
      <c r="BB8" s="1831"/>
      <c r="BC8" s="1831"/>
      <c r="BD8" s="1831"/>
      <c r="BE8" s="1831"/>
      <c r="BF8" s="1831"/>
      <c r="BG8" s="1831"/>
      <c r="BH8" s="1831"/>
      <c r="BI8" s="1831"/>
      <c r="BJ8" s="1831"/>
      <c r="BK8" s="1831"/>
      <c r="BL8" s="1831"/>
      <c r="BM8" s="1831"/>
      <c r="BN8" s="1831"/>
      <c r="BO8" s="1831"/>
      <c r="BP8" s="1831"/>
      <c r="BQ8" s="1831"/>
      <c r="BR8" s="1831"/>
      <c r="BS8" s="1831"/>
      <c r="BT8" s="1832"/>
    </row>
    <row r="9" spans="2:1037" s="71" customFormat="1" ht="15" customHeight="1" x14ac:dyDescent="0.2">
      <c r="B9" s="1830"/>
      <c r="C9" s="1831"/>
      <c r="D9" s="1831"/>
      <c r="E9" s="1831"/>
      <c r="F9" s="1831"/>
      <c r="G9" s="1831"/>
      <c r="H9" s="1831"/>
      <c r="I9" s="1831"/>
      <c r="J9" s="1831"/>
      <c r="K9" s="1831"/>
      <c r="L9" s="1831"/>
      <c r="M9" s="1831"/>
      <c r="N9" s="1831"/>
      <c r="O9" s="1831"/>
      <c r="P9" s="1831"/>
      <c r="Q9" s="1831"/>
      <c r="R9" s="1831"/>
      <c r="S9" s="1831"/>
      <c r="T9" s="1831"/>
      <c r="U9" s="1831"/>
      <c r="V9" s="1831"/>
      <c r="W9" s="1831"/>
      <c r="X9" s="1831"/>
      <c r="Y9" s="1831"/>
      <c r="Z9" s="1831"/>
      <c r="AA9" s="1831"/>
      <c r="AB9" s="1831"/>
      <c r="AC9" s="1831"/>
      <c r="AD9" s="1831"/>
      <c r="AE9" s="1831"/>
      <c r="AF9" s="1831"/>
      <c r="AG9" s="1831"/>
      <c r="AH9" s="1831"/>
      <c r="AI9" s="1831"/>
      <c r="AJ9" s="1831"/>
      <c r="AK9" s="1831"/>
      <c r="AL9" s="1831"/>
      <c r="AM9" s="1831"/>
      <c r="AN9" s="1831"/>
      <c r="AO9" s="1831"/>
      <c r="AP9" s="1831"/>
      <c r="AQ9" s="1831"/>
      <c r="AR9" s="1831"/>
      <c r="AS9" s="1831"/>
      <c r="AT9" s="1831"/>
      <c r="AU9" s="1831"/>
      <c r="AV9" s="1831"/>
      <c r="AW9" s="1831"/>
      <c r="AX9" s="1831"/>
      <c r="AY9" s="1831"/>
      <c r="AZ9" s="1831"/>
      <c r="BA9" s="1831"/>
      <c r="BB9" s="1831"/>
      <c r="BC9" s="1831"/>
      <c r="BD9" s="1831"/>
      <c r="BE9" s="1831"/>
      <c r="BF9" s="1831"/>
      <c r="BG9" s="1831"/>
      <c r="BH9" s="1831"/>
      <c r="BI9" s="1831"/>
      <c r="BJ9" s="1831"/>
      <c r="BK9" s="1831"/>
      <c r="BL9" s="1831"/>
      <c r="BM9" s="1831"/>
      <c r="BN9" s="1831"/>
      <c r="BO9" s="1831"/>
      <c r="BP9" s="1831"/>
      <c r="BQ9" s="1831"/>
      <c r="BR9" s="1831"/>
      <c r="BS9" s="1831"/>
      <c r="BT9" s="1832"/>
    </row>
    <row r="10" spans="2:1037" s="71" customFormat="1" ht="15" customHeight="1" x14ac:dyDescent="0.2">
      <c r="B10" s="1830"/>
      <c r="C10" s="1831"/>
      <c r="D10" s="1831"/>
      <c r="E10" s="1831"/>
      <c r="F10" s="1831"/>
      <c r="G10" s="1831"/>
      <c r="H10" s="1831"/>
      <c r="I10" s="1831"/>
      <c r="J10" s="1831"/>
      <c r="K10" s="1831"/>
      <c r="L10" s="1831"/>
      <c r="M10" s="1831"/>
      <c r="N10" s="1831"/>
      <c r="O10" s="1831"/>
      <c r="P10" s="1831"/>
      <c r="Q10" s="1831"/>
      <c r="R10" s="1831"/>
      <c r="S10" s="1831"/>
      <c r="T10" s="1831"/>
      <c r="U10" s="1831"/>
      <c r="V10" s="1831"/>
      <c r="W10" s="1831"/>
      <c r="X10" s="1831"/>
      <c r="Y10" s="1831"/>
      <c r="Z10" s="1831"/>
      <c r="AA10" s="1831"/>
      <c r="AB10" s="1831"/>
      <c r="AC10" s="1831"/>
      <c r="AD10" s="1831"/>
      <c r="AE10" s="1831"/>
      <c r="AF10" s="1831"/>
      <c r="AG10" s="1831"/>
      <c r="AH10" s="1831"/>
      <c r="AI10" s="1831"/>
      <c r="AJ10" s="1831"/>
      <c r="AK10" s="1831"/>
      <c r="AL10" s="1831"/>
      <c r="AM10" s="1831"/>
      <c r="AN10" s="1831"/>
      <c r="AO10" s="1831"/>
      <c r="AP10" s="1831"/>
      <c r="AQ10" s="1831"/>
      <c r="AR10" s="1831"/>
      <c r="AS10" s="1831"/>
      <c r="AT10" s="1831"/>
      <c r="AU10" s="1831"/>
      <c r="AV10" s="1831"/>
      <c r="AW10" s="1831"/>
      <c r="AX10" s="1831"/>
      <c r="AY10" s="1831"/>
      <c r="AZ10" s="1831"/>
      <c r="BA10" s="1831"/>
      <c r="BB10" s="1831"/>
      <c r="BC10" s="1831"/>
      <c r="BD10" s="1831"/>
      <c r="BE10" s="1831"/>
      <c r="BF10" s="1831"/>
      <c r="BG10" s="1831"/>
      <c r="BH10" s="1831"/>
      <c r="BI10" s="1831"/>
      <c r="BJ10" s="1831"/>
      <c r="BK10" s="1831"/>
      <c r="BL10" s="1831"/>
      <c r="BM10" s="1831"/>
      <c r="BN10" s="1831"/>
      <c r="BO10" s="1831"/>
      <c r="BP10" s="1831"/>
      <c r="BQ10" s="1831"/>
      <c r="BR10" s="1831"/>
      <c r="BS10" s="1831"/>
      <c r="BT10" s="1832"/>
    </row>
    <row r="11" spans="2:1037" s="71" customFormat="1" ht="15" customHeight="1" x14ac:dyDescent="0.2">
      <c r="B11" s="1830"/>
      <c r="C11" s="1831"/>
      <c r="D11" s="1831"/>
      <c r="E11" s="1831"/>
      <c r="F11" s="1831"/>
      <c r="G11" s="1831"/>
      <c r="H11" s="1831"/>
      <c r="I11" s="1831"/>
      <c r="J11" s="1831"/>
      <c r="K11" s="1831"/>
      <c r="L11" s="1831"/>
      <c r="M11" s="1831"/>
      <c r="N11" s="1831"/>
      <c r="O11" s="1831"/>
      <c r="P11" s="1831"/>
      <c r="Q11" s="1831"/>
      <c r="R11" s="1831"/>
      <c r="S11" s="1831"/>
      <c r="T11" s="1831"/>
      <c r="U11" s="1831"/>
      <c r="V11" s="1831"/>
      <c r="W11" s="1831"/>
      <c r="X11" s="1831"/>
      <c r="Y11" s="1831"/>
      <c r="Z11" s="1831"/>
      <c r="AA11" s="1831"/>
      <c r="AB11" s="1831"/>
      <c r="AC11" s="1831"/>
      <c r="AD11" s="1831"/>
      <c r="AE11" s="1831"/>
      <c r="AF11" s="1831"/>
      <c r="AG11" s="1831"/>
      <c r="AH11" s="1831"/>
      <c r="AI11" s="1831"/>
      <c r="AJ11" s="1831"/>
      <c r="AK11" s="1831"/>
      <c r="AL11" s="1831"/>
      <c r="AM11" s="1831"/>
      <c r="AN11" s="1831"/>
      <c r="AO11" s="1831"/>
      <c r="AP11" s="1831"/>
      <c r="AQ11" s="1831"/>
      <c r="AR11" s="1831"/>
      <c r="AS11" s="1831"/>
      <c r="AT11" s="1831"/>
      <c r="AU11" s="1831"/>
      <c r="AV11" s="1831"/>
      <c r="AW11" s="1831"/>
      <c r="AX11" s="1831"/>
      <c r="AY11" s="1831"/>
      <c r="AZ11" s="1831"/>
      <c r="BA11" s="1831"/>
      <c r="BB11" s="1831"/>
      <c r="BC11" s="1831"/>
      <c r="BD11" s="1831"/>
      <c r="BE11" s="1831"/>
      <c r="BF11" s="1831"/>
      <c r="BG11" s="1831"/>
      <c r="BH11" s="1831"/>
      <c r="BI11" s="1831"/>
      <c r="BJ11" s="1831"/>
      <c r="BK11" s="1831"/>
      <c r="BL11" s="1831"/>
      <c r="BM11" s="1831"/>
      <c r="BN11" s="1831"/>
      <c r="BO11" s="1831"/>
      <c r="BP11" s="1831"/>
      <c r="BQ11" s="1831"/>
      <c r="BR11" s="1831"/>
      <c r="BS11" s="1831"/>
      <c r="BT11" s="1832"/>
    </row>
    <row r="12" spans="2:1037" s="71" customFormat="1" ht="15" customHeight="1" x14ac:dyDescent="0.2">
      <c r="B12" s="1830"/>
      <c r="C12" s="1831"/>
      <c r="D12" s="1831"/>
      <c r="E12" s="1831"/>
      <c r="F12" s="1831"/>
      <c r="G12" s="1831"/>
      <c r="H12" s="1831"/>
      <c r="I12" s="1831"/>
      <c r="J12" s="1831"/>
      <c r="K12" s="1831"/>
      <c r="L12" s="1831"/>
      <c r="M12" s="1831"/>
      <c r="N12" s="1831"/>
      <c r="O12" s="1831"/>
      <c r="P12" s="1831"/>
      <c r="Q12" s="1831"/>
      <c r="R12" s="1831"/>
      <c r="S12" s="1831"/>
      <c r="T12" s="1831"/>
      <c r="U12" s="1831"/>
      <c r="V12" s="1831"/>
      <c r="W12" s="1831"/>
      <c r="X12" s="1831"/>
      <c r="Y12" s="1831"/>
      <c r="Z12" s="1831"/>
      <c r="AA12" s="1831"/>
      <c r="AB12" s="1831"/>
      <c r="AC12" s="1831"/>
      <c r="AD12" s="1831"/>
      <c r="AE12" s="1831"/>
      <c r="AF12" s="1831"/>
      <c r="AG12" s="1831"/>
      <c r="AH12" s="1831"/>
      <c r="AI12" s="1831"/>
      <c r="AJ12" s="1831"/>
      <c r="AK12" s="1831"/>
      <c r="AL12" s="1831"/>
      <c r="AM12" s="1831"/>
      <c r="AN12" s="1831"/>
      <c r="AO12" s="1831"/>
      <c r="AP12" s="1831"/>
      <c r="AQ12" s="1831"/>
      <c r="AR12" s="1831"/>
      <c r="AS12" s="1831"/>
      <c r="AT12" s="1831"/>
      <c r="AU12" s="1831"/>
      <c r="AV12" s="1831"/>
      <c r="AW12" s="1831"/>
      <c r="AX12" s="1831"/>
      <c r="AY12" s="1831"/>
      <c r="AZ12" s="1831"/>
      <c r="BA12" s="1831"/>
      <c r="BB12" s="1831"/>
      <c r="BC12" s="1831"/>
      <c r="BD12" s="1831"/>
      <c r="BE12" s="1831"/>
      <c r="BF12" s="1831"/>
      <c r="BG12" s="1831"/>
      <c r="BH12" s="1831"/>
      <c r="BI12" s="1831"/>
      <c r="BJ12" s="1831"/>
      <c r="BK12" s="1831"/>
      <c r="BL12" s="1831"/>
      <c r="BM12" s="1831"/>
      <c r="BN12" s="1831"/>
      <c r="BO12" s="1831"/>
      <c r="BP12" s="1831"/>
      <c r="BQ12" s="1831"/>
      <c r="BR12" s="1831"/>
      <c r="BS12" s="1831"/>
      <c r="BT12" s="1832"/>
    </row>
    <row r="13" spans="2:1037" s="71" customFormat="1" ht="15" customHeight="1" x14ac:dyDescent="0.2">
      <c r="B13" s="1830"/>
      <c r="C13" s="1831"/>
      <c r="D13" s="1831"/>
      <c r="E13" s="1831"/>
      <c r="F13" s="1831"/>
      <c r="G13" s="1831"/>
      <c r="H13" s="1831"/>
      <c r="I13" s="1831"/>
      <c r="J13" s="1831"/>
      <c r="K13" s="1831"/>
      <c r="L13" s="1831"/>
      <c r="M13" s="1831"/>
      <c r="N13" s="1831"/>
      <c r="O13" s="1831"/>
      <c r="P13" s="1831"/>
      <c r="Q13" s="1831"/>
      <c r="R13" s="1831"/>
      <c r="S13" s="1831"/>
      <c r="T13" s="1831"/>
      <c r="U13" s="1831"/>
      <c r="V13" s="1831"/>
      <c r="W13" s="1831"/>
      <c r="X13" s="1831"/>
      <c r="Y13" s="1831"/>
      <c r="Z13" s="1831"/>
      <c r="AA13" s="1831"/>
      <c r="AB13" s="1831"/>
      <c r="AC13" s="1831"/>
      <c r="AD13" s="1831"/>
      <c r="AE13" s="1831"/>
      <c r="AF13" s="1831"/>
      <c r="AG13" s="1831"/>
      <c r="AH13" s="1831"/>
      <c r="AI13" s="1831"/>
      <c r="AJ13" s="1831"/>
      <c r="AK13" s="1831"/>
      <c r="AL13" s="1831"/>
      <c r="AM13" s="1831"/>
      <c r="AN13" s="1831"/>
      <c r="AO13" s="1831"/>
      <c r="AP13" s="1831"/>
      <c r="AQ13" s="1831"/>
      <c r="AR13" s="1831"/>
      <c r="AS13" s="1831"/>
      <c r="AT13" s="1831"/>
      <c r="AU13" s="1831"/>
      <c r="AV13" s="1831"/>
      <c r="AW13" s="1831"/>
      <c r="AX13" s="1831"/>
      <c r="AY13" s="1831"/>
      <c r="AZ13" s="1831"/>
      <c r="BA13" s="1831"/>
      <c r="BB13" s="1831"/>
      <c r="BC13" s="1831"/>
      <c r="BD13" s="1831"/>
      <c r="BE13" s="1831"/>
      <c r="BF13" s="1831"/>
      <c r="BG13" s="1831"/>
      <c r="BH13" s="1831"/>
      <c r="BI13" s="1831"/>
      <c r="BJ13" s="1831"/>
      <c r="BK13" s="1831"/>
      <c r="BL13" s="1831"/>
      <c r="BM13" s="1831"/>
      <c r="BN13" s="1831"/>
      <c r="BO13" s="1831"/>
      <c r="BP13" s="1831"/>
      <c r="BQ13" s="1831"/>
      <c r="BR13" s="1831"/>
      <c r="BS13" s="1831"/>
      <c r="BT13" s="1832"/>
    </row>
    <row r="14" spans="2:1037" s="71" customFormat="1" ht="15" customHeight="1" x14ac:dyDescent="0.2">
      <c r="B14" s="1830"/>
      <c r="C14" s="1831"/>
      <c r="D14" s="1831"/>
      <c r="E14" s="1831"/>
      <c r="F14" s="1831"/>
      <c r="G14" s="1831"/>
      <c r="H14" s="1831"/>
      <c r="I14" s="1831"/>
      <c r="J14" s="1831"/>
      <c r="K14" s="1831"/>
      <c r="L14" s="1831"/>
      <c r="M14" s="1831"/>
      <c r="N14" s="1831"/>
      <c r="O14" s="1831"/>
      <c r="P14" s="1831"/>
      <c r="Q14" s="1831"/>
      <c r="R14" s="1831"/>
      <c r="S14" s="1831"/>
      <c r="T14" s="1831"/>
      <c r="U14" s="1831"/>
      <c r="V14" s="1831"/>
      <c r="W14" s="1831"/>
      <c r="X14" s="1831"/>
      <c r="Y14" s="1831"/>
      <c r="Z14" s="1831"/>
      <c r="AA14" s="1831"/>
      <c r="AB14" s="1831"/>
      <c r="AC14" s="1831"/>
      <c r="AD14" s="1831"/>
      <c r="AE14" s="1831"/>
      <c r="AF14" s="1831"/>
      <c r="AG14" s="1831"/>
      <c r="AH14" s="1831"/>
      <c r="AI14" s="1831"/>
      <c r="AJ14" s="1831"/>
      <c r="AK14" s="1831"/>
      <c r="AL14" s="1831"/>
      <c r="AM14" s="1831"/>
      <c r="AN14" s="1831"/>
      <c r="AO14" s="1831"/>
      <c r="AP14" s="1831"/>
      <c r="AQ14" s="1831"/>
      <c r="AR14" s="1831"/>
      <c r="AS14" s="1831"/>
      <c r="AT14" s="1831"/>
      <c r="AU14" s="1831"/>
      <c r="AV14" s="1831"/>
      <c r="AW14" s="1831"/>
      <c r="AX14" s="1831"/>
      <c r="AY14" s="1831"/>
      <c r="AZ14" s="1831"/>
      <c r="BA14" s="1831"/>
      <c r="BB14" s="1831"/>
      <c r="BC14" s="1831"/>
      <c r="BD14" s="1831"/>
      <c r="BE14" s="1831"/>
      <c r="BF14" s="1831"/>
      <c r="BG14" s="1831"/>
      <c r="BH14" s="1831"/>
      <c r="BI14" s="1831"/>
      <c r="BJ14" s="1831"/>
      <c r="BK14" s="1831"/>
      <c r="BL14" s="1831"/>
      <c r="BM14" s="1831"/>
      <c r="BN14" s="1831"/>
      <c r="BO14" s="1831"/>
      <c r="BP14" s="1831"/>
      <c r="BQ14" s="1831"/>
      <c r="BR14" s="1831"/>
      <c r="BS14" s="1831"/>
      <c r="BT14" s="1832"/>
    </row>
    <row r="15" spans="2:1037" s="71" customFormat="1" ht="15" customHeight="1" x14ac:dyDescent="0.2">
      <c r="B15" s="1830"/>
      <c r="C15" s="1831"/>
      <c r="D15" s="1831"/>
      <c r="E15" s="1831"/>
      <c r="F15" s="1831"/>
      <c r="G15" s="1831"/>
      <c r="H15" s="1831"/>
      <c r="I15" s="1831"/>
      <c r="J15" s="1831"/>
      <c r="K15" s="1831"/>
      <c r="L15" s="1831"/>
      <c r="M15" s="1831"/>
      <c r="N15" s="1831"/>
      <c r="O15" s="1831"/>
      <c r="P15" s="1831"/>
      <c r="Q15" s="1831"/>
      <c r="R15" s="1831"/>
      <c r="S15" s="1831"/>
      <c r="T15" s="1831"/>
      <c r="U15" s="1831"/>
      <c r="V15" s="1831"/>
      <c r="W15" s="1831"/>
      <c r="X15" s="1831"/>
      <c r="Y15" s="1831"/>
      <c r="Z15" s="1831"/>
      <c r="AA15" s="1831"/>
      <c r="AB15" s="1831"/>
      <c r="AC15" s="1831"/>
      <c r="AD15" s="1831"/>
      <c r="AE15" s="1831"/>
      <c r="AF15" s="1831"/>
      <c r="AG15" s="1831"/>
      <c r="AH15" s="1831"/>
      <c r="AI15" s="1831"/>
      <c r="AJ15" s="1831"/>
      <c r="AK15" s="1831"/>
      <c r="AL15" s="1831"/>
      <c r="AM15" s="1831"/>
      <c r="AN15" s="1831"/>
      <c r="AO15" s="1831"/>
      <c r="AP15" s="1831"/>
      <c r="AQ15" s="1831"/>
      <c r="AR15" s="1831"/>
      <c r="AS15" s="1831"/>
      <c r="AT15" s="1831"/>
      <c r="AU15" s="1831"/>
      <c r="AV15" s="1831"/>
      <c r="AW15" s="1831"/>
      <c r="AX15" s="1831"/>
      <c r="AY15" s="1831"/>
      <c r="AZ15" s="1831"/>
      <c r="BA15" s="1831"/>
      <c r="BB15" s="1831"/>
      <c r="BC15" s="1831"/>
      <c r="BD15" s="1831"/>
      <c r="BE15" s="1831"/>
      <c r="BF15" s="1831"/>
      <c r="BG15" s="1831"/>
      <c r="BH15" s="1831"/>
      <c r="BI15" s="1831"/>
      <c r="BJ15" s="1831"/>
      <c r="BK15" s="1831"/>
      <c r="BL15" s="1831"/>
      <c r="BM15" s="1831"/>
      <c r="BN15" s="1831"/>
      <c r="BO15" s="1831"/>
      <c r="BP15" s="1831"/>
      <c r="BQ15" s="1831"/>
      <c r="BR15" s="1831"/>
      <c r="BS15" s="1831"/>
      <c r="BT15" s="1832"/>
    </row>
    <row r="16" spans="2:1037" s="71" customFormat="1" ht="15" customHeight="1" x14ac:dyDescent="0.2">
      <c r="B16" s="1830"/>
      <c r="C16" s="1831"/>
      <c r="D16" s="1831"/>
      <c r="E16" s="1831"/>
      <c r="F16" s="1831"/>
      <c r="G16" s="1831"/>
      <c r="H16" s="1831"/>
      <c r="I16" s="1831"/>
      <c r="J16" s="1831"/>
      <c r="K16" s="1831"/>
      <c r="L16" s="1831"/>
      <c r="M16" s="1831"/>
      <c r="N16" s="1831"/>
      <c r="O16" s="1831"/>
      <c r="P16" s="1831"/>
      <c r="Q16" s="1831"/>
      <c r="R16" s="1831"/>
      <c r="S16" s="1831"/>
      <c r="T16" s="1831"/>
      <c r="U16" s="1831"/>
      <c r="V16" s="1831"/>
      <c r="W16" s="1831"/>
      <c r="X16" s="1831"/>
      <c r="Y16" s="1831"/>
      <c r="Z16" s="1831"/>
      <c r="AA16" s="1831"/>
      <c r="AB16" s="1831"/>
      <c r="AC16" s="1831"/>
      <c r="AD16" s="1831"/>
      <c r="AE16" s="1831"/>
      <c r="AF16" s="1831"/>
      <c r="AG16" s="1831"/>
      <c r="AH16" s="1831"/>
      <c r="AI16" s="1831"/>
      <c r="AJ16" s="1831"/>
      <c r="AK16" s="1831"/>
      <c r="AL16" s="1831"/>
      <c r="AM16" s="1831"/>
      <c r="AN16" s="1831"/>
      <c r="AO16" s="1831"/>
      <c r="AP16" s="1831"/>
      <c r="AQ16" s="1831"/>
      <c r="AR16" s="1831"/>
      <c r="AS16" s="1831"/>
      <c r="AT16" s="1831"/>
      <c r="AU16" s="1831"/>
      <c r="AV16" s="1831"/>
      <c r="AW16" s="1831"/>
      <c r="AX16" s="1831"/>
      <c r="AY16" s="1831"/>
      <c r="AZ16" s="1831"/>
      <c r="BA16" s="1831"/>
      <c r="BB16" s="1831"/>
      <c r="BC16" s="1831"/>
      <c r="BD16" s="1831"/>
      <c r="BE16" s="1831"/>
      <c r="BF16" s="1831"/>
      <c r="BG16" s="1831"/>
      <c r="BH16" s="1831"/>
      <c r="BI16" s="1831"/>
      <c r="BJ16" s="1831"/>
      <c r="BK16" s="1831"/>
      <c r="BL16" s="1831"/>
      <c r="BM16" s="1831"/>
      <c r="BN16" s="1831"/>
      <c r="BO16" s="1831"/>
      <c r="BP16" s="1831"/>
      <c r="BQ16" s="1831"/>
      <c r="BR16" s="1831"/>
      <c r="BS16" s="1831"/>
      <c r="BT16" s="1832"/>
    </row>
    <row r="17" spans="2:72" s="71" customFormat="1" ht="15" customHeight="1" x14ac:dyDescent="0.2">
      <c r="B17" s="1830"/>
      <c r="C17" s="1831"/>
      <c r="D17" s="1831"/>
      <c r="E17" s="1831"/>
      <c r="F17" s="1831"/>
      <c r="G17" s="1831"/>
      <c r="H17" s="1831"/>
      <c r="I17" s="1831"/>
      <c r="J17" s="1831"/>
      <c r="K17" s="1831"/>
      <c r="L17" s="1831"/>
      <c r="M17" s="1831"/>
      <c r="N17" s="1831"/>
      <c r="O17" s="1831"/>
      <c r="P17" s="1831"/>
      <c r="Q17" s="1831"/>
      <c r="R17" s="1831"/>
      <c r="S17" s="1831"/>
      <c r="T17" s="1831"/>
      <c r="U17" s="1831"/>
      <c r="V17" s="1831"/>
      <c r="W17" s="1831"/>
      <c r="X17" s="1831"/>
      <c r="Y17" s="1831"/>
      <c r="Z17" s="1831"/>
      <c r="AA17" s="1831"/>
      <c r="AB17" s="1831"/>
      <c r="AC17" s="1831"/>
      <c r="AD17" s="1831"/>
      <c r="AE17" s="1831"/>
      <c r="AF17" s="1831"/>
      <c r="AG17" s="1831"/>
      <c r="AH17" s="1831"/>
      <c r="AI17" s="1831"/>
      <c r="AJ17" s="1831"/>
      <c r="AK17" s="1831"/>
      <c r="AL17" s="1831"/>
      <c r="AM17" s="1831"/>
      <c r="AN17" s="1831"/>
      <c r="AO17" s="1831"/>
      <c r="AP17" s="1831"/>
      <c r="AQ17" s="1831"/>
      <c r="AR17" s="1831"/>
      <c r="AS17" s="1831"/>
      <c r="AT17" s="1831"/>
      <c r="AU17" s="1831"/>
      <c r="AV17" s="1831"/>
      <c r="AW17" s="1831"/>
      <c r="AX17" s="1831"/>
      <c r="AY17" s="1831"/>
      <c r="AZ17" s="1831"/>
      <c r="BA17" s="1831"/>
      <c r="BB17" s="1831"/>
      <c r="BC17" s="1831"/>
      <c r="BD17" s="1831"/>
      <c r="BE17" s="1831"/>
      <c r="BF17" s="1831"/>
      <c r="BG17" s="1831"/>
      <c r="BH17" s="1831"/>
      <c r="BI17" s="1831"/>
      <c r="BJ17" s="1831"/>
      <c r="BK17" s="1831"/>
      <c r="BL17" s="1831"/>
      <c r="BM17" s="1831"/>
      <c r="BN17" s="1831"/>
      <c r="BO17" s="1831"/>
      <c r="BP17" s="1831"/>
      <c r="BQ17" s="1831"/>
      <c r="BR17" s="1831"/>
      <c r="BS17" s="1831"/>
      <c r="BT17" s="1832"/>
    </row>
    <row r="18" spans="2:72" s="71" customFormat="1" ht="15" customHeight="1" x14ac:dyDescent="0.2">
      <c r="B18" s="1830"/>
      <c r="C18" s="1831"/>
      <c r="D18" s="1831"/>
      <c r="E18" s="1831"/>
      <c r="F18" s="1831"/>
      <c r="G18" s="1831"/>
      <c r="H18" s="1831"/>
      <c r="I18" s="1831"/>
      <c r="J18" s="1831"/>
      <c r="K18" s="1831"/>
      <c r="L18" s="1831"/>
      <c r="M18" s="1831"/>
      <c r="N18" s="1831"/>
      <c r="O18" s="1831"/>
      <c r="P18" s="1831"/>
      <c r="Q18" s="1831"/>
      <c r="R18" s="1831"/>
      <c r="S18" s="1831"/>
      <c r="T18" s="1831"/>
      <c r="U18" s="1831"/>
      <c r="V18" s="1831"/>
      <c r="W18" s="1831"/>
      <c r="X18" s="1831"/>
      <c r="Y18" s="1831"/>
      <c r="Z18" s="1831"/>
      <c r="AA18" s="1831"/>
      <c r="AB18" s="1831"/>
      <c r="AC18" s="1831"/>
      <c r="AD18" s="1831"/>
      <c r="AE18" s="1831"/>
      <c r="AF18" s="1831"/>
      <c r="AG18" s="1831"/>
      <c r="AH18" s="1831"/>
      <c r="AI18" s="1831"/>
      <c r="AJ18" s="1831"/>
      <c r="AK18" s="1831"/>
      <c r="AL18" s="1831"/>
      <c r="AM18" s="1831"/>
      <c r="AN18" s="1831"/>
      <c r="AO18" s="1831"/>
      <c r="AP18" s="1831"/>
      <c r="AQ18" s="1831"/>
      <c r="AR18" s="1831"/>
      <c r="AS18" s="1831"/>
      <c r="AT18" s="1831"/>
      <c r="AU18" s="1831"/>
      <c r="AV18" s="1831"/>
      <c r="AW18" s="1831"/>
      <c r="AX18" s="1831"/>
      <c r="AY18" s="1831"/>
      <c r="AZ18" s="1831"/>
      <c r="BA18" s="1831"/>
      <c r="BB18" s="1831"/>
      <c r="BC18" s="1831"/>
      <c r="BD18" s="1831"/>
      <c r="BE18" s="1831"/>
      <c r="BF18" s="1831"/>
      <c r="BG18" s="1831"/>
      <c r="BH18" s="1831"/>
      <c r="BI18" s="1831"/>
      <c r="BJ18" s="1831"/>
      <c r="BK18" s="1831"/>
      <c r="BL18" s="1831"/>
      <c r="BM18" s="1831"/>
      <c r="BN18" s="1831"/>
      <c r="BO18" s="1831"/>
      <c r="BP18" s="1831"/>
      <c r="BQ18" s="1831"/>
      <c r="BR18" s="1831"/>
      <c r="BS18" s="1831"/>
      <c r="BT18" s="1832"/>
    </row>
    <row r="19" spans="2:72" s="71" customFormat="1" ht="15" customHeight="1" x14ac:dyDescent="0.2">
      <c r="B19" s="1830"/>
      <c r="C19" s="1831"/>
      <c r="D19" s="1831"/>
      <c r="E19" s="1831"/>
      <c r="F19" s="1831"/>
      <c r="G19" s="1831"/>
      <c r="H19" s="1831"/>
      <c r="I19" s="1831"/>
      <c r="J19" s="1831"/>
      <c r="K19" s="1831"/>
      <c r="L19" s="1831"/>
      <c r="M19" s="1831"/>
      <c r="N19" s="1831"/>
      <c r="O19" s="1831"/>
      <c r="P19" s="1831"/>
      <c r="Q19" s="1831"/>
      <c r="R19" s="1831"/>
      <c r="S19" s="1831"/>
      <c r="T19" s="1831"/>
      <c r="U19" s="1831"/>
      <c r="V19" s="1831"/>
      <c r="W19" s="1831"/>
      <c r="X19" s="1831"/>
      <c r="Y19" s="1831"/>
      <c r="Z19" s="1831"/>
      <c r="AA19" s="1831"/>
      <c r="AB19" s="1831"/>
      <c r="AC19" s="1831"/>
      <c r="AD19" s="1831"/>
      <c r="AE19" s="1831"/>
      <c r="AF19" s="1831"/>
      <c r="AG19" s="1831"/>
      <c r="AH19" s="1831"/>
      <c r="AI19" s="1831"/>
      <c r="AJ19" s="1831"/>
      <c r="AK19" s="1831"/>
      <c r="AL19" s="1831"/>
      <c r="AM19" s="1831"/>
      <c r="AN19" s="1831"/>
      <c r="AO19" s="1831"/>
      <c r="AP19" s="1831"/>
      <c r="AQ19" s="1831"/>
      <c r="AR19" s="1831"/>
      <c r="AS19" s="1831"/>
      <c r="AT19" s="1831"/>
      <c r="AU19" s="1831"/>
      <c r="AV19" s="1831"/>
      <c r="AW19" s="1831"/>
      <c r="AX19" s="1831"/>
      <c r="AY19" s="1831"/>
      <c r="AZ19" s="1831"/>
      <c r="BA19" s="1831"/>
      <c r="BB19" s="1831"/>
      <c r="BC19" s="1831"/>
      <c r="BD19" s="1831"/>
      <c r="BE19" s="1831"/>
      <c r="BF19" s="1831"/>
      <c r="BG19" s="1831"/>
      <c r="BH19" s="1831"/>
      <c r="BI19" s="1831"/>
      <c r="BJ19" s="1831"/>
      <c r="BK19" s="1831"/>
      <c r="BL19" s="1831"/>
      <c r="BM19" s="1831"/>
      <c r="BN19" s="1831"/>
      <c r="BO19" s="1831"/>
      <c r="BP19" s="1831"/>
      <c r="BQ19" s="1831"/>
      <c r="BR19" s="1831"/>
      <c r="BS19" s="1831"/>
      <c r="BT19" s="1832"/>
    </row>
    <row r="20" spans="2:72" s="71" customFormat="1" ht="15" customHeight="1" x14ac:dyDescent="0.2">
      <c r="B20" s="1830"/>
      <c r="C20" s="1831"/>
      <c r="D20" s="1831"/>
      <c r="E20" s="1831"/>
      <c r="F20" s="1831"/>
      <c r="G20" s="1831"/>
      <c r="H20" s="1831"/>
      <c r="I20" s="1831"/>
      <c r="J20" s="1831"/>
      <c r="K20" s="1831"/>
      <c r="L20" s="1831"/>
      <c r="M20" s="1831"/>
      <c r="N20" s="1831"/>
      <c r="O20" s="1831"/>
      <c r="P20" s="1831"/>
      <c r="Q20" s="1831"/>
      <c r="R20" s="1831"/>
      <c r="S20" s="1831"/>
      <c r="T20" s="1831"/>
      <c r="U20" s="1831"/>
      <c r="V20" s="1831"/>
      <c r="W20" s="1831"/>
      <c r="X20" s="1831"/>
      <c r="Y20" s="1831"/>
      <c r="Z20" s="1831"/>
      <c r="AA20" s="1831"/>
      <c r="AB20" s="1831"/>
      <c r="AC20" s="1831"/>
      <c r="AD20" s="1831"/>
      <c r="AE20" s="1831"/>
      <c r="AF20" s="1831"/>
      <c r="AG20" s="1831"/>
      <c r="AH20" s="1831"/>
      <c r="AI20" s="1831"/>
      <c r="AJ20" s="1831"/>
      <c r="AK20" s="1831"/>
      <c r="AL20" s="1831"/>
      <c r="AM20" s="1831"/>
      <c r="AN20" s="1831"/>
      <c r="AO20" s="1831"/>
      <c r="AP20" s="1831"/>
      <c r="AQ20" s="1831"/>
      <c r="AR20" s="1831"/>
      <c r="AS20" s="1831"/>
      <c r="AT20" s="1831"/>
      <c r="AU20" s="1831"/>
      <c r="AV20" s="1831"/>
      <c r="AW20" s="1831"/>
      <c r="AX20" s="1831"/>
      <c r="AY20" s="1831"/>
      <c r="AZ20" s="1831"/>
      <c r="BA20" s="1831"/>
      <c r="BB20" s="1831"/>
      <c r="BC20" s="1831"/>
      <c r="BD20" s="1831"/>
      <c r="BE20" s="1831"/>
      <c r="BF20" s="1831"/>
      <c r="BG20" s="1831"/>
      <c r="BH20" s="1831"/>
      <c r="BI20" s="1831"/>
      <c r="BJ20" s="1831"/>
      <c r="BK20" s="1831"/>
      <c r="BL20" s="1831"/>
      <c r="BM20" s="1831"/>
      <c r="BN20" s="1831"/>
      <c r="BO20" s="1831"/>
      <c r="BP20" s="1831"/>
      <c r="BQ20" s="1831"/>
      <c r="BR20" s="1831"/>
      <c r="BS20" s="1831"/>
      <c r="BT20" s="1832"/>
    </row>
    <row r="21" spans="2:72" s="71" customFormat="1" ht="15" customHeight="1" x14ac:dyDescent="0.2">
      <c r="B21" s="1830"/>
      <c r="C21" s="1831"/>
      <c r="D21" s="1831"/>
      <c r="E21" s="1831"/>
      <c r="F21" s="1831"/>
      <c r="G21" s="1831"/>
      <c r="H21" s="1831"/>
      <c r="I21" s="1831"/>
      <c r="J21" s="1831"/>
      <c r="K21" s="1831"/>
      <c r="L21" s="1831"/>
      <c r="M21" s="1831"/>
      <c r="N21" s="1831"/>
      <c r="O21" s="1831"/>
      <c r="P21" s="1831"/>
      <c r="Q21" s="1831"/>
      <c r="R21" s="1831"/>
      <c r="S21" s="1831"/>
      <c r="T21" s="1831"/>
      <c r="U21" s="1831"/>
      <c r="V21" s="1831"/>
      <c r="W21" s="1831"/>
      <c r="X21" s="1831"/>
      <c r="Y21" s="1831"/>
      <c r="Z21" s="1831"/>
      <c r="AA21" s="1831"/>
      <c r="AB21" s="1831"/>
      <c r="AC21" s="1831"/>
      <c r="AD21" s="1831"/>
      <c r="AE21" s="1831"/>
      <c r="AF21" s="1831"/>
      <c r="AG21" s="1831"/>
      <c r="AH21" s="1831"/>
      <c r="AI21" s="1831"/>
      <c r="AJ21" s="1831"/>
      <c r="AK21" s="1831"/>
      <c r="AL21" s="1831"/>
      <c r="AM21" s="1831"/>
      <c r="AN21" s="1831"/>
      <c r="AO21" s="1831"/>
      <c r="AP21" s="1831"/>
      <c r="AQ21" s="1831"/>
      <c r="AR21" s="1831"/>
      <c r="AS21" s="1831"/>
      <c r="AT21" s="1831"/>
      <c r="AU21" s="1831"/>
      <c r="AV21" s="1831"/>
      <c r="AW21" s="1831"/>
      <c r="AX21" s="1831"/>
      <c r="AY21" s="1831"/>
      <c r="AZ21" s="1831"/>
      <c r="BA21" s="1831"/>
      <c r="BB21" s="1831"/>
      <c r="BC21" s="1831"/>
      <c r="BD21" s="1831"/>
      <c r="BE21" s="1831"/>
      <c r="BF21" s="1831"/>
      <c r="BG21" s="1831"/>
      <c r="BH21" s="1831"/>
      <c r="BI21" s="1831"/>
      <c r="BJ21" s="1831"/>
      <c r="BK21" s="1831"/>
      <c r="BL21" s="1831"/>
      <c r="BM21" s="1831"/>
      <c r="BN21" s="1831"/>
      <c r="BO21" s="1831"/>
      <c r="BP21" s="1831"/>
      <c r="BQ21" s="1831"/>
      <c r="BR21" s="1831"/>
      <c r="BS21" s="1831"/>
      <c r="BT21" s="1832"/>
    </row>
    <row r="22" spans="2:72" s="71" customFormat="1" ht="15" customHeight="1" x14ac:dyDescent="0.2">
      <c r="B22" s="1830"/>
      <c r="C22" s="1831"/>
      <c r="D22" s="1831"/>
      <c r="E22" s="1831"/>
      <c r="F22" s="1831"/>
      <c r="G22" s="1831"/>
      <c r="H22" s="1831"/>
      <c r="I22" s="1831"/>
      <c r="J22" s="1831"/>
      <c r="K22" s="1831"/>
      <c r="L22" s="1831"/>
      <c r="M22" s="1831"/>
      <c r="N22" s="1831"/>
      <c r="O22" s="1831"/>
      <c r="P22" s="1831"/>
      <c r="Q22" s="1831"/>
      <c r="R22" s="1831"/>
      <c r="S22" s="1831"/>
      <c r="T22" s="1831"/>
      <c r="U22" s="1831"/>
      <c r="V22" s="1831"/>
      <c r="W22" s="1831"/>
      <c r="X22" s="1831"/>
      <c r="Y22" s="1831"/>
      <c r="Z22" s="1831"/>
      <c r="AA22" s="1831"/>
      <c r="AB22" s="1831"/>
      <c r="AC22" s="1831"/>
      <c r="AD22" s="1831"/>
      <c r="AE22" s="1831"/>
      <c r="AF22" s="1831"/>
      <c r="AG22" s="1831"/>
      <c r="AH22" s="1831"/>
      <c r="AI22" s="1831"/>
      <c r="AJ22" s="1831"/>
      <c r="AK22" s="1831"/>
      <c r="AL22" s="1831"/>
      <c r="AM22" s="1831"/>
      <c r="AN22" s="1831"/>
      <c r="AO22" s="1831"/>
      <c r="AP22" s="1831"/>
      <c r="AQ22" s="1831"/>
      <c r="AR22" s="1831"/>
      <c r="AS22" s="1831"/>
      <c r="AT22" s="1831"/>
      <c r="AU22" s="1831"/>
      <c r="AV22" s="1831"/>
      <c r="AW22" s="1831"/>
      <c r="AX22" s="1831"/>
      <c r="AY22" s="1831"/>
      <c r="AZ22" s="1831"/>
      <c r="BA22" s="1831"/>
      <c r="BB22" s="1831"/>
      <c r="BC22" s="1831"/>
      <c r="BD22" s="1831"/>
      <c r="BE22" s="1831"/>
      <c r="BF22" s="1831"/>
      <c r="BG22" s="1831"/>
      <c r="BH22" s="1831"/>
      <c r="BI22" s="1831"/>
      <c r="BJ22" s="1831"/>
      <c r="BK22" s="1831"/>
      <c r="BL22" s="1831"/>
      <c r="BM22" s="1831"/>
      <c r="BN22" s="1831"/>
      <c r="BO22" s="1831"/>
      <c r="BP22" s="1831"/>
      <c r="BQ22" s="1831"/>
      <c r="BR22" s="1831"/>
      <c r="BS22" s="1831"/>
      <c r="BT22" s="1832"/>
    </row>
    <row r="23" spans="2:72" s="71" customFormat="1" ht="15" customHeight="1" x14ac:dyDescent="0.2">
      <c r="B23" s="1830"/>
      <c r="C23" s="1831"/>
      <c r="D23" s="1831"/>
      <c r="E23" s="1831"/>
      <c r="F23" s="1831"/>
      <c r="G23" s="1831"/>
      <c r="H23" s="1831"/>
      <c r="I23" s="1831"/>
      <c r="J23" s="1831"/>
      <c r="K23" s="1831"/>
      <c r="L23" s="1831"/>
      <c r="M23" s="1831"/>
      <c r="N23" s="1831"/>
      <c r="O23" s="1831"/>
      <c r="P23" s="1831"/>
      <c r="Q23" s="1831"/>
      <c r="R23" s="1831"/>
      <c r="S23" s="1831"/>
      <c r="T23" s="1831"/>
      <c r="U23" s="1831"/>
      <c r="V23" s="1831"/>
      <c r="W23" s="1831"/>
      <c r="X23" s="1831"/>
      <c r="Y23" s="1831"/>
      <c r="Z23" s="1831"/>
      <c r="AA23" s="1831"/>
      <c r="AB23" s="1831"/>
      <c r="AC23" s="1831"/>
      <c r="AD23" s="1831"/>
      <c r="AE23" s="1831"/>
      <c r="AF23" s="1831"/>
      <c r="AG23" s="1831"/>
      <c r="AH23" s="1831"/>
      <c r="AI23" s="1831"/>
      <c r="AJ23" s="1831"/>
      <c r="AK23" s="1831"/>
      <c r="AL23" s="1831"/>
      <c r="AM23" s="1831"/>
      <c r="AN23" s="1831"/>
      <c r="AO23" s="1831"/>
      <c r="AP23" s="1831"/>
      <c r="AQ23" s="1831"/>
      <c r="AR23" s="1831"/>
      <c r="AS23" s="1831"/>
      <c r="AT23" s="1831"/>
      <c r="AU23" s="1831"/>
      <c r="AV23" s="1831"/>
      <c r="AW23" s="1831"/>
      <c r="AX23" s="1831"/>
      <c r="AY23" s="1831"/>
      <c r="AZ23" s="1831"/>
      <c r="BA23" s="1831"/>
      <c r="BB23" s="1831"/>
      <c r="BC23" s="1831"/>
      <c r="BD23" s="1831"/>
      <c r="BE23" s="1831"/>
      <c r="BF23" s="1831"/>
      <c r="BG23" s="1831"/>
      <c r="BH23" s="1831"/>
      <c r="BI23" s="1831"/>
      <c r="BJ23" s="1831"/>
      <c r="BK23" s="1831"/>
      <c r="BL23" s="1831"/>
      <c r="BM23" s="1831"/>
      <c r="BN23" s="1831"/>
      <c r="BO23" s="1831"/>
      <c r="BP23" s="1831"/>
      <c r="BQ23" s="1831"/>
      <c r="BR23" s="1831"/>
      <c r="BS23" s="1831"/>
      <c r="BT23" s="1832"/>
    </row>
    <row r="24" spans="2:72" s="71" customFormat="1" ht="15" customHeight="1" x14ac:dyDescent="0.2">
      <c r="B24" s="1830"/>
      <c r="C24" s="1831"/>
      <c r="D24" s="1831"/>
      <c r="E24" s="1831"/>
      <c r="F24" s="1831"/>
      <c r="G24" s="1831"/>
      <c r="H24" s="1831"/>
      <c r="I24" s="1831"/>
      <c r="J24" s="1831"/>
      <c r="K24" s="1831"/>
      <c r="L24" s="1831"/>
      <c r="M24" s="1831"/>
      <c r="N24" s="1831"/>
      <c r="O24" s="1831"/>
      <c r="P24" s="1831"/>
      <c r="Q24" s="1831"/>
      <c r="R24" s="1831"/>
      <c r="S24" s="1831"/>
      <c r="T24" s="1831"/>
      <c r="U24" s="1831"/>
      <c r="V24" s="1831"/>
      <c r="W24" s="1831"/>
      <c r="X24" s="1831"/>
      <c r="Y24" s="1831"/>
      <c r="Z24" s="1831"/>
      <c r="AA24" s="1831"/>
      <c r="AB24" s="1831"/>
      <c r="AC24" s="1831"/>
      <c r="AD24" s="1831"/>
      <c r="AE24" s="1831"/>
      <c r="AF24" s="1831"/>
      <c r="AG24" s="1831"/>
      <c r="AH24" s="1831"/>
      <c r="AI24" s="1831"/>
      <c r="AJ24" s="1831"/>
      <c r="AK24" s="1831"/>
      <c r="AL24" s="1831"/>
      <c r="AM24" s="1831"/>
      <c r="AN24" s="1831"/>
      <c r="AO24" s="1831"/>
      <c r="AP24" s="1831"/>
      <c r="AQ24" s="1831"/>
      <c r="AR24" s="1831"/>
      <c r="AS24" s="1831"/>
      <c r="AT24" s="1831"/>
      <c r="AU24" s="1831"/>
      <c r="AV24" s="1831"/>
      <c r="AW24" s="1831"/>
      <c r="AX24" s="1831"/>
      <c r="AY24" s="1831"/>
      <c r="AZ24" s="1831"/>
      <c r="BA24" s="1831"/>
      <c r="BB24" s="1831"/>
      <c r="BC24" s="1831"/>
      <c r="BD24" s="1831"/>
      <c r="BE24" s="1831"/>
      <c r="BF24" s="1831"/>
      <c r="BG24" s="1831"/>
      <c r="BH24" s="1831"/>
      <c r="BI24" s="1831"/>
      <c r="BJ24" s="1831"/>
      <c r="BK24" s="1831"/>
      <c r="BL24" s="1831"/>
      <c r="BM24" s="1831"/>
      <c r="BN24" s="1831"/>
      <c r="BO24" s="1831"/>
      <c r="BP24" s="1831"/>
      <c r="BQ24" s="1831"/>
      <c r="BR24" s="1831"/>
      <c r="BS24" s="1831"/>
      <c r="BT24" s="1832"/>
    </row>
    <row r="25" spans="2:72" s="71" customFormat="1" ht="15" customHeight="1" x14ac:dyDescent="0.2">
      <c r="B25" s="1830"/>
      <c r="C25" s="1831"/>
      <c r="D25" s="1831"/>
      <c r="E25" s="1831"/>
      <c r="F25" s="1831"/>
      <c r="G25" s="1831"/>
      <c r="H25" s="1831"/>
      <c r="I25" s="1831"/>
      <c r="J25" s="1831"/>
      <c r="K25" s="1831"/>
      <c r="L25" s="1831"/>
      <c r="M25" s="1831"/>
      <c r="N25" s="1831"/>
      <c r="O25" s="1831"/>
      <c r="P25" s="1831"/>
      <c r="Q25" s="1831"/>
      <c r="R25" s="1831"/>
      <c r="S25" s="1831"/>
      <c r="T25" s="1831"/>
      <c r="U25" s="1831"/>
      <c r="V25" s="1831"/>
      <c r="W25" s="1831"/>
      <c r="X25" s="1831"/>
      <c r="Y25" s="1831"/>
      <c r="Z25" s="1831"/>
      <c r="AA25" s="1831"/>
      <c r="AB25" s="1831"/>
      <c r="AC25" s="1831"/>
      <c r="AD25" s="1831"/>
      <c r="AE25" s="1831"/>
      <c r="AF25" s="1831"/>
      <c r="AG25" s="1831"/>
      <c r="AH25" s="1831"/>
      <c r="AI25" s="1831"/>
      <c r="AJ25" s="1831"/>
      <c r="AK25" s="1831"/>
      <c r="AL25" s="1831"/>
      <c r="AM25" s="1831"/>
      <c r="AN25" s="1831"/>
      <c r="AO25" s="1831"/>
      <c r="AP25" s="1831"/>
      <c r="AQ25" s="1831"/>
      <c r="AR25" s="1831"/>
      <c r="AS25" s="1831"/>
      <c r="AT25" s="1831"/>
      <c r="AU25" s="1831"/>
      <c r="AV25" s="1831"/>
      <c r="AW25" s="1831"/>
      <c r="AX25" s="1831"/>
      <c r="AY25" s="1831"/>
      <c r="AZ25" s="1831"/>
      <c r="BA25" s="1831"/>
      <c r="BB25" s="1831"/>
      <c r="BC25" s="1831"/>
      <c r="BD25" s="1831"/>
      <c r="BE25" s="1831"/>
      <c r="BF25" s="1831"/>
      <c r="BG25" s="1831"/>
      <c r="BH25" s="1831"/>
      <c r="BI25" s="1831"/>
      <c r="BJ25" s="1831"/>
      <c r="BK25" s="1831"/>
      <c r="BL25" s="1831"/>
      <c r="BM25" s="1831"/>
      <c r="BN25" s="1831"/>
      <c r="BO25" s="1831"/>
      <c r="BP25" s="1831"/>
      <c r="BQ25" s="1831"/>
      <c r="BR25" s="1831"/>
      <c r="BS25" s="1831"/>
      <c r="BT25" s="1832"/>
    </row>
    <row r="26" spans="2:72" s="71" customFormat="1" ht="15" customHeight="1" x14ac:dyDescent="0.2">
      <c r="B26" s="1830"/>
      <c r="C26" s="1831"/>
      <c r="D26" s="1831"/>
      <c r="E26" s="1831"/>
      <c r="F26" s="1831"/>
      <c r="G26" s="1831"/>
      <c r="H26" s="1831"/>
      <c r="I26" s="1831"/>
      <c r="J26" s="1831"/>
      <c r="K26" s="1831"/>
      <c r="L26" s="1831"/>
      <c r="M26" s="1831"/>
      <c r="N26" s="1831"/>
      <c r="O26" s="1831"/>
      <c r="P26" s="1831"/>
      <c r="Q26" s="1831"/>
      <c r="R26" s="1831"/>
      <c r="S26" s="1831"/>
      <c r="T26" s="1831"/>
      <c r="U26" s="1831"/>
      <c r="V26" s="1831"/>
      <c r="W26" s="1831"/>
      <c r="X26" s="1831"/>
      <c r="Y26" s="1831"/>
      <c r="Z26" s="1831"/>
      <c r="AA26" s="1831"/>
      <c r="AB26" s="1831"/>
      <c r="AC26" s="1831"/>
      <c r="AD26" s="1831"/>
      <c r="AE26" s="1831"/>
      <c r="AF26" s="1831"/>
      <c r="AG26" s="1831"/>
      <c r="AH26" s="1831"/>
      <c r="AI26" s="1831"/>
      <c r="AJ26" s="1831"/>
      <c r="AK26" s="1831"/>
      <c r="AL26" s="1831"/>
      <c r="AM26" s="1831"/>
      <c r="AN26" s="1831"/>
      <c r="AO26" s="1831"/>
      <c r="AP26" s="1831"/>
      <c r="AQ26" s="1831"/>
      <c r="AR26" s="1831"/>
      <c r="AS26" s="1831"/>
      <c r="AT26" s="1831"/>
      <c r="AU26" s="1831"/>
      <c r="AV26" s="1831"/>
      <c r="AW26" s="1831"/>
      <c r="AX26" s="1831"/>
      <c r="AY26" s="1831"/>
      <c r="AZ26" s="1831"/>
      <c r="BA26" s="1831"/>
      <c r="BB26" s="1831"/>
      <c r="BC26" s="1831"/>
      <c r="BD26" s="1831"/>
      <c r="BE26" s="1831"/>
      <c r="BF26" s="1831"/>
      <c r="BG26" s="1831"/>
      <c r="BH26" s="1831"/>
      <c r="BI26" s="1831"/>
      <c r="BJ26" s="1831"/>
      <c r="BK26" s="1831"/>
      <c r="BL26" s="1831"/>
      <c r="BM26" s="1831"/>
      <c r="BN26" s="1831"/>
      <c r="BO26" s="1831"/>
      <c r="BP26" s="1831"/>
      <c r="BQ26" s="1831"/>
      <c r="BR26" s="1831"/>
      <c r="BS26" s="1831"/>
      <c r="BT26" s="1832"/>
    </row>
    <row r="27" spans="2:72" s="71" customFormat="1" ht="15" customHeight="1" x14ac:dyDescent="0.2">
      <c r="B27" s="1830"/>
      <c r="C27" s="1831"/>
      <c r="D27" s="1831"/>
      <c r="E27" s="1831"/>
      <c r="F27" s="1831"/>
      <c r="G27" s="1831"/>
      <c r="H27" s="1831"/>
      <c r="I27" s="1831"/>
      <c r="J27" s="1831"/>
      <c r="K27" s="1831"/>
      <c r="L27" s="1831"/>
      <c r="M27" s="1831"/>
      <c r="N27" s="1831"/>
      <c r="O27" s="1831"/>
      <c r="P27" s="1831"/>
      <c r="Q27" s="1831"/>
      <c r="R27" s="1831"/>
      <c r="S27" s="1831"/>
      <c r="T27" s="1831"/>
      <c r="U27" s="1831"/>
      <c r="V27" s="1831"/>
      <c r="W27" s="1831"/>
      <c r="X27" s="1831"/>
      <c r="Y27" s="1831"/>
      <c r="Z27" s="1831"/>
      <c r="AA27" s="1831"/>
      <c r="AB27" s="1831"/>
      <c r="AC27" s="1831"/>
      <c r="AD27" s="1831"/>
      <c r="AE27" s="1831"/>
      <c r="AF27" s="1831"/>
      <c r="AG27" s="1831"/>
      <c r="AH27" s="1831"/>
      <c r="AI27" s="1831"/>
      <c r="AJ27" s="1831"/>
      <c r="AK27" s="1831"/>
      <c r="AL27" s="1831"/>
      <c r="AM27" s="1831"/>
      <c r="AN27" s="1831"/>
      <c r="AO27" s="1831"/>
      <c r="AP27" s="1831"/>
      <c r="AQ27" s="1831"/>
      <c r="AR27" s="1831"/>
      <c r="AS27" s="1831"/>
      <c r="AT27" s="1831"/>
      <c r="AU27" s="1831"/>
      <c r="AV27" s="1831"/>
      <c r="AW27" s="1831"/>
      <c r="AX27" s="1831"/>
      <c r="AY27" s="1831"/>
      <c r="AZ27" s="1831"/>
      <c r="BA27" s="1831"/>
      <c r="BB27" s="1831"/>
      <c r="BC27" s="1831"/>
      <c r="BD27" s="1831"/>
      <c r="BE27" s="1831"/>
      <c r="BF27" s="1831"/>
      <c r="BG27" s="1831"/>
      <c r="BH27" s="1831"/>
      <c r="BI27" s="1831"/>
      <c r="BJ27" s="1831"/>
      <c r="BK27" s="1831"/>
      <c r="BL27" s="1831"/>
      <c r="BM27" s="1831"/>
      <c r="BN27" s="1831"/>
      <c r="BO27" s="1831"/>
      <c r="BP27" s="1831"/>
      <c r="BQ27" s="1831"/>
      <c r="BR27" s="1831"/>
      <c r="BS27" s="1831"/>
      <c r="BT27" s="1832"/>
    </row>
    <row r="28" spans="2:72" s="71" customFormat="1" ht="15" customHeight="1" x14ac:dyDescent="0.2">
      <c r="B28" s="1830"/>
      <c r="C28" s="1831"/>
      <c r="D28" s="1831"/>
      <c r="E28" s="1831"/>
      <c r="F28" s="1831"/>
      <c r="G28" s="1831"/>
      <c r="H28" s="1831"/>
      <c r="I28" s="1831"/>
      <c r="J28" s="1831"/>
      <c r="K28" s="1831"/>
      <c r="L28" s="1831"/>
      <c r="M28" s="1831"/>
      <c r="N28" s="1831"/>
      <c r="O28" s="1831"/>
      <c r="P28" s="1831"/>
      <c r="Q28" s="1831"/>
      <c r="R28" s="1831"/>
      <c r="S28" s="1831"/>
      <c r="T28" s="1831"/>
      <c r="U28" s="1831"/>
      <c r="V28" s="1831"/>
      <c r="W28" s="1831"/>
      <c r="X28" s="1831"/>
      <c r="Y28" s="1831"/>
      <c r="Z28" s="1831"/>
      <c r="AA28" s="1831"/>
      <c r="AB28" s="1831"/>
      <c r="AC28" s="1831"/>
      <c r="AD28" s="1831"/>
      <c r="AE28" s="1831"/>
      <c r="AF28" s="1831"/>
      <c r="AG28" s="1831"/>
      <c r="AH28" s="1831"/>
      <c r="AI28" s="1831"/>
      <c r="AJ28" s="1831"/>
      <c r="AK28" s="1831"/>
      <c r="AL28" s="1831"/>
      <c r="AM28" s="1831"/>
      <c r="AN28" s="1831"/>
      <c r="AO28" s="1831"/>
      <c r="AP28" s="1831"/>
      <c r="AQ28" s="1831"/>
      <c r="AR28" s="1831"/>
      <c r="AS28" s="1831"/>
      <c r="AT28" s="1831"/>
      <c r="AU28" s="1831"/>
      <c r="AV28" s="1831"/>
      <c r="AW28" s="1831"/>
      <c r="AX28" s="1831"/>
      <c r="AY28" s="1831"/>
      <c r="AZ28" s="1831"/>
      <c r="BA28" s="1831"/>
      <c r="BB28" s="1831"/>
      <c r="BC28" s="1831"/>
      <c r="BD28" s="1831"/>
      <c r="BE28" s="1831"/>
      <c r="BF28" s="1831"/>
      <c r="BG28" s="1831"/>
      <c r="BH28" s="1831"/>
      <c r="BI28" s="1831"/>
      <c r="BJ28" s="1831"/>
      <c r="BK28" s="1831"/>
      <c r="BL28" s="1831"/>
      <c r="BM28" s="1831"/>
      <c r="BN28" s="1831"/>
      <c r="BO28" s="1831"/>
      <c r="BP28" s="1831"/>
      <c r="BQ28" s="1831"/>
      <c r="BR28" s="1831"/>
      <c r="BS28" s="1831"/>
      <c r="BT28" s="1832"/>
    </row>
    <row r="29" spans="2:72" s="71" customFormat="1" ht="15" customHeight="1" thickBot="1" x14ac:dyDescent="0.25">
      <c r="B29" s="1833"/>
      <c r="C29" s="1834"/>
      <c r="D29" s="1834"/>
      <c r="E29" s="1834"/>
      <c r="F29" s="1834"/>
      <c r="G29" s="1834"/>
      <c r="H29" s="1834"/>
      <c r="I29" s="1834"/>
      <c r="J29" s="1834"/>
      <c r="K29" s="1834"/>
      <c r="L29" s="1834"/>
      <c r="M29" s="1834"/>
      <c r="N29" s="1834"/>
      <c r="O29" s="1834"/>
      <c r="P29" s="1834"/>
      <c r="Q29" s="1834"/>
      <c r="R29" s="1834"/>
      <c r="S29" s="1834"/>
      <c r="T29" s="1834"/>
      <c r="U29" s="1834"/>
      <c r="V29" s="1834"/>
      <c r="W29" s="1834"/>
      <c r="X29" s="1834"/>
      <c r="Y29" s="1834"/>
      <c r="Z29" s="1834"/>
      <c r="AA29" s="1834"/>
      <c r="AB29" s="1834"/>
      <c r="AC29" s="1834"/>
      <c r="AD29" s="1834"/>
      <c r="AE29" s="1834"/>
      <c r="AF29" s="1834"/>
      <c r="AG29" s="1834"/>
      <c r="AH29" s="1834"/>
      <c r="AI29" s="1834"/>
      <c r="AJ29" s="1834"/>
      <c r="AK29" s="1834"/>
      <c r="AL29" s="1834"/>
      <c r="AM29" s="1834"/>
      <c r="AN29" s="1834"/>
      <c r="AO29" s="1834"/>
      <c r="AP29" s="1834"/>
      <c r="AQ29" s="1834"/>
      <c r="AR29" s="1834"/>
      <c r="AS29" s="1834"/>
      <c r="AT29" s="1834"/>
      <c r="AU29" s="1834"/>
      <c r="AV29" s="1834"/>
      <c r="AW29" s="1834"/>
      <c r="AX29" s="1834"/>
      <c r="AY29" s="1834"/>
      <c r="AZ29" s="1834"/>
      <c r="BA29" s="1834"/>
      <c r="BB29" s="1834"/>
      <c r="BC29" s="1834"/>
      <c r="BD29" s="1834"/>
      <c r="BE29" s="1834"/>
      <c r="BF29" s="1834"/>
      <c r="BG29" s="1834"/>
      <c r="BH29" s="1834"/>
      <c r="BI29" s="1834"/>
      <c r="BJ29" s="1834"/>
      <c r="BK29" s="1834"/>
      <c r="BL29" s="1834"/>
      <c r="BM29" s="1834"/>
      <c r="BN29" s="1834"/>
      <c r="BO29" s="1834"/>
      <c r="BP29" s="1834"/>
      <c r="BQ29" s="1834"/>
      <c r="BR29" s="1834"/>
      <c r="BS29" s="1834"/>
      <c r="BT29" s="1835"/>
    </row>
    <row r="30" spans="2:72" s="71" customFormat="1" ht="15" customHeight="1" x14ac:dyDescent="0.2">
      <c r="B30" s="456"/>
      <c r="C30" s="526"/>
      <c r="D30" s="526"/>
      <c r="E30" s="526"/>
      <c r="F30" s="526"/>
      <c r="G30" s="526"/>
      <c r="H30" s="526"/>
      <c r="I30" s="526"/>
      <c r="J30" s="526"/>
      <c r="K30" s="526"/>
      <c r="L30" s="526"/>
      <c r="M30" s="526"/>
      <c r="N30" s="526"/>
      <c r="O30" s="526"/>
      <c r="P30" s="526"/>
      <c r="Q30" s="526"/>
      <c r="R30" s="526"/>
      <c r="S30" s="526"/>
      <c r="T30" s="526"/>
      <c r="U30" s="526"/>
      <c r="V30" s="526"/>
      <c r="W30" s="526"/>
      <c r="X30" s="526"/>
      <c r="Y30" s="526"/>
      <c r="Z30" s="526"/>
      <c r="AA30" s="526"/>
      <c r="AB30" s="526"/>
      <c r="AC30" s="526"/>
      <c r="AD30" s="526"/>
      <c r="AE30" s="526"/>
      <c r="AF30" s="526"/>
      <c r="AG30" s="526"/>
      <c r="AH30" s="526"/>
      <c r="AI30" s="526"/>
      <c r="AJ30" s="526"/>
      <c r="AK30" s="526"/>
      <c r="AL30" s="526"/>
      <c r="AM30" s="526"/>
      <c r="AN30" s="526"/>
      <c r="AO30" s="526"/>
      <c r="AP30" s="526"/>
      <c r="AQ30" s="526"/>
      <c r="AR30" s="526"/>
      <c r="AS30" s="526"/>
      <c r="AT30" s="526"/>
      <c r="AU30" s="526"/>
      <c r="AV30" s="526"/>
      <c r="AW30" s="526"/>
      <c r="AX30" s="526"/>
      <c r="AY30" s="526"/>
      <c r="AZ30" s="526"/>
      <c r="BA30" s="526"/>
      <c r="BB30" s="526"/>
      <c r="BC30" s="526"/>
      <c r="BD30" s="443"/>
      <c r="BE30" s="443"/>
      <c r="BF30" s="443"/>
      <c r="BG30" s="443"/>
      <c r="BH30" s="443"/>
      <c r="BI30" s="443"/>
      <c r="BJ30" s="443"/>
      <c r="BK30" s="443"/>
      <c r="BL30" s="443"/>
      <c r="BM30" s="443"/>
      <c r="BN30" s="443"/>
      <c r="BO30" s="443"/>
      <c r="BP30" s="443"/>
      <c r="BQ30" s="443"/>
      <c r="BR30" s="443"/>
      <c r="BS30" s="443"/>
      <c r="BT30" s="527"/>
    </row>
    <row r="31" spans="2:72" s="71" customFormat="1" ht="15" customHeight="1" x14ac:dyDescent="0.2">
      <c r="B31" s="453"/>
      <c r="C31" s="443"/>
      <c r="D31" s="457" t="s">
        <v>917</v>
      </c>
      <c r="E31" s="443"/>
      <c r="F31" s="443"/>
      <c r="G31" s="443"/>
      <c r="H31" s="443"/>
      <c r="I31" s="443"/>
      <c r="J31" s="443"/>
      <c r="K31" s="443"/>
      <c r="L31" s="443"/>
      <c r="M31" s="443"/>
      <c r="N31" s="443"/>
      <c r="O31" s="443"/>
      <c r="P31" s="443"/>
      <c r="Q31" s="443"/>
      <c r="R31" s="443"/>
      <c r="S31" s="443"/>
      <c r="T31" s="443"/>
      <c r="U31" s="443"/>
      <c r="V31" s="443"/>
      <c r="W31" s="443"/>
      <c r="X31" s="443"/>
      <c r="Y31" s="443"/>
      <c r="Z31" s="443"/>
      <c r="AA31" s="457" t="s">
        <v>917</v>
      </c>
      <c r="AB31" s="443"/>
      <c r="AC31" s="443"/>
      <c r="AD31" s="443"/>
      <c r="AE31" s="443"/>
      <c r="AF31" s="443"/>
      <c r="AG31" s="443"/>
      <c r="AH31" s="443"/>
      <c r="AI31" s="443"/>
      <c r="AJ31" s="443"/>
      <c r="AK31" s="443"/>
      <c r="AL31" s="526"/>
      <c r="AM31" s="526"/>
      <c r="AN31" s="526"/>
      <c r="AO31" s="526"/>
      <c r="AP31" s="526"/>
      <c r="AQ31" s="443"/>
      <c r="AR31" s="443"/>
      <c r="AS31" s="443"/>
      <c r="AT31" s="443"/>
      <c r="AU31" s="443"/>
      <c r="AV31" s="443"/>
      <c r="AW31" s="443"/>
      <c r="AX31" s="457" t="s">
        <v>917</v>
      </c>
      <c r="AY31" s="443"/>
      <c r="AZ31" s="443"/>
      <c r="BA31" s="443"/>
      <c r="BB31" s="443"/>
      <c r="BC31" s="457"/>
      <c r="BD31" s="443"/>
      <c r="BE31" s="443"/>
      <c r="BF31" s="443"/>
      <c r="BG31" s="443"/>
      <c r="BH31" s="443"/>
      <c r="BI31" s="443"/>
      <c r="BJ31" s="443"/>
      <c r="BK31" s="443"/>
      <c r="BL31" s="443"/>
      <c r="BM31" s="443"/>
      <c r="BN31" s="443"/>
      <c r="BO31" s="443"/>
      <c r="BP31" s="443"/>
      <c r="BQ31" s="443"/>
      <c r="BR31" s="443"/>
      <c r="BS31" s="443"/>
      <c r="BT31" s="447"/>
    </row>
    <row r="32" spans="2:72" s="71" customFormat="1" ht="15" customHeight="1" x14ac:dyDescent="0.2">
      <c r="B32" s="453"/>
      <c r="C32" s="443"/>
      <c r="D32" s="458"/>
      <c r="E32" s="459"/>
      <c r="F32" s="459"/>
      <c r="G32" s="459"/>
      <c r="H32" s="459"/>
      <c r="I32" s="459"/>
      <c r="J32" s="459"/>
      <c r="K32" s="459"/>
      <c r="L32" s="459"/>
      <c r="M32" s="459"/>
      <c r="N32" s="459"/>
      <c r="O32" s="459"/>
      <c r="P32" s="459"/>
      <c r="Q32" s="459"/>
      <c r="R32" s="459"/>
      <c r="S32" s="459"/>
      <c r="T32" s="460"/>
      <c r="U32" s="460"/>
      <c r="V32" s="460"/>
      <c r="W32" s="461"/>
      <c r="X32" s="443"/>
      <c r="Y32" s="443"/>
      <c r="Z32" s="443"/>
      <c r="AA32" s="458"/>
      <c r="AB32" s="459"/>
      <c r="AC32" s="459"/>
      <c r="AD32" s="459"/>
      <c r="AE32" s="459"/>
      <c r="AF32" s="459"/>
      <c r="AG32" s="459"/>
      <c r="AH32" s="459"/>
      <c r="AI32" s="459"/>
      <c r="AJ32" s="459"/>
      <c r="AK32" s="459"/>
      <c r="AL32" s="459"/>
      <c r="AM32" s="459"/>
      <c r="AN32" s="459"/>
      <c r="AO32" s="459"/>
      <c r="AP32" s="459"/>
      <c r="AQ32" s="460"/>
      <c r="AR32" s="460"/>
      <c r="AS32" s="460"/>
      <c r="AT32" s="461"/>
      <c r="AU32" s="443"/>
      <c r="AV32" s="443"/>
      <c r="AW32" s="443"/>
      <c r="AX32" s="458"/>
      <c r="AY32" s="459"/>
      <c r="AZ32" s="459"/>
      <c r="BA32" s="459"/>
      <c r="BB32" s="459"/>
      <c r="BC32" s="459"/>
      <c r="BD32" s="459"/>
      <c r="BE32" s="459"/>
      <c r="BF32" s="459"/>
      <c r="BG32" s="459"/>
      <c r="BH32" s="459"/>
      <c r="BI32" s="459"/>
      <c r="BJ32" s="459"/>
      <c r="BK32" s="459"/>
      <c r="BL32" s="459"/>
      <c r="BM32" s="459"/>
      <c r="BN32" s="460"/>
      <c r="BO32" s="460"/>
      <c r="BP32" s="460"/>
      <c r="BQ32" s="461"/>
      <c r="BR32" s="443"/>
      <c r="BS32" s="443"/>
      <c r="BT32" s="447"/>
    </row>
    <row r="33" spans="1:72" s="71" customFormat="1" ht="15" customHeight="1" x14ac:dyDescent="0.2">
      <c r="B33" s="453"/>
      <c r="C33" s="443"/>
      <c r="D33" s="462"/>
      <c r="E33" s="463"/>
      <c r="F33" s="463"/>
      <c r="G33" s="463"/>
      <c r="H33" s="463"/>
      <c r="I33" s="463"/>
      <c r="J33" s="463"/>
      <c r="K33" s="463"/>
      <c r="L33" s="463"/>
      <c r="M33" s="463"/>
      <c r="N33" s="463"/>
      <c r="O33" s="463"/>
      <c r="P33" s="463"/>
      <c r="Q33" s="463"/>
      <c r="R33" s="463"/>
      <c r="S33" s="463"/>
      <c r="T33" s="443"/>
      <c r="U33" s="443"/>
      <c r="V33" s="443"/>
      <c r="W33" s="464"/>
      <c r="X33" s="443"/>
      <c r="Y33" s="443"/>
      <c r="Z33" s="443"/>
      <c r="AA33" s="462"/>
      <c r="AB33" s="463"/>
      <c r="AC33" s="463"/>
      <c r="AD33" s="463"/>
      <c r="AE33" s="463"/>
      <c r="AF33" s="463"/>
      <c r="AG33" s="463"/>
      <c r="AH33" s="463"/>
      <c r="AI33" s="463"/>
      <c r="AJ33" s="463"/>
      <c r="AK33" s="463"/>
      <c r="AL33" s="463"/>
      <c r="AM33" s="463"/>
      <c r="AN33" s="463"/>
      <c r="AO33" s="463"/>
      <c r="AP33" s="463"/>
      <c r="AQ33" s="443"/>
      <c r="AR33" s="443"/>
      <c r="AS33" s="443"/>
      <c r="AT33" s="464"/>
      <c r="AU33" s="443"/>
      <c r="AV33" s="443"/>
      <c r="AW33" s="443"/>
      <c r="AX33" s="462"/>
      <c r="AY33" s="463"/>
      <c r="AZ33" s="463"/>
      <c r="BA33" s="463"/>
      <c r="BB33" s="463"/>
      <c r="BC33" s="463"/>
      <c r="BD33" s="463"/>
      <c r="BE33" s="463"/>
      <c r="BF33" s="463"/>
      <c r="BG33" s="463"/>
      <c r="BH33" s="463"/>
      <c r="BI33" s="463"/>
      <c r="BJ33" s="463"/>
      <c r="BK33" s="463"/>
      <c r="BL33" s="463"/>
      <c r="BM33" s="463"/>
      <c r="BN33" s="443"/>
      <c r="BO33" s="443"/>
      <c r="BP33" s="443"/>
      <c r="BQ33" s="464"/>
      <c r="BR33" s="443"/>
      <c r="BS33" s="443"/>
      <c r="BT33" s="447"/>
    </row>
    <row r="34" spans="1:72" s="71" customFormat="1" ht="15" customHeight="1" x14ac:dyDescent="0.2">
      <c r="B34" s="453"/>
      <c r="C34" s="443"/>
      <c r="D34" s="462"/>
      <c r="E34" s="463"/>
      <c r="F34" s="463"/>
      <c r="G34" s="463"/>
      <c r="H34" s="463"/>
      <c r="I34" s="463"/>
      <c r="J34" s="463"/>
      <c r="K34" s="463"/>
      <c r="L34" s="463"/>
      <c r="M34" s="463"/>
      <c r="N34" s="463"/>
      <c r="O34" s="463"/>
      <c r="P34" s="463"/>
      <c r="Q34" s="463"/>
      <c r="R34" s="463"/>
      <c r="S34" s="463"/>
      <c r="T34" s="443"/>
      <c r="U34" s="443"/>
      <c r="V34" s="443"/>
      <c r="W34" s="464"/>
      <c r="X34" s="443"/>
      <c r="Y34" s="443"/>
      <c r="Z34" s="443"/>
      <c r="AA34" s="462"/>
      <c r="AB34" s="463"/>
      <c r="AC34" s="463"/>
      <c r="AD34" s="463"/>
      <c r="AE34" s="463"/>
      <c r="AF34" s="463"/>
      <c r="AG34" s="463"/>
      <c r="AH34" s="463"/>
      <c r="AI34" s="463"/>
      <c r="AJ34" s="463"/>
      <c r="AK34" s="463"/>
      <c r="AL34" s="463"/>
      <c r="AM34" s="463"/>
      <c r="AN34" s="463"/>
      <c r="AO34" s="463"/>
      <c r="AP34" s="463"/>
      <c r="AQ34" s="443"/>
      <c r="AR34" s="443"/>
      <c r="AS34" s="443"/>
      <c r="AT34" s="464"/>
      <c r="AU34" s="443"/>
      <c r="AV34" s="443"/>
      <c r="AW34" s="443"/>
      <c r="AX34" s="462"/>
      <c r="AY34" s="463"/>
      <c r="AZ34" s="463"/>
      <c r="BA34" s="463"/>
      <c r="BB34" s="463"/>
      <c r="BC34" s="463"/>
      <c r="BD34" s="463"/>
      <c r="BE34" s="463"/>
      <c r="BF34" s="463"/>
      <c r="BG34" s="463"/>
      <c r="BH34" s="463"/>
      <c r="BI34" s="463"/>
      <c r="BJ34" s="463"/>
      <c r="BK34" s="463"/>
      <c r="BL34" s="463"/>
      <c r="BM34" s="463"/>
      <c r="BN34" s="443"/>
      <c r="BO34" s="443"/>
      <c r="BP34" s="443"/>
      <c r="BQ34" s="464"/>
      <c r="BR34" s="443"/>
      <c r="BS34" s="443"/>
      <c r="BT34" s="447"/>
    </row>
    <row r="35" spans="1:72" s="71" customFormat="1" ht="15" customHeight="1" x14ac:dyDescent="0.2">
      <c r="B35" s="453"/>
      <c r="C35" s="443"/>
      <c r="D35" s="462"/>
      <c r="E35" s="463"/>
      <c r="F35" s="463"/>
      <c r="G35" s="463"/>
      <c r="H35" s="463"/>
      <c r="I35" s="463"/>
      <c r="J35" s="463"/>
      <c r="K35" s="463"/>
      <c r="L35" s="463"/>
      <c r="M35" s="463"/>
      <c r="N35" s="463"/>
      <c r="O35" s="463"/>
      <c r="P35" s="463"/>
      <c r="Q35" s="463"/>
      <c r="R35" s="463"/>
      <c r="S35" s="463"/>
      <c r="T35" s="443"/>
      <c r="U35" s="443"/>
      <c r="V35" s="443"/>
      <c r="W35" s="464"/>
      <c r="X35" s="443"/>
      <c r="Y35" s="443"/>
      <c r="Z35" s="443"/>
      <c r="AA35" s="462"/>
      <c r="AB35" s="463"/>
      <c r="AC35" s="463"/>
      <c r="AD35" s="463"/>
      <c r="AE35" s="463"/>
      <c r="AF35" s="463"/>
      <c r="AG35" s="463"/>
      <c r="AH35" s="463"/>
      <c r="AI35" s="463"/>
      <c r="AJ35" s="463"/>
      <c r="AK35" s="463"/>
      <c r="AL35" s="463"/>
      <c r="AM35" s="463"/>
      <c r="AN35" s="463"/>
      <c r="AO35" s="463"/>
      <c r="AP35" s="463"/>
      <c r="AQ35" s="443"/>
      <c r="AR35" s="443"/>
      <c r="AS35" s="443"/>
      <c r="AT35" s="464"/>
      <c r="AU35" s="443"/>
      <c r="AV35" s="443"/>
      <c r="AW35" s="443"/>
      <c r="AX35" s="462"/>
      <c r="AY35" s="463"/>
      <c r="AZ35" s="463"/>
      <c r="BA35" s="463"/>
      <c r="BB35" s="463"/>
      <c r="BC35" s="463"/>
      <c r="BD35" s="463"/>
      <c r="BE35" s="463"/>
      <c r="BF35" s="463"/>
      <c r="BG35" s="463"/>
      <c r="BH35" s="463"/>
      <c r="BI35" s="463"/>
      <c r="BJ35" s="463"/>
      <c r="BK35" s="463"/>
      <c r="BL35" s="463"/>
      <c r="BM35" s="463"/>
      <c r="BN35" s="443"/>
      <c r="BO35" s="443"/>
      <c r="BP35" s="443"/>
      <c r="BQ35" s="464"/>
      <c r="BR35" s="443"/>
      <c r="BS35" s="443"/>
      <c r="BT35" s="447"/>
    </row>
    <row r="36" spans="1:72" s="71" customFormat="1" ht="15" customHeight="1" x14ac:dyDescent="0.2">
      <c r="B36" s="453"/>
      <c r="C36" s="443"/>
      <c r="D36" s="462"/>
      <c r="E36" s="463"/>
      <c r="F36" s="463"/>
      <c r="G36" s="463"/>
      <c r="H36" s="463"/>
      <c r="I36" s="463"/>
      <c r="J36" s="463"/>
      <c r="K36" s="463"/>
      <c r="L36" s="463"/>
      <c r="M36" s="463"/>
      <c r="N36" s="463"/>
      <c r="O36" s="463"/>
      <c r="P36" s="463"/>
      <c r="Q36" s="463"/>
      <c r="R36" s="463"/>
      <c r="S36" s="463"/>
      <c r="T36" s="443"/>
      <c r="U36" s="443"/>
      <c r="V36" s="443"/>
      <c r="W36" s="464"/>
      <c r="X36" s="443"/>
      <c r="Y36" s="443"/>
      <c r="Z36" s="443"/>
      <c r="AA36" s="462"/>
      <c r="AB36" s="463"/>
      <c r="AC36" s="463"/>
      <c r="AD36" s="463"/>
      <c r="AE36" s="463"/>
      <c r="AF36" s="463"/>
      <c r="AG36" s="463"/>
      <c r="AH36" s="463"/>
      <c r="AI36" s="463"/>
      <c r="AJ36" s="463"/>
      <c r="AK36" s="463"/>
      <c r="AL36" s="463"/>
      <c r="AM36" s="463"/>
      <c r="AN36" s="463"/>
      <c r="AO36" s="463"/>
      <c r="AP36" s="463"/>
      <c r="AQ36" s="443"/>
      <c r="AR36" s="443"/>
      <c r="AS36" s="443"/>
      <c r="AT36" s="464"/>
      <c r="AU36" s="443"/>
      <c r="AV36" s="443"/>
      <c r="AW36" s="443"/>
      <c r="AX36" s="462"/>
      <c r="AY36" s="463"/>
      <c r="AZ36" s="463"/>
      <c r="BA36" s="463"/>
      <c r="BB36" s="463"/>
      <c r="BC36" s="463"/>
      <c r="BD36" s="463"/>
      <c r="BE36" s="463"/>
      <c r="BF36" s="463"/>
      <c r="BG36" s="463"/>
      <c r="BH36" s="463"/>
      <c r="BI36" s="463"/>
      <c r="BJ36" s="463"/>
      <c r="BK36" s="463"/>
      <c r="BL36" s="463"/>
      <c r="BM36" s="463"/>
      <c r="BN36" s="443"/>
      <c r="BO36" s="443"/>
      <c r="BP36" s="443"/>
      <c r="BQ36" s="464"/>
      <c r="BR36" s="443"/>
      <c r="BS36" s="443"/>
      <c r="BT36" s="447"/>
    </row>
    <row r="37" spans="1:72" s="71" customFormat="1" ht="15" customHeight="1" x14ac:dyDescent="0.2">
      <c r="B37" s="453"/>
      <c r="C37" s="443"/>
      <c r="D37" s="462"/>
      <c r="E37" s="463"/>
      <c r="F37" s="463"/>
      <c r="G37" s="463"/>
      <c r="H37" s="463"/>
      <c r="I37" s="463"/>
      <c r="J37" s="463"/>
      <c r="K37" s="463"/>
      <c r="L37" s="463"/>
      <c r="M37" s="463"/>
      <c r="N37" s="463"/>
      <c r="O37" s="463"/>
      <c r="P37" s="463"/>
      <c r="Q37" s="463"/>
      <c r="R37" s="463"/>
      <c r="S37" s="463"/>
      <c r="T37" s="443"/>
      <c r="U37" s="443"/>
      <c r="V37" s="443"/>
      <c r="W37" s="464"/>
      <c r="X37" s="443"/>
      <c r="Y37" s="443"/>
      <c r="Z37" s="443"/>
      <c r="AA37" s="462"/>
      <c r="AB37" s="463"/>
      <c r="AC37" s="463"/>
      <c r="AD37" s="463"/>
      <c r="AE37" s="463"/>
      <c r="AF37" s="463"/>
      <c r="AG37" s="463"/>
      <c r="AH37" s="463"/>
      <c r="AI37" s="463"/>
      <c r="AJ37" s="463"/>
      <c r="AK37" s="463"/>
      <c r="AL37" s="463"/>
      <c r="AM37" s="463"/>
      <c r="AN37" s="463"/>
      <c r="AO37" s="463"/>
      <c r="AP37" s="463"/>
      <c r="AQ37" s="443"/>
      <c r="AR37" s="443"/>
      <c r="AS37" s="443"/>
      <c r="AT37" s="464"/>
      <c r="AU37" s="443"/>
      <c r="AV37" s="443"/>
      <c r="AW37" s="443"/>
      <c r="AX37" s="462"/>
      <c r="AY37" s="463"/>
      <c r="AZ37" s="463"/>
      <c r="BA37" s="463"/>
      <c r="BB37" s="463"/>
      <c r="BC37" s="463"/>
      <c r="BD37" s="463"/>
      <c r="BE37" s="463"/>
      <c r="BF37" s="463"/>
      <c r="BG37" s="463"/>
      <c r="BH37" s="463"/>
      <c r="BI37" s="463"/>
      <c r="BJ37" s="463"/>
      <c r="BK37" s="463"/>
      <c r="BL37" s="463"/>
      <c r="BM37" s="463"/>
      <c r="BN37" s="443"/>
      <c r="BO37" s="443"/>
      <c r="BP37" s="443"/>
      <c r="BQ37" s="464"/>
      <c r="BR37" s="443"/>
      <c r="BS37" s="443"/>
      <c r="BT37" s="447"/>
    </row>
    <row r="38" spans="1:72" s="71" customFormat="1" ht="15" customHeight="1" x14ac:dyDescent="0.2">
      <c r="B38" s="453"/>
      <c r="C38" s="443"/>
      <c r="D38" s="462"/>
      <c r="E38" s="463"/>
      <c r="F38" s="463"/>
      <c r="G38" s="463"/>
      <c r="H38" s="463"/>
      <c r="I38" s="463"/>
      <c r="J38" s="463"/>
      <c r="K38" s="463"/>
      <c r="L38" s="463"/>
      <c r="M38" s="463"/>
      <c r="N38" s="463"/>
      <c r="O38" s="463"/>
      <c r="P38" s="463"/>
      <c r="Q38" s="463"/>
      <c r="R38" s="463"/>
      <c r="S38" s="463"/>
      <c r="T38" s="443"/>
      <c r="U38" s="443"/>
      <c r="V38" s="443"/>
      <c r="W38" s="464"/>
      <c r="X38" s="443"/>
      <c r="Y38" s="443"/>
      <c r="Z38" s="443"/>
      <c r="AA38" s="462"/>
      <c r="AB38" s="463"/>
      <c r="AC38" s="463"/>
      <c r="AD38" s="463"/>
      <c r="AE38" s="463"/>
      <c r="AF38" s="463"/>
      <c r="AG38" s="463"/>
      <c r="AH38" s="463"/>
      <c r="AI38" s="463"/>
      <c r="AJ38" s="463"/>
      <c r="AK38" s="463"/>
      <c r="AL38" s="463"/>
      <c r="AM38" s="463"/>
      <c r="AN38" s="463"/>
      <c r="AO38" s="463"/>
      <c r="AP38" s="463"/>
      <c r="AQ38" s="443"/>
      <c r="AR38" s="443"/>
      <c r="AS38" s="443"/>
      <c r="AT38" s="464"/>
      <c r="AU38" s="443"/>
      <c r="AV38" s="443"/>
      <c r="AW38" s="443"/>
      <c r="AX38" s="462"/>
      <c r="AY38" s="463"/>
      <c r="AZ38" s="463"/>
      <c r="BA38" s="463"/>
      <c r="BB38" s="463"/>
      <c r="BC38" s="463"/>
      <c r="BD38" s="463"/>
      <c r="BE38" s="463"/>
      <c r="BF38" s="463"/>
      <c r="BG38" s="463"/>
      <c r="BH38" s="463"/>
      <c r="BI38" s="463"/>
      <c r="BJ38" s="463"/>
      <c r="BK38" s="463"/>
      <c r="BL38" s="463"/>
      <c r="BM38" s="463"/>
      <c r="BN38" s="443"/>
      <c r="BO38" s="443"/>
      <c r="BP38" s="443"/>
      <c r="BQ38" s="464"/>
      <c r="BR38" s="443"/>
      <c r="BS38" s="443"/>
      <c r="BT38" s="447"/>
    </row>
    <row r="39" spans="1:72" s="71" customFormat="1" ht="15" customHeight="1" x14ac:dyDescent="0.2">
      <c r="B39" s="453"/>
      <c r="C39" s="443"/>
      <c r="D39" s="462"/>
      <c r="E39" s="463"/>
      <c r="F39" s="463"/>
      <c r="G39" s="463"/>
      <c r="H39" s="463"/>
      <c r="I39" s="463"/>
      <c r="J39" s="463"/>
      <c r="K39" s="463"/>
      <c r="L39" s="463"/>
      <c r="M39" s="463"/>
      <c r="N39" s="463"/>
      <c r="O39" s="463"/>
      <c r="P39" s="463"/>
      <c r="Q39" s="463"/>
      <c r="R39" s="463"/>
      <c r="S39" s="463"/>
      <c r="T39" s="443"/>
      <c r="U39" s="443"/>
      <c r="V39" s="443"/>
      <c r="W39" s="464"/>
      <c r="X39" s="443"/>
      <c r="Y39" s="443"/>
      <c r="Z39" s="443"/>
      <c r="AA39" s="462"/>
      <c r="AB39" s="463"/>
      <c r="AC39" s="463"/>
      <c r="AD39" s="463"/>
      <c r="AE39" s="463"/>
      <c r="AF39" s="463"/>
      <c r="AG39" s="463"/>
      <c r="AH39" s="463"/>
      <c r="AI39" s="463"/>
      <c r="AJ39" s="463"/>
      <c r="AK39" s="463"/>
      <c r="AL39" s="463"/>
      <c r="AM39" s="463"/>
      <c r="AN39" s="463"/>
      <c r="AO39" s="463"/>
      <c r="AP39" s="463"/>
      <c r="AQ39" s="443"/>
      <c r="AR39" s="443"/>
      <c r="AS39" s="443"/>
      <c r="AT39" s="464"/>
      <c r="AU39" s="443"/>
      <c r="AV39" s="443"/>
      <c r="AW39" s="443"/>
      <c r="AX39" s="462"/>
      <c r="AY39" s="463"/>
      <c r="AZ39" s="463"/>
      <c r="BA39" s="463"/>
      <c r="BB39" s="463"/>
      <c r="BC39" s="463"/>
      <c r="BD39" s="463"/>
      <c r="BE39" s="463"/>
      <c r="BF39" s="463"/>
      <c r="BG39" s="463"/>
      <c r="BH39" s="463"/>
      <c r="BI39" s="463"/>
      <c r="BJ39" s="463"/>
      <c r="BK39" s="463"/>
      <c r="BL39" s="463"/>
      <c r="BM39" s="463"/>
      <c r="BN39" s="443"/>
      <c r="BO39" s="443"/>
      <c r="BP39" s="443"/>
      <c r="BQ39" s="464"/>
      <c r="BR39" s="443"/>
      <c r="BS39" s="443"/>
      <c r="BT39" s="447"/>
    </row>
    <row r="40" spans="1:72" s="71" customFormat="1" ht="15" customHeight="1" x14ac:dyDescent="0.2">
      <c r="B40" s="453"/>
      <c r="C40" s="443"/>
      <c r="D40" s="462"/>
      <c r="E40" s="463"/>
      <c r="F40" s="463"/>
      <c r="G40" s="463"/>
      <c r="H40" s="463"/>
      <c r="I40" s="463"/>
      <c r="J40" s="463"/>
      <c r="K40" s="463"/>
      <c r="L40" s="463"/>
      <c r="M40" s="463"/>
      <c r="N40" s="463"/>
      <c r="O40" s="463"/>
      <c r="P40" s="463"/>
      <c r="Q40" s="463"/>
      <c r="R40" s="463"/>
      <c r="S40" s="463"/>
      <c r="T40" s="443"/>
      <c r="U40" s="443"/>
      <c r="V40" s="443"/>
      <c r="W40" s="464"/>
      <c r="X40" s="443"/>
      <c r="Y40" s="443"/>
      <c r="Z40" s="443"/>
      <c r="AA40" s="462"/>
      <c r="AB40" s="463"/>
      <c r="AC40" s="463"/>
      <c r="AD40" s="463"/>
      <c r="AE40" s="463"/>
      <c r="AF40" s="463"/>
      <c r="AG40" s="463"/>
      <c r="AH40" s="463"/>
      <c r="AI40" s="463"/>
      <c r="AJ40" s="463"/>
      <c r="AK40" s="463"/>
      <c r="AL40" s="463"/>
      <c r="AM40" s="463"/>
      <c r="AN40" s="463"/>
      <c r="AO40" s="463"/>
      <c r="AP40" s="463"/>
      <c r="AQ40" s="443"/>
      <c r="AR40" s="443"/>
      <c r="AS40" s="443"/>
      <c r="AT40" s="464"/>
      <c r="AU40" s="443"/>
      <c r="AV40" s="443"/>
      <c r="AW40" s="443"/>
      <c r="AX40" s="462"/>
      <c r="AY40" s="463"/>
      <c r="AZ40" s="463"/>
      <c r="BA40" s="463"/>
      <c r="BB40" s="463"/>
      <c r="BC40" s="463"/>
      <c r="BD40" s="463"/>
      <c r="BE40" s="463"/>
      <c r="BF40" s="463"/>
      <c r="BG40" s="463"/>
      <c r="BH40" s="463"/>
      <c r="BI40" s="463"/>
      <c r="BJ40" s="463"/>
      <c r="BK40" s="463"/>
      <c r="BL40" s="463"/>
      <c r="BM40" s="463"/>
      <c r="BN40" s="443"/>
      <c r="BO40" s="443"/>
      <c r="BP40" s="443"/>
      <c r="BQ40" s="464"/>
      <c r="BR40" s="443"/>
      <c r="BS40" s="443"/>
      <c r="BT40" s="447"/>
    </row>
    <row r="41" spans="1:72" s="71" customFormat="1" ht="15" customHeight="1" x14ac:dyDescent="0.2">
      <c r="B41" s="453"/>
      <c r="C41" s="443"/>
      <c r="D41" s="462"/>
      <c r="E41" s="463"/>
      <c r="F41" s="463"/>
      <c r="G41" s="463"/>
      <c r="H41" s="463"/>
      <c r="I41" s="463"/>
      <c r="J41" s="463"/>
      <c r="K41" s="463"/>
      <c r="L41" s="463"/>
      <c r="M41" s="463"/>
      <c r="N41" s="463"/>
      <c r="O41" s="463"/>
      <c r="P41" s="463"/>
      <c r="Q41" s="463"/>
      <c r="R41" s="463"/>
      <c r="S41" s="463"/>
      <c r="T41" s="443"/>
      <c r="U41" s="443"/>
      <c r="V41" s="443"/>
      <c r="W41" s="464"/>
      <c r="X41" s="443"/>
      <c r="Y41" s="443"/>
      <c r="Z41" s="443"/>
      <c r="AA41" s="462"/>
      <c r="AB41" s="463"/>
      <c r="AC41" s="463"/>
      <c r="AD41" s="463"/>
      <c r="AE41" s="463"/>
      <c r="AF41" s="463"/>
      <c r="AG41" s="463"/>
      <c r="AH41" s="463"/>
      <c r="AI41" s="463"/>
      <c r="AJ41" s="463"/>
      <c r="AK41" s="463"/>
      <c r="AL41" s="463"/>
      <c r="AM41" s="463"/>
      <c r="AN41" s="463"/>
      <c r="AO41" s="463"/>
      <c r="AP41" s="463"/>
      <c r="AQ41" s="443"/>
      <c r="AR41" s="443"/>
      <c r="AS41" s="443"/>
      <c r="AT41" s="464"/>
      <c r="AU41" s="443"/>
      <c r="AV41" s="443"/>
      <c r="AW41" s="443"/>
      <c r="AX41" s="462"/>
      <c r="AY41" s="463"/>
      <c r="AZ41" s="463"/>
      <c r="BA41" s="463"/>
      <c r="BB41" s="463"/>
      <c r="BC41" s="463"/>
      <c r="BD41" s="463"/>
      <c r="BE41" s="463"/>
      <c r="BF41" s="463"/>
      <c r="BG41" s="463"/>
      <c r="BH41" s="463"/>
      <c r="BI41" s="463"/>
      <c r="BJ41" s="463"/>
      <c r="BK41" s="463"/>
      <c r="BL41" s="463"/>
      <c r="BM41" s="463"/>
      <c r="BN41" s="443"/>
      <c r="BO41" s="443"/>
      <c r="BP41" s="443"/>
      <c r="BQ41" s="464"/>
      <c r="BR41" s="443"/>
      <c r="BS41" s="443"/>
      <c r="BT41" s="447"/>
    </row>
    <row r="42" spans="1:72" s="71" customFormat="1" ht="15" customHeight="1" x14ac:dyDescent="0.2">
      <c r="B42" s="453"/>
      <c r="C42" s="443"/>
      <c r="D42" s="462"/>
      <c r="E42" s="463"/>
      <c r="F42" s="463"/>
      <c r="G42" s="463"/>
      <c r="H42" s="463"/>
      <c r="I42" s="463"/>
      <c r="J42" s="463"/>
      <c r="K42" s="463"/>
      <c r="L42" s="463"/>
      <c r="M42" s="463"/>
      <c r="N42" s="463"/>
      <c r="O42" s="463"/>
      <c r="P42" s="463"/>
      <c r="Q42" s="463"/>
      <c r="R42" s="463"/>
      <c r="S42" s="463"/>
      <c r="T42" s="443"/>
      <c r="U42" s="443"/>
      <c r="V42" s="443"/>
      <c r="W42" s="464"/>
      <c r="X42" s="443"/>
      <c r="Y42" s="443"/>
      <c r="Z42" s="443"/>
      <c r="AA42" s="462"/>
      <c r="AB42" s="463"/>
      <c r="AC42" s="463"/>
      <c r="AD42" s="463"/>
      <c r="AE42" s="463"/>
      <c r="AF42" s="463"/>
      <c r="AG42" s="463"/>
      <c r="AH42" s="463"/>
      <c r="AI42" s="463"/>
      <c r="AJ42" s="463"/>
      <c r="AK42" s="463"/>
      <c r="AL42" s="463"/>
      <c r="AM42" s="463"/>
      <c r="AN42" s="463"/>
      <c r="AO42" s="463"/>
      <c r="AP42" s="463"/>
      <c r="AQ42" s="443"/>
      <c r="AR42" s="443"/>
      <c r="AS42" s="443"/>
      <c r="AT42" s="464"/>
      <c r="AU42" s="443"/>
      <c r="AV42" s="443"/>
      <c r="AW42" s="443"/>
      <c r="AX42" s="462"/>
      <c r="AY42" s="463"/>
      <c r="AZ42" s="463"/>
      <c r="BA42" s="463"/>
      <c r="BB42" s="463"/>
      <c r="BC42" s="463"/>
      <c r="BD42" s="463"/>
      <c r="BE42" s="463"/>
      <c r="BF42" s="463"/>
      <c r="BG42" s="463"/>
      <c r="BH42" s="463"/>
      <c r="BI42" s="463"/>
      <c r="BJ42" s="463"/>
      <c r="BK42" s="463"/>
      <c r="BL42" s="463"/>
      <c r="BM42" s="463"/>
      <c r="BN42" s="443"/>
      <c r="BO42" s="443"/>
      <c r="BP42" s="443"/>
      <c r="BQ42" s="464"/>
      <c r="BR42" s="443"/>
      <c r="BS42" s="443"/>
      <c r="BT42" s="447"/>
    </row>
    <row r="43" spans="1:72" s="71" customFormat="1" ht="15" customHeight="1" x14ac:dyDescent="0.2">
      <c r="B43" s="453"/>
      <c r="C43" s="443"/>
      <c r="D43" s="465"/>
      <c r="E43" s="443"/>
      <c r="F43" s="443"/>
      <c r="G43" s="443"/>
      <c r="H43" s="443"/>
      <c r="I43" s="443"/>
      <c r="J43" s="443"/>
      <c r="K43" s="443"/>
      <c r="L43" s="443"/>
      <c r="M43" s="443"/>
      <c r="N43" s="443"/>
      <c r="O43" s="443"/>
      <c r="P43" s="443"/>
      <c r="Q43" s="443"/>
      <c r="R43" s="443"/>
      <c r="S43" s="443"/>
      <c r="T43" s="443"/>
      <c r="U43" s="443"/>
      <c r="V43" s="443"/>
      <c r="W43" s="464"/>
      <c r="X43" s="443"/>
      <c r="Y43" s="443"/>
      <c r="Z43" s="443"/>
      <c r="AA43" s="465"/>
      <c r="AB43" s="443"/>
      <c r="AC43" s="443"/>
      <c r="AD43" s="443"/>
      <c r="AE43" s="443"/>
      <c r="AF43" s="443"/>
      <c r="AG43" s="443"/>
      <c r="AH43" s="443"/>
      <c r="AI43" s="443"/>
      <c r="AJ43" s="443"/>
      <c r="AK43" s="443"/>
      <c r="AL43" s="443"/>
      <c r="AM43" s="443"/>
      <c r="AN43" s="443"/>
      <c r="AO43" s="443"/>
      <c r="AP43" s="443"/>
      <c r="AQ43" s="443"/>
      <c r="AR43" s="443"/>
      <c r="AS43" s="443"/>
      <c r="AT43" s="464"/>
      <c r="AU43" s="443"/>
      <c r="AV43" s="443"/>
      <c r="AW43" s="443"/>
      <c r="AX43" s="465"/>
      <c r="AY43" s="443"/>
      <c r="AZ43" s="443"/>
      <c r="BA43" s="443"/>
      <c r="BB43" s="443"/>
      <c r="BC43" s="443"/>
      <c r="BD43" s="443"/>
      <c r="BE43" s="443"/>
      <c r="BF43" s="443"/>
      <c r="BG43" s="443"/>
      <c r="BH43" s="443"/>
      <c r="BI43" s="443"/>
      <c r="BJ43" s="443"/>
      <c r="BK43" s="443"/>
      <c r="BL43" s="443"/>
      <c r="BM43" s="443"/>
      <c r="BN43" s="443"/>
      <c r="BO43" s="443"/>
      <c r="BP43" s="443"/>
      <c r="BQ43" s="464"/>
      <c r="BR43" s="443"/>
      <c r="BS43" s="443"/>
      <c r="BT43" s="447"/>
    </row>
    <row r="44" spans="1:72" s="71" customFormat="1" ht="15" customHeight="1" x14ac:dyDescent="0.2">
      <c r="B44" s="453"/>
      <c r="C44" s="443"/>
      <c r="D44" s="465"/>
      <c r="E44" s="443"/>
      <c r="F44" s="443"/>
      <c r="G44" s="443"/>
      <c r="H44" s="443"/>
      <c r="I44" s="443"/>
      <c r="J44" s="443"/>
      <c r="K44" s="443"/>
      <c r="L44" s="443"/>
      <c r="M44" s="443"/>
      <c r="N44" s="443"/>
      <c r="O44" s="443"/>
      <c r="P44" s="443"/>
      <c r="Q44" s="443"/>
      <c r="R44" s="443"/>
      <c r="S44" s="443"/>
      <c r="T44" s="443"/>
      <c r="U44" s="443"/>
      <c r="V44" s="443"/>
      <c r="W44" s="464"/>
      <c r="X44" s="443"/>
      <c r="Y44" s="443"/>
      <c r="Z44" s="443"/>
      <c r="AA44" s="465"/>
      <c r="AB44" s="443"/>
      <c r="AC44" s="443"/>
      <c r="AD44" s="443"/>
      <c r="AE44" s="443"/>
      <c r="AF44" s="443"/>
      <c r="AG44" s="443"/>
      <c r="AH44" s="443"/>
      <c r="AI44" s="443"/>
      <c r="AJ44" s="443"/>
      <c r="AK44" s="443"/>
      <c r="AL44" s="443"/>
      <c r="AM44" s="443"/>
      <c r="AN44" s="443"/>
      <c r="AO44" s="443"/>
      <c r="AP44" s="443"/>
      <c r="AQ44" s="443"/>
      <c r="AR44" s="443"/>
      <c r="AS44" s="443"/>
      <c r="AT44" s="464"/>
      <c r="AU44" s="443"/>
      <c r="AV44" s="443"/>
      <c r="AW44" s="443"/>
      <c r="AX44" s="465"/>
      <c r="AY44" s="443"/>
      <c r="AZ44" s="443"/>
      <c r="BA44" s="443"/>
      <c r="BB44" s="443"/>
      <c r="BC44" s="443"/>
      <c r="BD44" s="443"/>
      <c r="BE44" s="443"/>
      <c r="BF44" s="443"/>
      <c r="BG44" s="443"/>
      <c r="BH44" s="443"/>
      <c r="BI44" s="443"/>
      <c r="BJ44" s="443"/>
      <c r="BK44" s="443"/>
      <c r="BL44" s="443"/>
      <c r="BM44" s="443"/>
      <c r="BN44" s="443"/>
      <c r="BO44" s="443"/>
      <c r="BP44" s="443"/>
      <c r="BQ44" s="464"/>
      <c r="BR44" s="443"/>
      <c r="BS44" s="443"/>
      <c r="BT44" s="447"/>
    </row>
    <row r="45" spans="1:72" s="71" customFormat="1" x14ac:dyDescent="0.2">
      <c r="B45" s="453"/>
      <c r="C45" s="443"/>
      <c r="D45" s="466"/>
      <c r="E45" s="467"/>
      <c r="F45" s="467"/>
      <c r="G45" s="467"/>
      <c r="H45" s="467"/>
      <c r="I45" s="467"/>
      <c r="J45" s="467"/>
      <c r="K45" s="467"/>
      <c r="L45" s="467"/>
      <c r="M45" s="467"/>
      <c r="N45" s="467"/>
      <c r="O45" s="467"/>
      <c r="P45" s="467"/>
      <c r="Q45" s="467"/>
      <c r="R45" s="467"/>
      <c r="S45" s="467"/>
      <c r="T45" s="467"/>
      <c r="U45" s="467"/>
      <c r="V45" s="467"/>
      <c r="W45" s="468"/>
      <c r="X45" s="443"/>
      <c r="Y45" s="443"/>
      <c r="Z45" s="443"/>
      <c r="AA45" s="466"/>
      <c r="AB45" s="467"/>
      <c r="AC45" s="467"/>
      <c r="AD45" s="467"/>
      <c r="AE45" s="467"/>
      <c r="AF45" s="467"/>
      <c r="AG45" s="467"/>
      <c r="AH45" s="467"/>
      <c r="AI45" s="467"/>
      <c r="AJ45" s="467"/>
      <c r="AK45" s="467"/>
      <c r="AL45" s="467"/>
      <c r="AM45" s="467"/>
      <c r="AN45" s="467"/>
      <c r="AO45" s="467"/>
      <c r="AP45" s="467"/>
      <c r="AQ45" s="467"/>
      <c r="AR45" s="467"/>
      <c r="AS45" s="467"/>
      <c r="AT45" s="468"/>
      <c r="AU45" s="443"/>
      <c r="AV45" s="443"/>
      <c r="AW45" s="443"/>
      <c r="AX45" s="466"/>
      <c r="AY45" s="467"/>
      <c r="AZ45" s="467"/>
      <c r="BA45" s="467"/>
      <c r="BB45" s="467"/>
      <c r="BC45" s="467"/>
      <c r="BD45" s="467"/>
      <c r="BE45" s="467"/>
      <c r="BF45" s="467"/>
      <c r="BG45" s="467"/>
      <c r="BH45" s="467"/>
      <c r="BI45" s="467"/>
      <c r="BJ45" s="467"/>
      <c r="BK45" s="467"/>
      <c r="BL45" s="467"/>
      <c r="BM45" s="467"/>
      <c r="BN45" s="467"/>
      <c r="BO45" s="467"/>
      <c r="BP45" s="467"/>
      <c r="BQ45" s="468"/>
      <c r="BR45" s="443"/>
      <c r="BS45" s="443"/>
      <c r="BT45" s="447"/>
    </row>
    <row r="46" spans="1:72" s="71" customFormat="1" x14ac:dyDescent="0.2">
      <c r="B46" s="453"/>
      <c r="C46" s="44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443"/>
      <c r="AL46" s="443"/>
      <c r="AM46" s="443"/>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69"/>
      <c r="BL46" s="469"/>
      <c r="BM46" s="469"/>
      <c r="BN46" s="470"/>
      <c r="BO46" s="443"/>
      <c r="BP46" s="443"/>
      <c r="BQ46" s="443"/>
      <c r="BR46" s="443"/>
      <c r="BS46" s="443"/>
      <c r="BT46" s="447"/>
    </row>
    <row r="47" spans="1:72" s="71" customFormat="1" x14ac:dyDescent="0.2">
      <c r="A47" s="531"/>
      <c r="K47" s="71" t="s">
        <v>1372</v>
      </c>
      <c r="O47" s="71">
        <v>1</v>
      </c>
      <c r="AH47" s="71" t="s">
        <v>1372</v>
      </c>
      <c r="AL47" s="71">
        <v>2</v>
      </c>
      <c r="BE47" s="71" t="s">
        <v>1372</v>
      </c>
      <c r="BI47" s="71">
        <v>3</v>
      </c>
      <c r="BT47" s="531"/>
    </row>
    <row r="48" spans="1:72" s="71" customFormat="1" x14ac:dyDescent="0.2">
      <c r="A48" s="531"/>
      <c r="BI48" s="318"/>
      <c r="BJ48" s="318"/>
      <c r="BK48" s="318"/>
      <c r="BL48" s="318"/>
      <c r="BM48" s="318"/>
      <c r="BN48" s="318"/>
      <c r="BO48" s="318"/>
      <c r="BP48" s="318"/>
      <c r="BQ48" s="318"/>
      <c r="BT48" s="531"/>
    </row>
    <row r="49" spans="1:73" s="71" customFormat="1" x14ac:dyDescent="0.2">
      <c r="A49" s="531"/>
      <c r="K49" s="318" t="s">
        <v>919</v>
      </c>
      <c r="L49" s="318"/>
      <c r="M49" s="318"/>
      <c r="O49" s="1976" t="str">
        <f>VLOOKUP(O47,Portada!$B$29:$AQ$44,5)</f>
        <v>Ofert.</v>
      </c>
      <c r="P49" s="1976"/>
      <c r="Q49" s="1976"/>
      <c r="R49" s="1976"/>
      <c r="S49" s="1976"/>
      <c r="T49" s="1976"/>
      <c r="U49" s="1976"/>
      <c r="V49" s="1976"/>
      <c r="W49" s="1976"/>
      <c r="AH49" s="318" t="s">
        <v>919</v>
      </c>
      <c r="AI49" s="318"/>
      <c r="AJ49" s="318"/>
      <c r="AL49" s="1976" t="str">
        <f>VLOOKUP(AL47,Portada!$B$29:$AQ$44,5)</f>
        <v>Ofert.</v>
      </c>
      <c r="AM49" s="1976"/>
      <c r="AN49" s="1976"/>
      <c r="AO49" s="1976"/>
      <c r="AP49" s="1976"/>
      <c r="AQ49" s="1976"/>
      <c r="AR49" s="1976"/>
      <c r="AS49" s="1976"/>
      <c r="AT49" s="1976"/>
      <c r="BE49" s="318" t="s">
        <v>919</v>
      </c>
      <c r="BF49" s="318"/>
      <c r="BG49" s="318"/>
      <c r="BI49" s="1976" t="str">
        <f>VLOOKUP(BI47,Portada!$B$29:$AQ$44,5)</f>
        <v>Ofert.</v>
      </c>
      <c r="BJ49" s="1976"/>
      <c r="BK49" s="1976"/>
      <c r="BL49" s="1976"/>
      <c r="BM49" s="1976"/>
      <c r="BN49" s="1976"/>
      <c r="BO49" s="1976"/>
      <c r="BP49" s="1976"/>
      <c r="BQ49" s="1976"/>
      <c r="BT49" s="531"/>
    </row>
    <row r="50" spans="1:73" s="71" customFormat="1" x14ac:dyDescent="0.2">
      <c r="A50" s="531"/>
      <c r="K50" s="318" t="s">
        <v>676</v>
      </c>
      <c r="L50" s="318"/>
      <c r="M50" s="318"/>
      <c r="O50" s="1976" t="str">
        <f>VLOOKUP(O47,Portada!$B$29:$AQ$44,7)</f>
        <v>Coronel Souper 4060, Estacion Central</v>
      </c>
      <c r="P50" s="1976"/>
      <c r="Q50" s="1976"/>
      <c r="R50" s="1976"/>
      <c r="S50" s="1976"/>
      <c r="T50" s="1976"/>
      <c r="U50" s="1976"/>
      <c r="V50" s="1976"/>
      <c r="W50" s="1976"/>
      <c r="AH50" s="318" t="s">
        <v>676</v>
      </c>
      <c r="AI50" s="318"/>
      <c r="AJ50" s="318"/>
      <c r="AL50" s="1976" t="str">
        <f>VLOOKUP(AL47,Portada!$B$29:$AQ$44,7)</f>
        <v>Cnel. Souper 3900 - 4200, Estación Central</v>
      </c>
      <c r="AM50" s="1976"/>
      <c r="AN50" s="1976"/>
      <c r="AO50" s="1976"/>
      <c r="AP50" s="1976"/>
      <c r="AQ50" s="1976"/>
      <c r="AR50" s="1976"/>
      <c r="AS50" s="1976"/>
      <c r="AT50" s="1976"/>
      <c r="BE50" s="318" t="s">
        <v>676</v>
      </c>
      <c r="BF50" s="318"/>
      <c r="BG50" s="318"/>
      <c r="BI50" s="1976" t="str">
        <f>VLOOKUP(BI47,Portada!$B$29:$AQ$44,7)</f>
        <v>Coronel Souper 4060, Estacion Central</v>
      </c>
      <c r="BJ50" s="1976"/>
      <c r="BK50" s="1976"/>
      <c r="BL50" s="1976"/>
      <c r="BM50" s="1976"/>
      <c r="BN50" s="1976"/>
      <c r="BO50" s="1976"/>
      <c r="BP50" s="1976"/>
      <c r="BQ50" s="1976"/>
      <c r="BT50" s="531"/>
    </row>
    <row r="51" spans="1:73" s="71" customFormat="1" x14ac:dyDescent="0.2">
      <c r="A51" s="531"/>
      <c r="K51" s="318" t="s">
        <v>920</v>
      </c>
      <c r="L51" s="318"/>
      <c r="M51" s="318"/>
      <c r="O51" s="1976">
        <f>VLOOKUP(O47,Portada!$B$29:$AQ$44,29)</f>
        <v>1490</v>
      </c>
      <c r="P51" s="1976"/>
      <c r="Q51" s="1976"/>
      <c r="R51" s="1976"/>
      <c r="S51" s="1976"/>
      <c r="T51" s="1976"/>
      <c r="U51" s="1976"/>
      <c r="V51" s="1976"/>
      <c r="W51" s="1976"/>
      <c r="AH51" s="318" t="s">
        <v>920</v>
      </c>
      <c r="AI51" s="318"/>
      <c r="AJ51" s="318"/>
      <c r="AL51" s="1976">
        <f>VLOOKUP(AL47,Portada!$B$29:$AQ$44,29)</f>
        <v>1300</v>
      </c>
      <c r="AM51" s="1976"/>
      <c r="AN51" s="1976"/>
      <c r="AO51" s="1976"/>
      <c r="AP51" s="1976"/>
      <c r="AQ51" s="1976"/>
      <c r="AR51" s="1976"/>
      <c r="AS51" s="1976"/>
      <c r="AT51" s="1976"/>
      <c r="BE51" s="317" t="s">
        <v>920</v>
      </c>
      <c r="BF51" s="317"/>
      <c r="BG51" s="317"/>
      <c r="BI51" s="1976">
        <f>VLOOKUP(BI47,Portada!$B$29:$AQ$44,29)</f>
        <v>1675</v>
      </c>
      <c r="BJ51" s="1976"/>
      <c r="BK51" s="1976"/>
      <c r="BL51" s="1976"/>
      <c r="BM51" s="1976"/>
      <c r="BN51" s="1976"/>
      <c r="BO51" s="1976"/>
      <c r="BP51" s="1976"/>
      <c r="BQ51" s="1976"/>
      <c r="BT51" s="531"/>
    </row>
    <row r="52" spans="1:73" s="71" customFormat="1" x14ac:dyDescent="0.2">
      <c r="A52" s="531"/>
      <c r="K52" s="318" t="s">
        <v>921</v>
      </c>
      <c r="L52" s="318"/>
      <c r="M52" s="318"/>
      <c r="O52" s="1976">
        <f>VLOOKUP(O47,Portada!$B$29:$AQ$44,23)</f>
        <v>2017</v>
      </c>
      <c r="P52" s="1976"/>
      <c r="Q52" s="1976"/>
      <c r="R52" s="1976"/>
      <c r="S52" s="1976"/>
      <c r="T52" s="1976"/>
      <c r="U52" s="1976"/>
      <c r="V52" s="1976"/>
      <c r="W52" s="1976"/>
      <c r="AH52" s="318" t="s">
        <v>921</v>
      </c>
      <c r="AI52" s="318"/>
      <c r="AJ52" s="318"/>
      <c r="AL52" s="1976">
        <f>VLOOKUP(AL47,Portada!$B$29:$AQ$44,23)</f>
        <v>2017</v>
      </c>
      <c r="AM52" s="1976"/>
      <c r="AN52" s="1976"/>
      <c r="AO52" s="1976"/>
      <c r="AP52" s="1976"/>
      <c r="AQ52" s="1976"/>
      <c r="AR52" s="1976"/>
      <c r="AS52" s="1976"/>
      <c r="AT52" s="1976"/>
      <c r="BE52" s="317" t="s">
        <v>921</v>
      </c>
      <c r="BF52" s="317"/>
      <c r="BG52" s="317"/>
      <c r="BI52" s="1976">
        <f>VLOOKUP(BI47,Portada!$B$29:$AQ$44,23)</f>
        <v>2017</v>
      </c>
      <c r="BJ52" s="1976"/>
      <c r="BK52" s="1976"/>
      <c r="BL52" s="1976"/>
      <c r="BM52" s="1976"/>
      <c r="BN52" s="1976"/>
      <c r="BO52" s="1976"/>
      <c r="BP52" s="1976"/>
      <c r="BQ52" s="1976"/>
      <c r="BT52" s="531"/>
    </row>
    <row r="53" spans="1:73" s="71" customFormat="1" x14ac:dyDescent="0.2">
      <c r="A53" s="531"/>
      <c r="C53"/>
      <c r="D53"/>
      <c r="E53"/>
      <c r="F53"/>
      <c r="G53"/>
      <c r="K53" s="318" t="s">
        <v>922</v>
      </c>
      <c r="L53" s="318"/>
      <c r="M53" s="318"/>
      <c r="O53" s="1984">
        <f>VLOOKUP(O47,Portada!$B$29:$AQ$44,38)</f>
        <v>45</v>
      </c>
      <c r="P53" s="1984"/>
      <c r="Q53" s="1984"/>
      <c r="R53" s="1984"/>
      <c r="S53" s="1984"/>
      <c r="T53" s="1984"/>
      <c r="U53" s="1984"/>
      <c r="V53" s="1984"/>
      <c r="W53" s="1984"/>
      <c r="AH53" s="318" t="s">
        <v>922</v>
      </c>
      <c r="AI53" s="318"/>
      <c r="AJ53" s="318"/>
      <c r="AL53" s="1984">
        <f>VLOOKUP(AL47,Portada!$B$29:$AQ$44,38)</f>
        <v>41</v>
      </c>
      <c r="AM53" s="1984"/>
      <c r="AN53" s="1984"/>
      <c r="AO53" s="1984"/>
      <c r="AP53" s="1984"/>
      <c r="AQ53" s="1984"/>
      <c r="AR53" s="1984"/>
      <c r="AS53" s="1984"/>
      <c r="AT53" s="1984"/>
      <c r="BE53" s="317" t="s">
        <v>922</v>
      </c>
      <c r="BF53" s="317"/>
      <c r="BG53" s="317"/>
      <c r="BI53" s="1984">
        <f>VLOOKUP(BI47,Portada!$B$29:$AQ$44,38)</f>
        <v>42</v>
      </c>
      <c r="BJ53" s="1984"/>
      <c r="BK53" s="1984"/>
      <c r="BL53" s="1984"/>
      <c r="BM53" s="1984"/>
      <c r="BN53" s="1984"/>
      <c r="BO53" s="1984"/>
      <c r="BP53" s="1984"/>
      <c r="BQ53" s="1984"/>
      <c r="BT53" s="531"/>
    </row>
    <row r="54" spans="1:73" s="71" customFormat="1" x14ac:dyDescent="0.2">
      <c r="A54" s="531"/>
      <c r="C54"/>
      <c r="D54"/>
      <c r="E54"/>
      <c r="F54"/>
      <c r="G54"/>
      <c r="K54" s="318" t="s">
        <v>923</v>
      </c>
      <c r="L54" s="318"/>
      <c r="M54" s="318"/>
      <c r="O54" s="1984">
        <f>VLOOKUP(O47,Portada!$B$29:$AQ$44,33)</f>
        <v>0</v>
      </c>
      <c r="P54" s="1984"/>
      <c r="Q54" s="1984"/>
      <c r="R54" s="1984"/>
      <c r="S54" s="1984"/>
      <c r="T54" s="1984"/>
      <c r="U54" s="1984"/>
      <c r="V54" s="1984"/>
      <c r="W54" s="1984"/>
      <c r="AH54" s="318" t="s">
        <v>923</v>
      </c>
      <c r="AI54" s="318"/>
      <c r="AJ54" s="318"/>
      <c r="AL54" s="1984">
        <f>VLOOKUP(AL47,Portada!$B$29:$AQ$44,33)</f>
        <v>0</v>
      </c>
      <c r="AM54" s="1984"/>
      <c r="AN54" s="1984"/>
      <c r="AO54" s="1984"/>
      <c r="AP54" s="1984"/>
      <c r="AQ54" s="1984"/>
      <c r="AR54" s="1984"/>
      <c r="AS54" s="1984"/>
      <c r="AT54" s="1984"/>
      <c r="BE54" s="317" t="s">
        <v>923</v>
      </c>
      <c r="BF54" s="317"/>
      <c r="BG54" s="317"/>
      <c r="BI54" s="1984">
        <f>VLOOKUP(BI47,Portada!$B$29:$AQ$44,33)</f>
        <v>0</v>
      </c>
      <c r="BJ54" s="1984"/>
      <c r="BK54" s="1984"/>
      <c r="BL54" s="1984"/>
      <c r="BM54" s="1984"/>
      <c r="BN54" s="1984"/>
      <c r="BO54" s="1984"/>
      <c r="BP54" s="1984"/>
      <c r="BQ54" s="1984"/>
      <c r="BT54" s="531"/>
    </row>
    <row r="55" spans="1:73" s="71" customFormat="1" x14ac:dyDescent="0.2">
      <c r="A55" s="531"/>
      <c r="AH55" s="317"/>
      <c r="AI55" s="317"/>
      <c r="AJ55" s="317"/>
      <c r="AK55" s="317"/>
      <c r="AL55" s="317"/>
      <c r="AM55" s="317"/>
      <c r="AN55" s="317"/>
      <c r="AO55" s="317"/>
      <c r="AP55" s="317"/>
      <c r="AQ55" s="317"/>
      <c r="AR55" s="317"/>
      <c r="AS55" s="317"/>
      <c r="AT55" s="317"/>
      <c r="AU55" s="317"/>
      <c r="BT55" s="531"/>
    </row>
    <row r="56" spans="1:73" s="71" customFormat="1" x14ac:dyDescent="0.2">
      <c r="A56" s="531"/>
      <c r="AH56" s="317"/>
      <c r="AI56" s="317"/>
      <c r="AJ56" s="317"/>
      <c r="AK56" s="317"/>
      <c r="AL56" s="317"/>
      <c r="AM56" s="317"/>
      <c r="AN56" s="317"/>
      <c r="AO56" s="317"/>
      <c r="AP56" s="317"/>
      <c r="AQ56" s="317"/>
      <c r="AR56" s="317"/>
      <c r="AS56" s="317"/>
      <c r="AT56" s="317"/>
      <c r="AU56" s="317"/>
      <c r="BT56" s="531"/>
    </row>
    <row r="57" spans="1:73" s="71" customFormat="1" x14ac:dyDescent="0.2">
      <c r="A57" s="531"/>
      <c r="AH57" s="317"/>
      <c r="AI57" s="317"/>
      <c r="AJ57" s="317"/>
      <c r="AK57" s="317"/>
      <c r="AL57" s="317"/>
      <c r="AM57" s="317"/>
      <c r="AN57" s="317"/>
      <c r="AO57" s="317"/>
      <c r="AP57" s="317"/>
      <c r="AQ57" s="317"/>
      <c r="AR57" s="317"/>
      <c r="AS57" s="317"/>
      <c r="AT57" s="317"/>
      <c r="AU57" s="317"/>
      <c r="BT57" s="531"/>
    </row>
    <row r="58" spans="1:73" s="71" customFormat="1" x14ac:dyDescent="0.2">
      <c r="A58" s="531"/>
      <c r="BT58" s="531"/>
    </row>
    <row r="59" spans="1:73" s="71" customFormat="1" ht="12.75" customHeight="1" x14ac:dyDescent="0.2">
      <c r="A59" s="531"/>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531"/>
    </row>
    <row r="60" spans="1:73" s="71" customFormat="1" ht="12.75" customHeight="1" x14ac:dyDescent="0.2">
      <c r="A60" s="531"/>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531"/>
    </row>
    <row r="61" spans="1:73" s="71" customFormat="1" ht="12.75" customHeight="1" x14ac:dyDescent="0.2">
      <c r="A61" s="53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531"/>
    </row>
    <row r="62" spans="1:73" s="71" customFormat="1" ht="12.75" customHeight="1" thickBot="1" x14ac:dyDescent="0.25">
      <c r="A62" s="531"/>
      <c r="B62" s="533"/>
      <c r="C62" s="534"/>
      <c r="D62" s="534"/>
      <c r="E62" s="534"/>
      <c r="F62" s="534"/>
      <c r="G62" s="534"/>
      <c r="H62" s="534"/>
      <c r="I62" s="534"/>
      <c r="J62" s="534"/>
      <c r="K62" s="534"/>
      <c r="L62" s="534"/>
      <c r="M62" s="534"/>
      <c r="N62" s="534"/>
      <c r="O62" s="534"/>
      <c r="P62" s="534"/>
      <c r="Q62" s="534"/>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534"/>
      <c r="BS62" s="534"/>
      <c r="BT62" s="535"/>
      <c r="BU62" s="532"/>
    </row>
    <row r="63" spans="1:73" ht="6.75" customHeight="1" x14ac:dyDescent="0.2"/>
  </sheetData>
  <dataConsolidate/>
  <mergeCells count="32">
    <mergeCell ref="AN1:AV1"/>
    <mergeCell ref="E2:Y2"/>
    <mergeCell ref="AG2:AJ2"/>
    <mergeCell ref="E3:S3"/>
    <mergeCell ref="U3:V3"/>
    <mergeCell ref="W3:Y3"/>
    <mergeCell ref="Z3:AF3"/>
    <mergeCell ref="AG3:AN3"/>
    <mergeCell ref="B6:BT29"/>
    <mergeCell ref="BI50:BQ50"/>
    <mergeCell ref="BI51:BQ51"/>
    <mergeCell ref="B4:D4"/>
    <mergeCell ref="E4:L4"/>
    <mergeCell ref="S4:U4"/>
    <mergeCell ref="V4:AG4"/>
    <mergeCell ref="AH4:AU4"/>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BA57"/>
  <sheetViews>
    <sheetView showGridLines="0" zoomScaleNormal="100" workbookViewId="0">
      <selection activeCell="T8" sqref="T8:W8"/>
    </sheetView>
  </sheetViews>
  <sheetFormatPr baseColWidth="10" defaultColWidth="9.140625" defaultRowHeight="12.75" x14ac:dyDescent="0.2"/>
  <cols>
    <col min="1" max="1" width="2.140625"/>
    <col min="2" max="34" width="2.85546875"/>
    <col min="35" max="36" width="1.140625"/>
    <col min="37" max="1025" width="0" hidden="1"/>
  </cols>
  <sheetData>
    <row r="1" spans="1:53" ht="11.25" customHeight="1" x14ac:dyDescent="0.2">
      <c r="G1" s="288"/>
      <c r="O1" s="109"/>
      <c r="Z1" s="289"/>
      <c r="AD1" s="289"/>
      <c r="AE1" s="289"/>
      <c r="AF1" s="289"/>
      <c r="AG1" s="289"/>
      <c r="AH1" s="289"/>
      <c r="AI1" s="289"/>
      <c r="AM1" s="290"/>
    </row>
    <row r="2" spans="1:53" s="291" customFormat="1" ht="16.5" customHeight="1" x14ac:dyDescent="0.3">
      <c r="H2" s="289"/>
      <c r="J2" s="292" t="s">
        <v>924</v>
      </c>
      <c r="N2" s="292"/>
      <c r="Z2" s="1200" t="s">
        <v>460</v>
      </c>
      <c r="AA2" s="1200"/>
      <c r="AB2" s="1200"/>
      <c r="AC2" s="1996" t="str">
        <f>+Portada!BH2</f>
        <v>AGH -1548</v>
      </c>
      <c r="AD2" s="1996"/>
      <c r="AE2" s="1996"/>
      <c r="AF2" s="1996"/>
      <c r="AG2" s="319"/>
      <c r="AH2" s="319"/>
      <c r="AI2" s="320"/>
      <c r="AM2" s="294"/>
      <c r="AW2" s="295"/>
      <c r="AX2" s="295"/>
      <c r="AY2" s="295"/>
      <c r="AZ2" s="295"/>
      <c r="BA2" s="295"/>
    </row>
    <row r="3" spans="1:53" ht="13.5" customHeight="1" x14ac:dyDescent="0.2">
      <c r="A3" s="296" t="s">
        <v>675</v>
      </c>
      <c r="B3" s="297"/>
      <c r="C3" s="297"/>
      <c r="D3" s="1981" t="str">
        <f>+Portada!F3</f>
        <v>Janeth Patricia Cando Arias</v>
      </c>
      <c r="E3" s="1981"/>
      <c r="F3" s="1981"/>
      <c r="G3" s="1981"/>
      <c r="H3" s="1981"/>
      <c r="I3" s="1981"/>
      <c r="J3" s="1981"/>
      <c r="K3" s="1981"/>
      <c r="L3" s="1981"/>
      <c r="M3" s="1981"/>
      <c r="N3" s="1981"/>
      <c r="O3" s="1981"/>
      <c r="P3" s="1981"/>
      <c r="Q3" s="1981"/>
      <c r="R3" s="1981"/>
      <c r="S3" s="1981"/>
      <c r="T3" s="1981"/>
      <c r="U3" s="297"/>
      <c r="V3" s="297" t="s">
        <v>456</v>
      </c>
      <c r="W3" s="297"/>
      <c r="X3" s="1981" t="str">
        <f>+Portada!AE3</f>
        <v>22.959.221-1</v>
      </c>
      <c r="Y3" s="1981"/>
      <c r="Z3" s="1981"/>
      <c r="AA3" s="1981"/>
      <c r="AB3" s="297"/>
      <c r="AC3" s="297"/>
      <c r="AD3" s="297"/>
      <c r="AE3" s="297"/>
      <c r="AF3" s="297"/>
      <c r="AG3" s="298"/>
      <c r="AH3" s="297"/>
      <c r="AI3" s="299"/>
      <c r="AM3" s="294"/>
      <c r="AS3" s="291"/>
      <c r="AW3" s="295"/>
      <c r="AX3" s="295"/>
      <c r="AY3" s="295"/>
      <c r="AZ3" s="295"/>
      <c r="BA3" s="295"/>
    </row>
    <row r="4" spans="1:53" ht="13.5" customHeight="1" x14ac:dyDescent="0.2">
      <c r="A4" s="300" t="s">
        <v>676</v>
      </c>
      <c r="B4" s="301"/>
      <c r="C4" s="301"/>
      <c r="D4" s="1978" t="str">
        <f>+Portada!AU4</f>
        <v>Coronel Souper N° 4060</v>
      </c>
      <c r="E4" s="1978"/>
      <c r="F4" s="1978"/>
      <c r="G4" s="1978"/>
      <c r="H4" s="1978"/>
      <c r="I4" s="1978"/>
      <c r="J4" s="1978"/>
      <c r="K4" s="1978"/>
      <c r="L4" s="1978"/>
      <c r="M4" s="1978"/>
      <c r="N4" s="1978"/>
      <c r="O4" s="302"/>
      <c r="P4" s="1982"/>
      <c r="Q4" s="1982"/>
      <c r="R4" s="1982" t="str">
        <f>+Portada!AP5</f>
        <v>Depto.</v>
      </c>
      <c r="S4" s="1982"/>
      <c r="T4" s="1982"/>
      <c r="U4" s="1978" t="str">
        <f>+Portada!AU5</f>
        <v>N°2502 B</v>
      </c>
      <c r="V4" s="1978"/>
      <c r="W4" s="1978"/>
      <c r="X4" s="1978" t="str">
        <f>+Portada!AU6</f>
        <v>Mirador Souper</v>
      </c>
      <c r="Y4" s="1978"/>
      <c r="Z4" s="1978"/>
      <c r="AA4" s="1978"/>
      <c r="AB4" s="1978"/>
      <c r="AC4" s="1978"/>
      <c r="AD4" s="1978"/>
      <c r="AE4" s="1978"/>
      <c r="AF4" s="301"/>
      <c r="AG4" s="303"/>
      <c r="AH4" s="301"/>
      <c r="AI4" s="304"/>
      <c r="AM4" s="294"/>
      <c r="AS4" s="291"/>
      <c r="AW4" s="295"/>
      <c r="AX4" s="295"/>
      <c r="AY4" s="295"/>
      <c r="AZ4" s="295"/>
      <c r="BA4" s="295"/>
    </row>
    <row r="5" spans="1:53" ht="13.5" customHeight="1" x14ac:dyDescent="0.2">
      <c r="A5" s="1977" t="s">
        <v>457</v>
      </c>
      <c r="B5" s="1977"/>
      <c r="C5" s="1977"/>
      <c r="D5" s="1978" t="str">
        <f>+Portada!AU8</f>
        <v>Estación Central</v>
      </c>
      <c r="E5" s="1978"/>
      <c r="F5" s="1978"/>
      <c r="G5" s="1978"/>
      <c r="H5" s="1978"/>
      <c r="I5" s="1978"/>
      <c r="J5" s="1978"/>
      <c r="K5" s="1978"/>
      <c r="L5" s="301"/>
      <c r="M5" s="301"/>
      <c r="N5" s="1979" t="s">
        <v>677</v>
      </c>
      <c r="O5" s="1979"/>
      <c r="P5" s="1979"/>
      <c r="Q5" s="1979" t="str">
        <f>+Portada!AU7</f>
        <v>Metropolitana de Santiago</v>
      </c>
      <c r="R5" s="1979"/>
      <c r="S5" s="1979"/>
      <c r="T5" s="1979"/>
      <c r="U5" s="1979"/>
      <c r="V5" s="1979"/>
      <c r="W5" s="1979"/>
      <c r="X5" s="1979"/>
      <c r="Y5" s="1978"/>
      <c r="Z5" s="1978"/>
      <c r="AA5" s="1978"/>
      <c r="AB5" s="1978"/>
      <c r="AC5" s="1978"/>
      <c r="AD5" s="1978"/>
      <c r="AE5" s="1978"/>
      <c r="AF5" s="1978"/>
      <c r="AG5" s="1978"/>
      <c r="AH5" s="1978"/>
      <c r="AI5" s="304"/>
      <c r="AM5" s="294"/>
      <c r="AS5" s="291"/>
      <c r="AW5" s="295"/>
      <c r="AX5" s="295"/>
      <c r="AY5" s="295"/>
      <c r="AZ5" s="295"/>
      <c r="BA5" s="295"/>
    </row>
    <row r="6" spans="1:53" ht="13.5" customHeight="1" x14ac:dyDescent="0.3">
      <c r="A6" s="321"/>
      <c r="B6" s="322"/>
      <c r="C6" s="322"/>
      <c r="D6" s="322"/>
      <c r="E6" s="322"/>
      <c r="F6" s="322"/>
      <c r="G6" s="322"/>
      <c r="H6" s="323"/>
      <c r="I6" s="322"/>
      <c r="J6" s="322"/>
      <c r="K6" s="322"/>
      <c r="L6" s="322"/>
      <c r="M6" s="322"/>
      <c r="N6" s="324"/>
      <c r="O6" s="322"/>
      <c r="P6" s="322"/>
      <c r="Q6" s="322"/>
      <c r="R6" s="322"/>
      <c r="S6" s="322"/>
      <c r="T6" s="322"/>
      <c r="U6" s="322"/>
      <c r="V6" s="322"/>
      <c r="W6" s="322"/>
      <c r="X6" s="322"/>
      <c r="Y6" s="322"/>
      <c r="Z6" s="322"/>
      <c r="AA6" s="322"/>
      <c r="AB6" s="322"/>
      <c r="AC6" s="322"/>
      <c r="AD6" s="322"/>
      <c r="AE6" s="322"/>
      <c r="AF6" s="322"/>
      <c r="AG6" s="325"/>
      <c r="AH6" s="322"/>
      <c r="AI6" s="326"/>
      <c r="AM6" s="294"/>
      <c r="AS6" s="291"/>
      <c r="AW6" s="295"/>
      <c r="AX6" s="295"/>
      <c r="AY6" s="295"/>
      <c r="AZ6" s="295"/>
      <c r="BA6" s="295"/>
    </row>
    <row r="7" spans="1:53" ht="13.5" x14ac:dyDescent="0.25">
      <c r="A7" s="327" t="s">
        <v>925</v>
      </c>
      <c r="B7" s="328"/>
      <c r="C7" s="328"/>
      <c r="D7" s="328"/>
      <c r="E7" s="328"/>
      <c r="F7" s="328"/>
      <c r="G7" s="329"/>
      <c r="H7" s="328" t="s">
        <v>796</v>
      </c>
      <c r="I7" s="328"/>
      <c r="J7" s="328"/>
      <c r="K7" s="328"/>
      <c r="L7" s="329"/>
      <c r="M7" s="328"/>
      <c r="N7" s="330" t="s">
        <v>926</v>
      </c>
      <c r="O7" s="330"/>
      <c r="P7" s="330"/>
      <c r="Q7" s="329"/>
      <c r="R7" s="331" t="s">
        <v>927</v>
      </c>
      <c r="S7" s="331"/>
      <c r="T7" s="331" t="s">
        <v>928</v>
      </c>
      <c r="U7" s="329"/>
      <c r="V7" s="331"/>
      <c r="W7" s="328"/>
      <c r="X7" s="331" t="s">
        <v>929</v>
      </c>
      <c r="Y7" s="329"/>
      <c r="Z7" s="329"/>
      <c r="AA7" s="329"/>
      <c r="AB7" s="329"/>
      <c r="AC7" s="329"/>
      <c r="AD7" s="329"/>
      <c r="AE7" s="329"/>
      <c r="AF7" s="329"/>
      <c r="AG7" s="331"/>
      <c r="AH7" s="331"/>
      <c r="AI7" s="332"/>
    </row>
    <row r="8" spans="1:53" ht="12.75" customHeight="1" x14ac:dyDescent="0.25">
      <c r="A8" s="333" t="s">
        <v>542</v>
      </c>
      <c r="B8" s="334"/>
      <c r="C8" s="335"/>
      <c r="D8" s="335"/>
      <c r="E8" s="335"/>
      <c r="F8" s="336" t="s">
        <v>462</v>
      </c>
      <c r="G8" s="1994" t="str">
        <f>+Portada!S24</f>
        <v>Hormigón</v>
      </c>
      <c r="H8" s="1994"/>
      <c r="I8" s="1994"/>
      <c r="J8" s="1994"/>
      <c r="K8" s="1994"/>
      <c r="L8" s="1994"/>
      <c r="M8" s="1994"/>
      <c r="N8" s="1992" t="s">
        <v>930</v>
      </c>
      <c r="O8" s="1992"/>
      <c r="P8" s="1992"/>
      <c r="Q8" s="1992" t="s">
        <v>931</v>
      </c>
      <c r="R8" s="1992"/>
      <c r="S8" s="1992"/>
      <c r="T8" s="1992" t="s">
        <v>932</v>
      </c>
      <c r="U8" s="1992"/>
      <c r="V8" s="1992"/>
      <c r="W8" s="1992"/>
      <c r="X8" s="1993"/>
      <c r="Y8" s="1993"/>
      <c r="Z8" s="1993"/>
      <c r="AA8" s="1993"/>
      <c r="AB8" s="1993"/>
      <c r="AC8" s="1993"/>
      <c r="AD8" s="1993"/>
      <c r="AE8" s="1993"/>
      <c r="AF8" s="1993"/>
      <c r="AG8" s="1993"/>
      <c r="AH8" s="1993"/>
      <c r="AI8" s="1993"/>
      <c r="AL8" t="s">
        <v>933</v>
      </c>
    </row>
    <row r="9" spans="1:53" ht="11.25" customHeight="1" x14ac:dyDescent="0.25">
      <c r="A9" s="333" t="s">
        <v>551</v>
      </c>
      <c r="B9" s="334"/>
      <c r="C9" s="335"/>
      <c r="D9" s="335"/>
      <c r="E9" s="335"/>
      <c r="F9" s="336" t="s">
        <v>462</v>
      </c>
      <c r="G9" s="1994" t="str">
        <f>+Portada!S25</f>
        <v>Pastelón</v>
      </c>
      <c r="H9" s="1994"/>
      <c r="I9" s="1994"/>
      <c r="J9" s="1994"/>
      <c r="K9" s="1994"/>
      <c r="L9" s="1994"/>
      <c r="M9" s="1994"/>
      <c r="N9" s="1992" t="s">
        <v>930</v>
      </c>
      <c r="O9" s="1992"/>
      <c r="P9" s="1992"/>
      <c r="Q9" s="1992" t="s">
        <v>931</v>
      </c>
      <c r="R9" s="1992"/>
      <c r="S9" s="1992"/>
      <c r="T9" s="1992" t="s">
        <v>932</v>
      </c>
      <c r="U9" s="1992"/>
      <c r="V9" s="1992"/>
      <c r="W9" s="1992"/>
      <c r="X9" s="1993"/>
      <c r="Y9" s="1993"/>
      <c r="Z9" s="1993"/>
      <c r="AA9" s="1993"/>
      <c r="AB9" s="1993"/>
      <c r="AC9" s="1993"/>
      <c r="AD9" s="1993"/>
      <c r="AE9" s="1993"/>
      <c r="AF9" s="1993"/>
      <c r="AG9" s="1993"/>
      <c r="AH9" s="1993"/>
      <c r="AI9" s="1993"/>
      <c r="AL9" t="s">
        <v>511</v>
      </c>
    </row>
    <row r="10" spans="1:53" ht="13.5" x14ac:dyDescent="0.25">
      <c r="A10" s="337" t="s">
        <v>558</v>
      </c>
      <c r="B10" s="338"/>
      <c r="C10" s="335"/>
      <c r="D10" s="335"/>
      <c r="E10" s="335"/>
      <c r="F10" s="336" t="s">
        <v>462</v>
      </c>
      <c r="G10" s="1994" t="str">
        <f>+Portada!S26</f>
        <v>Solera</v>
      </c>
      <c r="H10" s="1994"/>
      <c r="I10" s="1994"/>
      <c r="J10" s="1994"/>
      <c r="K10" s="1994"/>
      <c r="L10" s="1994"/>
      <c r="M10" s="1994"/>
      <c r="N10" s="1992" t="s">
        <v>930</v>
      </c>
      <c r="O10" s="1992"/>
      <c r="P10" s="1992"/>
      <c r="Q10" s="1992" t="s">
        <v>931</v>
      </c>
      <c r="R10" s="1992"/>
      <c r="S10" s="1992"/>
      <c r="T10" s="1992" t="s">
        <v>932</v>
      </c>
      <c r="U10" s="1992"/>
      <c r="V10" s="1992"/>
      <c r="W10" s="1992"/>
      <c r="X10" s="1993"/>
      <c r="Y10" s="1993"/>
      <c r="Z10" s="1993"/>
      <c r="AA10" s="1993"/>
      <c r="AB10" s="1993"/>
      <c r="AC10" s="1993"/>
      <c r="AD10" s="1993"/>
      <c r="AE10" s="1993"/>
      <c r="AF10" s="1993"/>
      <c r="AG10" s="1993"/>
      <c r="AH10" s="1993"/>
      <c r="AI10" s="1993"/>
      <c r="AL10" t="s">
        <v>934</v>
      </c>
    </row>
    <row r="11" spans="1:53" ht="13.5" x14ac:dyDescent="0.25">
      <c r="A11" s="333" t="s">
        <v>531</v>
      </c>
      <c r="B11" s="334"/>
      <c r="C11" s="334"/>
      <c r="D11" s="335"/>
      <c r="E11" s="335"/>
      <c r="F11" s="336" t="s">
        <v>462</v>
      </c>
      <c r="G11" s="1994" t="str">
        <f>+Portada!AE23</f>
        <v>Red Aérea</v>
      </c>
      <c r="H11" s="1994"/>
      <c r="I11" s="1994"/>
      <c r="J11" s="1994"/>
      <c r="K11" s="1994"/>
      <c r="L11" s="1994"/>
      <c r="M11" s="1994"/>
      <c r="N11" s="1992" t="s">
        <v>930</v>
      </c>
      <c r="O11" s="1992"/>
      <c r="P11" s="1992"/>
      <c r="Q11" s="1992" t="s">
        <v>931</v>
      </c>
      <c r="R11" s="1992"/>
      <c r="S11" s="1992"/>
      <c r="T11" s="1992" t="s">
        <v>932</v>
      </c>
      <c r="U11" s="1992"/>
      <c r="V11" s="1992"/>
      <c r="W11" s="1992"/>
      <c r="X11" s="1993"/>
      <c r="Y11" s="1993"/>
      <c r="Z11" s="1993"/>
      <c r="AA11" s="1993"/>
      <c r="AB11" s="1993"/>
      <c r="AC11" s="1993"/>
      <c r="AD11" s="1993"/>
      <c r="AE11" s="1993"/>
      <c r="AF11" s="1993"/>
      <c r="AG11" s="1993"/>
      <c r="AH11" s="1993"/>
      <c r="AI11" s="1993"/>
      <c r="AL11" t="s">
        <v>935</v>
      </c>
    </row>
    <row r="12" spans="1:53" ht="13.5" x14ac:dyDescent="0.25">
      <c r="A12" s="339" t="s">
        <v>543</v>
      </c>
      <c r="B12" s="334"/>
      <c r="C12" s="334"/>
      <c r="D12" s="335"/>
      <c r="E12" s="335"/>
      <c r="F12" s="336" t="s">
        <v>462</v>
      </c>
      <c r="G12" s="1994" t="str">
        <f>+Portada!AE24</f>
        <v>Matriz Pública</v>
      </c>
      <c r="H12" s="1994"/>
      <c r="I12" s="1994"/>
      <c r="J12" s="1994"/>
      <c r="K12" s="1994"/>
      <c r="L12" s="1994"/>
      <c r="M12" s="1994"/>
      <c r="N12" s="1992" t="s">
        <v>930</v>
      </c>
      <c r="O12" s="1992"/>
      <c r="P12" s="1992"/>
      <c r="Q12" s="1992" t="s">
        <v>931</v>
      </c>
      <c r="R12" s="1992"/>
      <c r="S12" s="1992"/>
      <c r="T12" s="1992" t="s">
        <v>932</v>
      </c>
      <c r="U12" s="1992"/>
      <c r="V12" s="1992"/>
      <c r="W12" s="1992"/>
      <c r="X12" s="1993"/>
      <c r="Y12" s="1993"/>
      <c r="Z12" s="1993"/>
      <c r="AA12" s="1993"/>
      <c r="AB12" s="1993"/>
      <c r="AC12" s="1993"/>
      <c r="AD12" s="1993"/>
      <c r="AE12" s="1993"/>
      <c r="AF12" s="1993"/>
      <c r="AG12" s="1993"/>
      <c r="AH12" s="1993"/>
      <c r="AI12" s="1993"/>
      <c r="AL12" t="s">
        <v>936</v>
      </c>
    </row>
    <row r="13" spans="1:53" ht="13.5" x14ac:dyDescent="0.25">
      <c r="A13" s="333" t="s">
        <v>552</v>
      </c>
      <c r="B13" s="334"/>
      <c r="C13" s="334"/>
      <c r="D13" s="335"/>
      <c r="E13" s="335"/>
      <c r="F13" s="336" t="s">
        <v>462</v>
      </c>
      <c r="G13" s="1994" t="str">
        <f>+Portada!AE25</f>
        <v>Full Eléctrica</v>
      </c>
      <c r="H13" s="1994"/>
      <c r="I13" s="1994"/>
      <c r="J13" s="1994"/>
      <c r="K13" s="1994"/>
      <c r="L13" s="1994"/>
      <c r="M13" s="1994"/>
      <c r="N13" s="1992" t="s">
        <v>930</v>
      </c>
      <c r="O13" s="1992"/>
      <c r="P13" s="1992"/>
      <c r="Q13" s="1992" t="s">
        <v>931</v>
      </c>
      <c r="R13" s="1992"/>
      <c r="S13" s="1992"/>
      <c r="T13" s="1992" t="s">
        <v>932</v>
      </c>
      <c r="U13" s="1992"/>
      <c r="V13" s="1992"/>
      <c r="W13" s="1992"/>
      <c r="X13" s="1993"/>
      <c r="Y13" s="1993"/>
      <c r="Z13" s="1993"/>
      <c r="AA13" s="1993"/>
      <c r="AB13" s="1993"/>
      <c r="AC13" s="1993"/>
      <c r="AD13" s="1993"/>
      <c r="AE13" s="1993"/>
      <c r="AF13" s="1993"/>
      <c r="AG13" s="1993"/>
      <c r="AH13" s="1993"/>
      <c r="AI13" s="1993"/>
    </row>
    <row r="14" spans="1:53" ht="13.5" x14ac:dyDescent="0.25">
      <c r="A14" s="340" t="s">
        <v>937</v>
      </c>
      <c r="B14" s="341"/>
      <c r="C14" s="341"/>
      <c r="D14" s="341"/>
      <c r="E14" s="341"/>
      <c r="F14" s="342" t="s">
        <v>462</v>
      </c>
      <c r="G14" s="1995"/>
      <c r="H14" s="1995"/>
      <c r="I14" s="1995"/>
      <c r="J14" s="1995"/>
      <c r="K14" s="1995"/>
      <c r="L14" s="1995"/>
      <c r="M14" s="1995"/>
      <c r="N14" s="1992" t="s">
        <v>930</v>
      </c>
      <c r="O14" s="1992"/>
      <c r="P14" s="1992"/>
      <c r="Q14" s="1992" t="s">
        <v>931</v>
      </c>
      <c r="R14" s="1992"/>
      <c r="S14" s="1992"/>
      <c r="T14" s="1992" t="s">
        <v>932</v>
      </c>
      <c r="U14" s="1992"/>
      <c r="V14" s="1992"/>
      <c r="W14" s="1992"/>
      <c r="X14" s="1987"/>
      <c r="Y14" s="1987"/>
      <c r="Z14" s="1987"/>
      <c r="AA14" s="1987"/>
      <c r="AB14" s="1987"/>
      <c r="AC14" s="1987"/>
      <c r="AD14" s="1987"/>
      <c r="AE14" s="1987"/>
      <c r="AF14" s="1987"/>
      <c r="AG14" s="1987"/>
      <c r="AH14" s="1987"/>
      <c r="AI14" s="1987"/>
      <c r="AL14" t="s">
        <v>938</v>
      </c>
    </row>
    <row r="15" spans="1:53" ht="13.5" x14ac:dyDescent="0.25">
      <c r="A15" s="343" t="s">
        <v>939</v>
      </c>
      <c r="B15" s="344"/>
      <c r="C15" s="344"/>
      <c r="D15" s="344"/>
      <c r="E15" s="344"/>
      <c r="F15" s="344"/>
      <c r="G15" s="344"/>
      <c r="H15" s="345"/>
      <c r="I15" s="345"/>
      <c r="J15" s="345"/>
      <c r="K15" s="345"/>
      <c r="L15" s="345"/>
      <c r="M15" s="345"/>
      <c r="N15" s="345"/>
      <c r="O15" s="345"/>
      <c r="P15" s="345"/>
      <c r="Q15" s="345"/>
      <c r="R15" s="345"/>
      <c r="S15" s="345"/>
      <c r="T15" s="345"/>
      <c r="U15" s="345"/>
      <c r="V15" s="345"/>
      <c r="W15" s="345"/>
      <c r="X15" s="345"/>
      <c r="Y15" s="345"/>
      <c r="Z15" s="345"/>
      <c r="AA15" s="345"/>
      <c r="AB15" s="345"/>
      <c r="AC15" s="345"/>
      <c r="AD15" s="346"/>
      <c r="AE15" s="347"/>
      <c r="AF15" s="347"/>
      <c r="AG15" s="347"/>
      <c r="AH15" s="347"/>
      <c r="AI15" s="347"/>
      <c r="AL15" t="s">
        <v>940</v>
      </c>
    </row>
    <row r="16" spans="1:53" ht="13.5" x14ac:dyDescent="0.25">
      <c r="A16" s="327" t="s">
        <v>938</v>
      </c>
      <c r="B16" s="329"/>
      <c r="C16" s="329"/>
      <c r="D16" s="329"/>
      <c r="E16" s="329"/>
      <c r="F16" s="329"/>
      <c r="G16" s="329"/>
      <c r="H16" s="328" t="s">
        <v>796</v>
      </c>
      <c r="I16" s="328"/>
      <c r="J16" s="328"/>
      <c r="K16" s="328"/>
      <c r="L16" s="329"/>
      <c r="M16" s="328"/>
      <c r="N16" s="330" t="s">
        <v>926</v>
      </c>
      <c r="O16" s="330"/>
      <c r="P16" s="330"/>
      <c r="Q16" s="330"/>
      <c r="R16" s="331" t="s">
        <v>927</v>
      </c>
      <c r="S16" s="329"/>
      <c r="T16" s="331" t="s">
        <v>928</v>
      </c>
      <c r="U16" s="329"/>
      <c r="V16" s="331"/>
      <c r="W16" s="328"/>
      <c r="X16" s="331" t="s">
        <v>929</v>
      </c>
      <c r="Y16" s="330"/>
      <c r="Z16" s="330"/>
      <c r="AA16" s="330"/>
      <c r="AB16" s="330"/>
      <c r="AC16" s="330"/>
      <c r="AD16" s="329"/>
      <c r="AE16" s="329"/>
      <c r="AF16" s="329"/>
      <c r="AG16" s="329"/>
      <c r="AH16" s="329"/>
      <c r="AI16" s="348"/>
      <c r="AL16" t="s">
        <v>941</v>
      </c>
    </row>
    <row r="17" spans="1:38" ht="13.5" x14ac:dyDescent="0.25">
      <c r="A17" s="349" t="s">
        <v>798</v>
      </c>
      <c r="B17" s="335"/>
      <c r="C17" s="335"/>
      <c r="D17" s="335"/>
      <c r="E17" s="335"/>
      <c r="F17" s="336" t="s">
        <v>462</v>
      </c>
      <c r="G17" s="1991" t="str">
        <f>+Antecedentes!H37</f>
        <v>HORMIGON ARMADO</v>
      </c>
      <c r="H17" s="1991"/>
      <c r="I17" s="1991"/>
      <c r="J17" s="1991"/>
      <c r="K17" s="1991"/>
      <c r="L17" s="1991"/>
      <c r="M17" s="1991"/>
      <c r="N17" s="1992" t="s">
        <v>930</v>
      </c>
      <c r="O17" s="1992"/>
      <c r="P17" s="1992"/>
      <c r="Q17" s="1992" t="s">
        <v>931</v>
      </c>
      <c r="R17" s="1992"/>
      <c r="S17" s="1992"/>
      <c r="T17" s="1992" t="s">
        <v>932</v>
      </c>
      <c r="U17" s="1992"/>
      <c r="V17" s="1992"/>
      <c r="W17" s="1992"/>
      <c r="X17" s="1993"/>
      <c r="Y17" s="1993"/>
      <c r="Z17" s="1993"/>
      <c r="AA17" s="1993"/>
      <c r="AB17" s="1993"/>
      <c r="AC17" s="1993"/>
      <c r="AD17" s="1993"/>
      <c r="AE17" s="1993"/>
      <c r="AF17" s="1993"/>
      <c r="AG17" s="1993"/>
      <c r="AH17" s="1993"/>
      <c r="AI17" s="1993"/>
      <c r="AL17" t="s">
        <v>942</v>
      </c>
    </row>
    <row r="18" spans="1:38" ht="13.5" x14ac:dyDescent="0.25">
      <c r="A18" s="349" t="s">
        <v>801</v>
      </c>
      <c r="B18" s="335"/>
      <c r="C18" s="335"/>
      <c r="D18" s="335"/>
      <c r="E18" s="335"/>
      <c r="F18" s="336" t="s">
        <v>462</v>
      </c>
      <c r="G18" s="1991" t="str">
        <f>+Antecedentes!H38</f>
        <v>ACERO VOLCANITA</v>
      </c>
      <c r="H18" s="1991"/>
      <c r="I18" s="1991"/>
      <c r="J18" s="1991"/>
      <c r="K18" s="1991"/>
      <c r="L18" s="1991"/>
      <c r="M18" s="1991"/>
      <c r="N18" s="1992" t="s">
        <v>930</v>
      </c>
      <c r="O18" s="1992"/>
      <c r="P18" s="1992"/>
      <c r="Q18" s="1992" t="s">
        <v>931</v>
      </c>
      <c r="R18" s="1992"/>
      <c r="S18" s="1992"/>
      <c r="T18" s="1992" t="s">
        <v>932</v>
      </c>
      <c r="U18" s="1992"/>
      <c r="V18" s="1992"/>
      <c r="W18" s="1992"/>
      <c r="X18" s="1993"/>
      <c r="Y18" s="1993"/>
      <c r="Z18" s="1993"/>
      <c r="AA18" s="1993"/>
      <c r="AB18" s="1993"/>
      <c r="AC18" s="1993"/>
      <c r="AD18" s="1993"/>
      <c r="AE18" s="1993"/>
      <c r="AF18" s="1993"/>
      <c r="AG18" s="1993"/>
      <c r="AH18" s="1993"/>
      <c r="AI18" s="1993"/>
      <c r="AL18" t="s">
        <v>943</v>
      </c>
    </row>
    <row r="19" spans="1:38" ht="13.5" x14ac:dyDescent="0.25">
      <c r="A19" s="349" t="s">
        <v>802</v>
      </c>
      <c r="B19" s="335"/>
      <c r="C19" s="335"/>
      <c r="D19" s="335"/>
      <c r="E19" s="335"/>
      <c r="F19" s="336" t="s">
        <v>462</v>
      </c>
      <c r="G19" s="1991" t="str">
        <f>+Antecedentes!H39</f>
        <v>LOSA DE HORMIGON ARMADO</v>
      </c>
      <c r="H19" s="1991"/>
      <c r="I19" s="1991"/>
      <c r="J19" s="1991"/>
      <c r="K19" s="1991"/>
      <c r="L19" s="1991"/>
      <c r="M19" s="1991"/>
      <c r="N19" s="1992" t="s">
        <v>930</v>
      </c>
      <c r="O19" s="1992"/>
      <c r="P19" s="1992"/>
      <c r="Q19" s="1992" t="s">
        <v>931</v>
      </c>
      <c r="R19" s="1992"/>
      <c r="S19" s="1992"/>
      <c r="T19" s="1992" t="s">
        <v>932</v>
      </c>
      <c r="U19" s="1992"/>
      <c r="V19" s="1992"/>
      <c r="W19" s="1992"/>
      <c r="X19" s="1993"/>
      <c r="Y19" s="1993"/>
      <c r="Z19" s="1993"/>
      <c r="AA19" s="1993"/>
      <c r="AB19" s="1993"/>
      <c r="AC19" s="1993"/>
      <c r="AD19" s="1993"/>
      <c r="AE19" s="1993"/>
      <c r="AF19" s="1993"/>
      <c r="AG19" s="1993"/>
      <c r="AH19" s="1993"/>
      <c r="AI19" s="1993"/>
    </row>
    <row r="20" spans="1:38" ht="13.5" x14ac:dyDescent="0.25">
      <c r="A20" s="349" t="s">
        <v>804</v>
      </c>
      <c r="B20" s="335"/>
      <c r="C20" s="335"/>
      <c r="D20" s="335"/>
      <c r="E20" s="335"/>
      <c r="F20" s="336" t="s">
        <v>462</v>
      </c>
      <c r="G20" s="1991" t="str">
        <f>+Antecedentes!H40</f>
        <v>LOSA DE HORMIGON ARMADO</v>
      </c>
      <c r="H20" s="1991"/>
      <c r="I20" s="1991"/>
      <c r="J20" s="1991"/>
      <c r="K20" s="1991"/>
      <c r="L20" s="1991"/>
      <c r="M20" s="1991"/>
      <c r="N20" s="1992" t="s">
        <v>930</v>
      </c>
      <c r="O20" s="1992"/>
      <c r="P20" s="1992"/>
      <c r="Q20" s="1992" t="s">
        <v>931</v>
      </c>
      <c r="R20" s="1992"/>
      <c r="S20" s="1992"/>
      <c r="T20" s="1992" t="s">
        <v>932</v>
      </c>
      <c r="U20" s="1992"/>
      <c r="V20" s="1992"/>
      <c r="W20" s="1992"/>
      <c r="X20" s="1993"/>
      <c r="Y20" s="1993"/>
      <c r="Z20" s="1993"/>
      <c r="AA20" s="1993"/>
      <c r="AB20" s="1993"/>
      <c r="AC20" s="1993"/>
      <c r="AD20" s="1993"/>
      <c r="AE20" s="1993"/>
      <c r="AF20" s="1993"/>
      <c r="AG20" s="1993"/>
      <c r="AH20" s="1993"/>
      <c r="AI20" s="1993"/>
      <c r="AL20" t="s">
        <v>814</v>
      </c>
    </row>
    <row r="21" spans="1:38" ht="13.5" x14ac:dyDescent="0.25">
      <c r="A21" s="349" t="s">
        <v>806</v>
      </c>
      <c r="B21" s="335"/>
      <c r="C21" s="335"/>
      <c r="D21" s="335"/>
      <c r="E21" s="335"/>
      <c r="F21" s="336" t="s">
        <v>462</v>
      </c>
      <c r="G21" s="1991" t="str">
        <f>+Antecedentes!H41</f>
        <v>ESTUCO Y PINTURA</v>
      </c>
      <c r="H21" s="1991"/>
      <c r="I21" s="1991"/>
      <c r="J21" s="1991"/>
      <c r="K21" s="1991"/>
      <c r="L21" s="1991"/>
      <c r="M21" s="1991"/>
      <c r="N21" s="1992" t="s">
        <v>930</v>
      </c>
      <c r="O21" s="1992"/>
      <c r="P21" s="1992"/>
      <c r="Q21" s="1992" t="s">
        <v>931</v>
      </c>
      <c r="R21" s="1992"/>
      <c r="S21" s="1992"/>
      <c r="T21" s="1992" t="s">
        <v>932</v>
      </c>
      <c r="U21" s="1992"/>
      <c r="V21" s="1992"/>
      <c r="W21" s="1992"/>
      <c r="X21" s="1993"/>
      <c r="Y21" s="1993"/>
      <c r="Z21" s="1993"/>
      <c r="AA21" s="1993"/>
      <c r="AB21" s="1993"/>
      <c r="AC21" s="1993"/>
      <c r="AD21" s="1993"/>
      <c r="AE21" s="1993"/>
      <c r="AF21" s="1993"/>
      <c r="AG21" s="1993"/>
      <c r="AH21" s="1993"/>
      <c r="AI21" s="1993"/>
      <c r="AL21" t="s">
        <v>944</v>
      </c>
    </row>
    <row r="22" spans="1:38" ht="13.5" x14ac:dyDescent="0.25">
      <c r="A22" s="349" t="s">
        <v>808</v>
      </c>
      <c r="B22" s="335"/>
      <c r="C22" s="335"/>
      <c r="D22" s="335"/>
      <c r="E22" s="335"/>
      <c r="F22" s="336" t="s">
        <v>462</v>
      </c>
      <c r="G22" s="1991" t="str">
        <f>+Antecedentes!H42</f>
        <v>MURO FACHADA</v>
      </c>
      <c r="H22" s="1991"/>
      <c r="I22" s="1991"/>
      <c r="J22" s="1991"/>
      <c r="K22" s="1991"/>
      <c r="L22" s="1991"/>
      <c r="M22" s="1991"/>
      <c r="N22" s="1992" t="s">
        <v>930</v>
      </c>
      <c r="O22" s="1992"/>
      <c r="P22" s="1992"/>
      <c r="Q22" s="1992" t="s">
        <v>931</v>
      </c>
      <c r="R22" s="1992"/>
      <c r="S22" s="1992"/>
      <c r="T22" s="1992" t="s">
        <v>932</v>
      </c>
      <c r="U22" s="1992"/>
      <c r="V22" s="1992"/>
      <c r="W22" s="1992"/>
      <c r="X22" s="1993"/>
      <c r="Y22" s="1993"/>
      <c r="Z22" s="1993"/>
      <c r="AA22" s="1993"/>
      <c r="AB22" s="1993"/>
      <c r="AC22" s="1993"/>
      <c r="AD22" s="1993"/>
      <c r="AE22" s="1993"/>
      <c r="AF22" s="1993"/>
      <c r="AG22" s="1993"/>
      <c r="AH22" s="1993"/>
      <c r="AI22" s="1993"/>
      <c r="AL22" t="s">
        <v>945</v>
      </c>
    </row>
    <row r="23" spans="1:38" ht="13.5" x14ac:dyDescent="0.25">
      <c r="A23" s="350" t="s">
        <v>810</v>
      </c>
      <c r="B23" s="351"/>
      <c r="C23" s="351"/>
      <c r="D23" s="351"/>
      <c r="E23" s="351"/>
      <c r="F23" s="342" t="s">
        <v>462</v>
      </c>
      <c r="G23" s="1985" t="str">
        <f>+Antecedentes!H43</f>
        <v>QUINCHO</v>
      </c>
      <c r="H23" s="1985"/>
      <c r="I23" s="1985"/>
      <c r="J23" s="1985"/>
      <c r="K23" s="1985"/>
      <c r="L23" s="1985"/>
      <c r="M23" s="1985"/>
      <c r="N23" s="1992" t="s">
        <v>930</v>
      </c>
      <c r="O23" s="1992"/>
      <c r="P23" s="1992"/>
      <c r="Q23" s="1992" t="s">
        <v>931</v>
      </c>
      <c r="R23" s="1992"/>
      <c r="S23" s="1992"/>
      <c r="T23" s="1992" t="s">
        <v>932</v>
      </c>
      <c r="U23" s="1992"/>
      <c r="V23" s="1992"/>
      <c r="W23" s="1992"/>
      <c r="X23" s="1987"/>
      <c r="Y23" s="1987"/>
      <c r="Z23" s="1987"/>
      <c r="AA23" s="1987"/>
      <c r="AB23" s="1987"/>
      <c r="AC23" s="1987"/>
      <c r="AD23" s="1987"/>
      <c r="AE23" s="1987"/>
      <c r="AF23" s="1987"/>
      <c r="AG23" s="1987"/>
      <c r="AH23" s="1987"/>
      <c r="AI23" s="1987"/>
      <c r="AL23" t="s">
        <v>946</v>
      </c>
    </row>
    <row r="24" spans="1:38" ht="13.5" x14ac:dyDescent="0.25">
      <c r="A24" s="327" t="s">
        <v>947</v>
      </c>
      <c r="B24" s="329"/>
      <c r="C24" s="329"/>
      <c r="D24" s="329"/>
      <c r="E24" s="329"/>
      <c r="F24" s="329"/>
      <c r="G24" s="329"/>
      <c r="H24" s="328" t="s">
        <v>796</v>
      </c>
      <c r="I24" s="328"/>
      <c r="J24" s="328"/>
      <c r="K24" s="328"/>
      <c r="L24" s="329"/>
      <c r="M24" s="328"/>
      <c r="N24" s="330" t="s">
        <v>926</v>
      </c>
      <c r="O24" s="330"/>
      <c r="P24" s="330"/>
      <c r="Q24" s="330"/>
      <c r="R24" s="331" t="s">
        <v>927</v>
      </c>
      <c r="S24" s="329"/>
      <c r="T24" s="331" t="s">
        <v>928</v>
      </c>
      <c r="U24" s="329"/>
      <c r="V24" s="331"/>
      <c r="W24" s="328"/>
      <c r="X24" s="331" t="s">
        <v>929</v>
      </c>
      <c r="Y24" s="330"/>
      <c r="Z24" s="330"/>
      <c r="AA24" s="330"/>
      <c r="AB24" s="330"/>
      <c r="AC24" s="330"/>
      <c r="AD24" s="329"/>
      <c r="AE24" s="329"/>
      <c r="AF24" s="329"/>
      <c r="AG24" s="329"/>
      <c r="AH24" s="329"/>
      <c r="AI24" s="348"/>
      <c r="AL24" t="s">
        <v>948</v>
      </c>
    </row>
    <row r="25" spans="1:38" ht="13.5" x14ac:dyDescent="0.25">
      <c r="A25" s="349" t="s">
        <v>820</v>
      </c>
      <c r="B25" s="335"/>
      <c r="C25" s="335"/>
      <c r="D25" s="335"/>
      <c r="E25" s="335"/>
      <c r="F25" s="336" t="s">
        <v>462</v>
      </c>
      <c r="G25" s="1991" t="str">
        <f>+Antecedentes!H46</f>
        <v>CERAMICO</v>
      </c>
      <c r="H25" s="1991"/>
      <c r="I25" s="1991"/>
      <c r="J25" s="1991"/>
      <c r="K25" s="1991"/>
      <c r="L25" s="1991"/>
      <c r="M25" s="1991"/>
      <c r="N25" s="1992" t="s">
        <v>930</v>
      </c>
      <c r="O25" s="1992"/>
      <c r="P25" s="1992"/>
      <c r="Q25" s="1992" t="s">
        <v>931</v>
      </c>
      <c r="R25" s="1992"/>
      <c r="S25" s="1992"/>
      <c r="T25" s="1992" t="s">
        <v>932</v>
      </c>
      <c r="U25" s="1992"/>
      <c r="V25" s="1992"/>
      <c r="W25" s="1992"/>
      <c r="X25" s="1993"/>
      <c r="Y25" s="1993"/>
      <c r="Z25" s="1993"/>
      <c r="AA25" s="1993"/>
      <c r="AB25" s="1993"/>
      <c r="AC25" s="1993"/>
      <c r="AD25" s="1993"/>
      <c r="AE25" s="1993"/>
      <c r="AF25" s="1993"/>
      <c r="AG25" s="1993"/>
      <c r="AH25" s="1993"/>
      <c r="AI25" s="1993"/>
    </row>
    <row r="26" spans="1:38" ht="13.5" x14ac:dyDescent="0.25">
      <c r="A26" s="349" t="s">
        <v>821</v>
      </c>
      <c r="B26" s="335"/>
      <c r="C26" s="335"/>
      <c r="D26" s="335"/>
      <c r="E26" s="335"/>
      <c r="F26" s="336" t="s">
        <v>462</v>
      </c>
      <c r="G26" s="1991" t="str">
        <f>+Antecedentes!H47</f>
        <v>ALFOMBRA</v>
      </c>
      <c r="H26" s="1991"/>
      <c r="I26" s="1991"/>
      <c r="J26" s="1991"/>
      <c r="K26" s="1991"/>
      <c r="L26" s="1991"/>
      <c r="M26" s="1991"/>
      <c r="N26" s="1992" t="s">
        <v>930</v>
      </c>
      <c r="O26" s="1992"/>
      <c r="P26" s="1992"/>
      <c r="Q26" s="1992" t="s">
        <v>931</v>
      </c>
      <c r="R26" s="1992"/>
      <c r="S26" s="1992"/>
      <c r="T26" s="1992" t="s">
        <v>932</v>
      </c>
      <c r="U26" s="1992"/>
      <c r="V26" s="1992"/>
      <c r="W26" s="1992"/>
      <c r="X26" s="1993"/>
      <c r="Y26" s="1993"/>
      <c r="Z26" s="1993"/>
      <c r="AA26" s="1993"/>
      <c r="AB26" s="1993"/>
      <c r="AC26" s="1993"/>
      <c r="AD26" s="1993"/>
      <c r="AE26" s="1993"/>
      <c r="AF26" s="1993"/>
      <c r="AG26" s="1993"/>
      <c r="AH26" s="1993"/>
      <c r="AI26" s="1993"/>
      <c r="AL26" t="s">
        <v>949</v>
      </c>
    </row>
    <row r="27" spans="1:38" ht="13.5" x14ac:dyDescent="0.25">
      <c r="A27" s="349" t="s">
        <v>822</v>
      </c>
      <c r="B27" s="335"/>
      <c r="C27" s="335"/>
      <c r="D27" s="335"/>
      <c r="E27" s="335"/>
      <c r="F27" s="336" t="s">
        <v>462</v>
      </c>
      <c r="G27" s="1991" t="str">
        <f>+Antecedentes!H48</f>
        <v>CERAMICO</v>
      </c>
      <c r="H27" s="1991"/>
      <c r="I27" s="1991"/>
      <c r="J27" s="1991"/>
      <c r="K27" s="1991"/>
      <c r="L27" s="1991"/>
      <c r="M27" s="1991"/>
      <c r="N27" s="1992" t="s">
        <v>930</v>
      </c>
      <c r="O27" s="1992"/>
      <c r="P27" s="1992"/>
      <c r="Q27" s="1992" t="s">
        <v>931</v>
      </c>
      <c r="R27" s="1992"/>
      <c r="S27" s="1992"/>
      <c r="T27" s="1992" t="s">
        <v>932</v>
      </c>
      <c r="U27" s="1992"/>
      <c r="V27" s="1992"/>
      <c r="W27" s="1992"/>
      <c r="X27" s="1993"/>
      <c r="Y27" s="1993"/>
      <c r="Z27" s="1993"/>
      <c r="AA27" s="1993"/>
      <c r="AB27" s="1993"/>
      <c r="AC27" s="1993"/>
      <c r="AD27" s="1993"/>
      <c r="AE27" s="1993"/>
      <c r="AF27" s="1993"/>
      <c r="AG27" s="1993"/>
      <c r="AH27" s="1993"/>
      <c r="AI27" s="1993"/>
      <c r="AL27" t="s">
        <v>950</v>
      </c>
    </row>
    <row r="28" spans="1:38" ht="13.5" x14ac:dyDescent="0.25">
      <c r="A28" s="349" t="s">
        <v>823</v>
      </c>
      <c r="B28" s="335"/>
      <c r="C28" s="335"/>
      <c r="D28" s="335"/>
      <c r="E28" s="335"/>
      <c r="F28" s="336" t="s">
        <v>462</v>
      </c>
      <c r="G28" s="1991" t="str">
        <f>+Antecedentes!H49</f>
        <v>CERAMICO</v>
      </c>
      <c r="H28" s="1991"/>
      <c r="I28" s="1991"/>
      <c r="J28" s="1991"/>
      <c r="K28" s="1991"/>
      <c r="L28" s="1991"/>
      <c r="M28" s="1991"/>
      <c r="N28" s="1992" t="s">
        <v>930</v>
      </c>
      <c r="O28" s="1992"/>
      <c r="P28" s="1992"/>
      <c r="Q28" s="1992" t="s">
        <v>931</v>
      </c>
      <c r="R28" s="1992"/>
      <c r="S28" s="1992"/>
      <c r="T28" s="1992" t="s">
        <v>932</v>
      </c>
      <c r="U28" s="1992"/>
      <c r="V28" s="1992"/>
      <c r="W28" s="1992"/>
      <c r="X28" s="1993"/>
      <c r="Y28" s="1993"/>
      <c r="Z28" s="1993"/>
      <c r="AA28" s="1993"/>
      <c r="AB28" s="1993"/>
      <c r="AC28" s="1993"/>
      <c r="AD28" s="1993"/>
      <c r="AE28" s="1993"/>
      <c r="AF28" s="1993"/>
      <c r="AG28" s="1993"/>
      <c r="AH28" s="1993"/>
      <c r="AI28" s="1993"/>
      <c r="AL28" t="s">
        <v>951</v>
      </c>
    </row>
    <row r="29" spans="1:38" ht="13.5" x14ac:dyDescent="0.25">
      <c r="A29" s="349" t="s">
        <v>828</v>
      </c>
      <c r="B29" s="335"/>
      <c r="C29" s="335"/>
      <c r="D29" s="335"/>
      <c r="E29" s="335"/>
      <c r="F29" s="336" t="s">
        <v>462</v>
      </c>
      <c r="G29" s="1991" t="str">
        <f>+Antecedentes!H50</f>
        <v>CERAMICO</v>
      </c>
      <c r="H29" s="1991"/>
      <c r="I29" s="1991"/>
      <c r="J29" s="1991"/>
      <c r="K29" s="1991"/>
      <c r="L29" s="1991"/>
      <c r="M29" s="1991"/>
      <c r="N29" s="1992" t="s">
        <v>930</v>
      </c>
      <c r="O29" s="1992"/>
      <c r="P29" s="1992"/>
      <c r="Q29" s="1992" t="s">
        <v>931</v>
      </c>
      <c r="R29" s="1992"/>
      <c r="S29" s="1992"/>
      <c r="T29" s="1992" t="s">
        <v>932</v>
      </c>
      <c r="U29" s="1992"/>
      <c r="V29" s="1992"/>
      <c r="W29" s="1992"/>
      <c r="X29" s="1993"/>
      <c r="Y29" s="1993"/>
      <c r="Z29" s="1993"/>
      <c r="AA29" s="1993"/>
      <c r="AB29" s="1993"/>
      <c r="AC29" s="1993"/>
      <c r="AD29" s="1993"/>
      <c r="AE29" s="1993"/>
      <c r="AF29" s="1993"/>
      <c r="AG29" s="1993"/>
      <c r="AH29" s="1993"/>
      <c r="AI29" s="1993"/>
      <c r="AL29" t="s">
        <v>952</v>
      </c>
    </row>
    <row r="30" spans="1:38" ht="13.5" x14ac:dyDescent="0.25">
      <c r="A30" s="349" t="s">
        <v>799</v>
      </c>
      <c r="B30" s="335"/>
      <c r="C30" s="335"/>
      <c r="D30" s="335"/>
      <c r="E30" s="335"/>
      <c r="F30" s="336" t="s">
        <v>462</v>
      </c>
      <c r="G30" s="1991" t="str">
        <f>+Antecedentes!AR37</f>
        <v>NO PRESENTA</v>
      </c>
      <c r="H30" s="1991"/>
      <c r="I30" s="1991"/>
      <c r="J30" s="1991"/>
      <c r="K30" s="1991"/>
      <c r="L30" s="1991"/>
      <c r="M30" s="1991"/>
      <c r="N30" s="1992" t="s">
        <v>930</v>
      </c>
      <c r="O30" s="1992"/>
      <c r="P30" s="1992"/>
      <c r="Q30" s="1992" t="s">
        <v>931</v>
      </c>
      <c r="R30" s="1992"/>
      <c r="S30" s="1992"/>
      <c r="T30" s="1992" t="s">
        <v>932</v>
      </c>
      <c r="U30" s="1992"/>
      <c r="V30" s="1992"/>
      <c r="W30" s="1992"/>
      <c r="X30" s="1993"/>
      <c r="Y30" s="1993"/>
      <c r="Z30" s="1993"/>
      <c r="AA30" s="1993"/>
      <c r="AB30" s="1993"/>
      <c r="AC30" s="1993"/>
      <c r="AD30" s="1993"/>
      <c r="AE30" s="1993"/>
      <c r="AF30" s="1993"/>
      <c r="AG30" s="1993"/>
      <c r="AH30" s="1993"/>
      <c r="AI30" s="1993"/>
      <c r="AL30" t="s">
        <v>953</v>
      </c>
    </row>
    <row r="31" spans="1:38" ht="13.5" x14ac:dyDescent="0.25">
      <c r="A31" s="349" t="s">
        <v>748</v>
      </c>
      <c r="B31" s="335"/>
      <c r="C31" s="335"/>
      <c r="D31" s="335"/>
      <c r="E31" s="335"/>
      <c r="F31" s="336" t="s">
        <v>462</v>
      </c>
      <c r="G31" s="1991" t="str">
        <f>+Antecedentes!AR38</f>
        <v>NO PRESENTA</v>
      </c>
      <c r="H31" s="1991"/>
      <c r="I31" s="1991"/>
      <c r="J31" s="1991"/>
      <c r="K31" s="1991"/>
      <c r="L31" s="1991"/>
      <c r="M31" s="1991"/>
      <c r="N31" s="1992" t="s">
        <v>930</v>
      </c>
      <c r="O31" s="1992"/>
      <c r="P31" s="1992"/>
      <c r="Q31" s="1992" t="s">
        <v>931</v>
      </c>
      <c r="R31" s="1992"/>
      <c r="S31" s="1992"/>
      <c r="T31" s="1992" t="s">
        <v>932</v>
      </c>
      <c r="U31" s="1992"/>
      <c r="V31" s="1992"/>
      <c r="W31" s="1992"/>
      <c r="X31" s="1993"/>
      <c r="Y31" s="1993"/>
      <c r="Z31" s="1993"/>
      <c r="AA31" s="1993"/>
      <c r="AB31" s="1993"/>
      <c r="AC31" s="1993"/>
      <c r="AD31" s="1993"/>
      <c r="AE31" s="1993"/>
      <c r="AF31" s="1993"/>
      <c r="AG31" s="1993"/>
      <c r="AH31" s="1993"/>
      <c r="AI31" s="1993"/>
    </row>
    <row r="32" spans="1:38" ht="13.5" x14ac:dyDescent="0.25">
      <c r="A32" s="349" t="s">
        <v>803</v>
      </c>
      <c r="B32" s="335"/>
      <c r="C32" s="335"/>
      <c r="D32" s="335"/>
      <c r="E32" s="335"/>
      <c r="F32" s="336" t="s">
        <v>462</v>
      </c>
      <c r="G32" s="1991" t="str">
        <f>+Antecedentes!AR39</f>
        <v>MELAMINA</v>
      </c>
      <c r="H32" s="1991"/>
      <c r="I32" s="1991"/>
      <c r="J32" s="1991"/>
      <c r="K32" s="1991"/>
      <c r="L32" s="1991"/>
      <c r="M32" s="1991"/>
      <c r="N32" s="1992" t="s">
        <v>930</v>
      </c>
      <c r="O32" s="1992"/>
      <c r="P32" s="1992"/>
      <c r="Q32" s="1992" t="s">
        <v>931</v>
      </c>
      <c r="R32" s="1992"/>
      <c r="S32" s="1992"/>
      <c r="T32" s="1992" t="s">
        <v>932</v>
      </c>
      <c r="U32" s="1992"/>
      <c r="V32" s="1992"/>
      <c r="W32" s="1992"/>
      <c r="X32" s="1993"/>
      <c r="Y32" s="1993"/>
      <c r="Z32" s="1993"/>
      <c r="AA32" s="1993"/>
      <c r="AB32" s="1993"/>
      <c r="AC32" s="1993"/>
      <c r="AD32" s="1993"/>
      <c r="AE32" s="1993"/>
      <c r="AF32" s="1993"/>
      <c r="AG32" s="1993"/>
      <c r="AH32" s="1993"/>
      <c r="AI32" s="1993"/>
    </row>
    <row r="33" spans="1:35" ht="13.5" x14ac:dyDescent="0.25">
      <c r="A33" s="349" t="s">
        <v>805</v>
      </c>
      <c r="B33" s="335"/>
      <c r="C33" s="335"/>
      <c r="D33" s="335"/>
      <c r="E33" s="335"/>
      <c r="F33" s="336" t="s">
        <v>462</v>
      </c>
      <c r="G33" s="1991" t="str">
        <f>+Antecedentes!AR40</f>
        <v>MELAMINA Y POSTFORMADO</v>
      </c>
      <c r="H33" s="1991"/>
      <c r="I33" s="1991"/>
      <c r="J33" s="1991"/>
      <c r="K33" s="1991"/>
      <c r="L33" s="1991"/>
      <c r="M33" s="1991"/>
      <c r="N33" s="1992" t="s">
        <v>930</v>
      </c>
      <c r="O33" s="1992"/>
      <c r="P33" s="1992"/>
      <c r="Q33" s="1992" t="s">
        <v>931</v>
      </c>
      <c r="R33" s="1992"/>
      <c r="S33" s="1992"/>
      <c r="T33" s="1992" t="s">
        <v>932</v>
      </c>
      <c r="U33" s="1992"/>
      <c r="V33" s="1992"/>
      <c r="W33" s="1992"/>
      <c r="X33" s="1993"/>
      <c r="Y33" s="1993"/>
      <c r="Z33" s="1993"/>
      <c r="AA33" s="1993"/>
      <c r="AB33" s="1993"/>
      <c r="AC33" s="1993"/>
      <c r="AD33" s="1993"/>
      <c r="AE33" s="1993"/>
      <c r="AF33" s="1993"/>
      <c r="AG33" s="1993"/>
      <c r="AH33" s="1993"/>
      <c r="AI33" s="1993"/>
    </row>
    <row r="34" spans="1:35" ht="13.5" x14ac:dyDescent="0.25">
      <c r="A34" s="349" t="s">
        <v>807</v>
      </c>
      <c r="B34" s="335"/>
      <c r="C34" s="335"/>
      <c r="D34" s="335"/>
      <c r="E34" s="335"/>
      <c r="F34" s="336" t="s">
        <v>462</v>
      </c>
      <c r="G34" s="1991" t="str">
        <f>+Antecedentes!AR41</f>
        <v>LOSA NACIONAL CORRIENTE</v>
      </c>
      <c r="H34" s="1991"/>
      <c r="I34" s="1991"/>
      <c r="J34" s="1991"/>
      <c r="K34" s="1991"/>
      <c r="L34" s="1991"/>
      <c r="M34" s="1991"/>
      <c r="N34" s="1992" t="s">
        <v>930</v>
      </c>
      <c r="O34" s="1992"/>
      <c r="P34" s="1992"/>
      <c r="Q34" s="1992" t="s">
        <v>931</v>
      </c>
      <c r="R34" s="1992"/>
      <c r="S34" s="1992"/>
      <c r="T34" s="1992" t="s">
        <v>932</v>
      </c>
      <c r="U34" s="1992"/>
      <c r="V34" s="1992"/>
      <c r="W34" s="1992"/>
      <c r="X34" s="1993"/>
      <c r="Y34" s="1993"/>
      <c r="Z34" s="1993"/>
      <c r="AA34" s="1993"/>
      <c r="AB34" s="1993"/>
      <c r="AC34" s="1993"/>
      <c r="AD34" s="1993"/>
      <c r="AE34" s="1993"/>
      <c r="AF34" s="1993"/>
      <c r="AG34" s="1993"/>
      <c r="AH34" s="1993"/>
      <c r="AI34" s="1993"/>
    </row>
    <row r="35" spans="1:35" ht="13.5" x14ac:dyDescent="0.25">
      <c r="A35" s="349" t="s">
        <v>809</v>
      </c>
      <c r="B35" s="335"/>
      <c r="C35" s="335"/>
      <c r="D35" s="335"/>
      <c r="E35" s="335"/>
      <c r="F35" s="336" t="s">
        <v>462</v>
      </c>
      <c r="G35" s="1991" t="str">
        <f>+Antecedentes!AR42</f>
        <v>NACIONAL CORRIENTE</v>
      </c>
      <c r="H35" s="1991"/>
      <c r="I35" s="1991"/>
      <c r="J35" s="1991"/>
      <c r="K35" s="1991"/>
      <c r="L35" s="1991"/>
      <c r="M35" s="1991"/>
      <c r="N35" s="1992" t="s">
        <v>930</v>
      </c>
      <c r="O35" s="1992"/>
      <c r="P35" s="1992"/>
      <c r="Q35" s="1992" t="s">
        <v>931</v>
      </c>
      <c r="R35" s="1992"/>
      <c r="S35" s="1992"/>
      <c r="T35" s="1992" t="s">
        <v>932</v>
      </c>
      <c r="U35" s="1992"/>
      <c r="V35" s="1992"/>
      <c r="W35" s="1992"/>
      <c r="X35" s="1993"/>
      <c r="Y35" s="1993"/>
      <c r="Z35" s="1993"/>
      <c r="AA35" s="1993"/>
      <c r="AB35" s="1993"/>
      <c r="AC35" s="1993"/>
      <c r="AD35" s="1993"/>
      <c r="AE35" s="1993"/>
      <c r="AF35" s="1993"/>
      <c r="AG35" s="1993"/>
      <c r="AH35" s="1993"/>
      <c r="AI35" s="1993"/>
    </row>
    <row r="36" spans="1:35" ht="13.5" x14ac:dyDescent="0.25">
      <c r="A36" s="349" t="s">
        <v>811</v>
      </c>
      <c r="B36" s="335"/>
      <c r="C36" s="335"/>
      <c r="D36" s="335"/>
      <c r="E36" s="335"/>
      <c r="F36" s="336" t="s">
        <v>462</v>
      </c>
      <c r="G36" s="1991" t="str">
        <f>+Antecedentes!AR43</f>
        <v>MADERA</v>
      </c>
      <c r="H36" s="1991"/>
      <c r="I36" s="1991"/>
      <c r="J36" s="1991"/>
      <c r="K36" s="1991"/>
      <c r="L36" s="1991"/>
      <c r="M36" s="1991"/>
      <c r="N36" s="1992" t="s">
        <v>930</v>
      </c>
      <c r="O36" s="1992"/>
      <c r="P36" s="1992"/>
      <c r="Q36" s="1992" t="s">
        <v>931</v>
      </c>
      <c r="R36" s="1992"/>
      <c r="S36" s="1992"/>
      <c r="T36" s="1992" t="s">
        <v>932</v>
      </c>
      <c r="U36" s="1992"/>
      <c r="V36" s="1992"/>
      <c r="W36" s="1992"/>
      <c r="X36" s="1993"/>
      <c r="Y36" s="1993"/>
      <c r="Z36" s="1993"/>
      <c r="AA36" s="1993"/>
      <c r="AB36" s="1993"/>
      <c r="AC36" s="1993"/>
      <c r="AD36" s="1993"/>
      <c r="AE36" s="1993"/>
      <c r="AF36" s="1993"/>
      <c r="AG36" s="1993"/>
      <c r="AH36" s="1993"/>
      <c r="AI36" s="1993"/>
    </row>
    <row r="37" spans="1:35" ht="11.25" customHeight="1" x14ac:dyDescent="0.25">
      <c r="A37" s="350" t="s">
        <v>813</v>
      </c>
      <c r="B37" s="351"/>
      <c r="C37" s="352"/>
      <c r="D37" s="352"/>
      <c r="E37" s="352"/>
      <c r="F37" s="342" t="s">
        <v>462</v>
      </c>
      <c r="G37" s="1985" t="str">
        <f>+Antecedentes!AR44</f>
        <v>PVC</v>
      </c>
      <c r="H37" s="1985"/>
      <c r="I37" s="1985"/>
      <c r="J37" s="1985"/>
      <c r="K37" s="1985"/>
      <c r="L37" s="1985"/>
      <c r="M37" s="1985"/>
      <c r="N37" s="1992" t="s">
        <v>930</v>
      </c>
      <c r="O37" s="1992"/>
      <c r="P37" s="1992"/>
      <c r="Q37" s="1992" t="s">
        <v>931</v>
      </c>
      <c r="R37" s="1992"/>
      <c r="S37" s="1992"/>
      <c r="T37" s="1992" t="s">
        <v>932</v>
      </c>
      <c r="U37" s="1992"/>
      <c r="V37" s="1992"/>
      <c r="W37" s="1992"/>
      <c r="X37" s="1987"/>
      <c r="Y37" s="1987"/>
      <c r="Z37" s="1987"/>
      <c r="AA37" s="1987"/>
      <c r="AB37" s="1987"/>
      <c r="AC37" s="1987"/>
      <c r="AD37" s="1987"/>
      <c r="AE37" s="1987"/>
      <c r="AF37" s="1987"/>
      <c r="AG37" s="1987"/>
      <c r="AH37" s="1987"/>
      <c r="AI37" s="1987"/>
    </row>
    <row r="38" spans="1:35" ht="11.25" customHeight="1" x14ac:dyDescent="0.25">
      <c r="A38" s="327" t="s">
        <v>949</v>
      </c>
      <c r="B38" s="329"/>
      <c r="C38" s="329"/>
      <c r="D38" s="329"/>
      <c r="E38" s="329"/>
      <c r="F38" s="329"/>
      <c r="G38" s="329"/>
      <c r="H38" s="328" t="s">
        <v>796</v>
      </c>
      <c r="I38" s="328"/>
      <c r="J38" s="328"/>
      <c r="K38" s="328"/>
      <c r="L38" s="329"/>
      <c r="M38" s="328"/>
      <c r="N38" s="330" t="s">
        <v>926</v>
      </c>
      <c r="O38" s="330"/>
      <c r="P38" s="330"/>
      <c r="Q38" s="330"/>
      <c r="R38" s="331" t="s">
        <v>927</v>
      </c>
      <c r="S38" s="329"/>
      <c r="T38" s="331" t="s">
        <v>928</v>
      </c>
      <c r="U38" s="329"/>
      <c r="V38" s="331"/>
      <c r="W38" s="328"/>
      <c r="X38" s="353" t="s">
        <v>929</v>
      </c>
      <c r="Y38" s="354"/>
      <c r="Z38" s="354"/>
      <c r="AA38" s="354"/>
      <c r="AB38" s="354"/>
      <c r="AC38" s="354"/>
      <c r="AD38" s="355"/>
      <c r="AE38" s="355"/>
      <c r="AF38" s="355"/>
      <c r="AG38" s="355"/>
      <c r="AH38" s="355"/>
      <c r="AI38" s="356"/>
    </row>
    <row r="39" spans="1:35" ht="13.5" x14ac:dyDescent="0.25">
      <c r="A39" s="357" t="s">
        <v>720</v>
      </c>
      <c r="B39" s="358"/>
      <c r="C39" s="358"/>
      <c r="D39" s="358"/>
      <c r="E39" s="358"/>
      <c r="F39" s="359" t="s">
        <v>462</v>
      </c>
      <c r="G39" s="1991" t="str">
        <f>+Antecedentes!AN15</f>
        <v>Colector</v>
      </c>
      <c r="H39" s="1991"/>
      <c r="I39" s="1991"/>
      <c r="J39" s="1991"/>
      <c r="K39" s="1991"/>
      <c r="L39" s="1991"/>
      <c r="M39" s="1991"/>
      <c r="N39" s="1992" t="s">
        <v>930</v>
      </c>
      <c r="O39" s="1992"/>
      <c r="P39" s="1992"/>
      <c r="Q39" s="1992" t="s">
        <v>931</v>
      </c>
      <c r="R39" s="1992"/>
      <c r="S39" s="1992"/>
      <c r="T39" s="1992" t="s">
        <v>932</v>
      </c>
      <c r="U39" s="1992"/>
      <c r="V39" s="1992"/>
      <c r="W39" s="1992"/>
      <c r="X39" s="1993"/>
      <c r="Y39" s="1993"/>
      <c r="Z39" s="1993"/>
      <c r="AA39" s="1993"/>
      <c r="AB39" s="1993"/>
      <c r="AC39" s="1993"/>
      <c r="AD39" s="1993"/>
      <c r="AE39" s="1993"/>
      <c r="AF39" s="1993"/>
      <c r="AG39" s="1993"/>
      <c r="AH39" s="1993"/>
      <c r="AI39" s="1993"/>
    </row>
    <row r="40" spans="1:35" ht="13.5" x14ac:dyDescent="0.25">
      <c r="A40" s="357" t="s">
        <v>543</v>
      </c>
      <c r="B40" s="358"/>
      <c r="C40" s="358"/>
      <c r="D40" s="358"/>
      <c r="E40" s="358"/>
      <c r="F40" s="359" t="s">
        <v>462</v>
      </c>
      <c r="G40" s="1991" t="str">
        <f>+Antecedentes!AN16</f>
        <v>Matriz Pública</v>
      </c>
      <c r="H40" s="1991"/>
      <c r="I40" s="1991"/>
      <c r="J40" s="1991"/>
      <c r="K40" s="1991"/>
      <c r="L40" s="1991"/>
      <c r="M40" s="1991"/>
      <c r="N40" s="1992" t="s">
        <v>930</v>
      </c>
      <c r="O40" s="1992"/>
      <c r="P40" s="1992"/>
      <c r="Q40" s="1992" t="s">
        <v>931</v>
      </c>
      <c r="R40" s="1992"/>
      <c r="S40" s="1992"/>
      <c r="T40" s="1992" t="s">
        <v>932</v>
      </c>
      <c r="U40" s="1992"/>
      <c r="V40" s="1992"/>
      <c r="W40" s="1992"/>
      <c r="X40" s="1993"/>
      <c r="Y40" s="1993"/>
      <c r="Z40" s="1993"/>
      <c r="AA40" s="1993"/>
      <c r="AB40" s="1993"/>
      <c r="AC40" s="1993"/>
      <c r="AD40" s="1993"/>
      <c r="AE40" s="1993"/>
      <c r="AF40" s="1993"/>
      <c r="AG40" s="1993"/>
      <c r="AH40" s="1993"/>
      <c r="AI40" s="1993"/>
    </row>
    <row r="41" spans="1:35" ht="13.5" x14ac:dyDescent="0.25">
      <c r="A41" s="357" t="s">
        <v>727</v>
      </c>
      <c r="B41" s="358"/>
      <c r="C41" s="358"/>
      <c r="D41" s="358"/>
      <c r="E41" s="358"/>
      <c r="F41" s="359" t="s">
        <v>462</v>
      </c>
      <c r="G41" s="1991" t="str">
        <f>+Antecedentes!AN17</f>
        <v>Red Aérea</v>
      </c>
      <c r="H41" s="1991"/>
      <c r="I41" s="1991"/>
      <c r="J41" s="1991"/>
      <c r="K41" s="1991"/>
      <c r="L41" s="1991"/>
      <c r="M41" s="1991"/>
      <c r="N41" s="1992" t="s">
        <v>930</v>
      </c>
      <c r="O41" s="1992"/>
      <c r="P41" s="1992"/>
      <c r="Q41" s="1992" t="s">
        <v>931</v>
      </c>
      <c r="R41" s="1992"/>
      <c r="S41" s="1992"/>
      <c r="T41" s="1992" t="s">
        <v>932</v>
      </c>
      <c r="U41" s="1992"/>
      <c r="V41" s="1992"/>
      <c r="W41" s="1992"/>
      <c r="X41" s="1993"/>
      <c r="Y41" s="1993"/>
      <c r="Z41" s="1993"/>
      <c r="AA41" s="1993"/>
      <c r="AB41" s="1993"/>
      <c r="AC41" s="1993"/>
      <c r="AD41" s="1993"/>
      <c r="AE41" s="1993"/>
      <c r="AF41" s="1993"/>
      <c r="AG41" s="1993"/>
      <c r="AH41" s="1993"/>
      <c r="AI41" s="1993"/>
    </row>
    <row r="42" spans="1:35" ht="13.5" x14ac:dyDescent="0.25">
      <c r="A42" s="357" t="s">
        <v>552</v>
      </c>
      <c r="B42" s="358"/>
      <c r="C42" s="358"/>
      <c r="D42" s="358"/>
      <c r="E42" s="358"/>
      <c r="F42" s="359" t="s">
        <v>462</v>
      </c>
      <c r="G42" s="1991" t="str">
        <f>+Antecedentes!AN18</f>
        <v>Full Eléctrica</v>
      </c>
      <c r="H42" s="1991"/>
      <c r="I42" s="1991"/>
      <c r="J42" s="1991"/>
      <c r="K42" s="1991"/>
      <c r="L42" s="1991"/>
      <c r="M42" s="1991"/>
      <c r="N42" s="1992" t="s">
        <v>930</v>
      </c>
      <c r="O42" s="1992"/>
      <c r="P42" s="1992"/>
      <c r="Q42" s="1992" t="s">
        <v>931</v>
      </c>
      <c r="R42" s="1992"/>
      <c r="S42" s="1992"/>
      <c r="T42" s="1992" t="s">
        <v>932</v>
      </c>
      <c r="U42" s="1992"/>
      <c r="V42" s="1992"/>
      <c r="W42" s="1992"/>
      <c r="X42" s="1993"/>
      <c r="Y42" s="1993"/>
      <c r="Z42" s="1993"/>
      <c r="AA42" s="1993"/>
      <c r="AB42" s="1993"/>
      <c r="AC42" s="1993"/>
      <c r="AD42" s="1993"/>
      <c r="AE42" s="1993"/>
      <c r="AF42" s="1993"/>
      <c r="AG42" s="1993"/>
      <c r="AH42" s="1993"/>
      <c r="AI42" s="1993"/>
    </row>
    <row r="43" spans="1:35" ht="13.5" x14ac:dyDescent="0.25">
      <c r="A43" s="360" t="s">
        <v>561</v>
      </c>
      <c r="B43" s="352"/>
      <c r="C43" s="352"/>
      <c r="D43" s="352"/>
      <c r="E43" s="352"/>
      <c r="F43" s="361" t="s">
        <v>462</v>
      </c>
      <c r="G43" s="1985" t="str">
        <f>+Antecedentes!AN19</f>
        <v xml:space="preserve">  </v>
      </c>
      <c r="H43" s="1985"/>
      <c r="I43" s="1985"/>
      <c r="J43" s="1985"/>
      <c r="K43" s="1985"/>
      <c r="L43" s="1985"/>
      <c r="M43" s="1985"/>
      <c r="N43" s="1986"/>
      <c r="O43" s="1986"/>
      <c r="P43" s="1986"/>
      <c r="Q43" s="1986"/>
      <c r="R43" s="1986"/>
      <c r="S43" s="1986"/>
      <c r="T43" s="1986"/>
      <c r="U43" s="1986"/>
      <c r="V43" s="1986"/>
      <c r="W43" s="1986"/>
      <c r="X43" s="1987"/>
      <c r="Y43" s="1987"/>
      <c r="Z43" s="1987"/>
      <c r="AA43" s="1987"/>
      <c r="AB43" s="1987"/>
      <c r="AC43" s="1987"/>
      <c r="AD43" s="1987"/>
      <c r="AE43" s="1987"/>
      <c r="AF43" s="1987"/>
      <c r="AG43" s="1987"/>
      <c r="AH43" s="1987"/>
      <c r="AI43" s="1987"/>
    </row>
    <row r="44" spans="1:35" ht="17.25" customHeight="1" x14ac:dyDescent="0.25">
      <c r="A44" s="1988" t="s">
        <v>954</v>
      </c>
      <c r="B44" s="1988"/>
      <c r="C44" s="1988"/>
      <c r="D44" s="1988"/>
      <c r="E44" s="1988"/>
      <c r="F44" s="1988"/>
      <c r="G44" s="1988"/>
      <c r="H44" s="1988"/>
      <c r="I44" s="1988"/>
      <c r="J44" s="1988"/>
      <c r="K44" s="1988"/>
      <c r="L44" s="1988"/>
      <c r="M44" s="1988"/>
      <c r="N44" s="1988"/>
      <c r="O44" s="362" t="s">
        <v>955</v>
      </c>
      <c r="P44" s="363"/>
      <c r="Q44" s="363"/>
      <c r="R44" s="363"/>
      <c r="S44" s="363"/>
      <c r="T44" s="363"/>
      <c r="U44" s="363"/>
      <c r="V44" s="1989">
        <f>+Portada!G85</f>
        <v>46154</v>
      </c>
      <c r="W44" s="1989"/>
      <c r="X44" s="1989"/>
      <c r="Y44" s="1989"/>
      <c r="Z44" s="1989"/>
      <c r="AA44" s="364"/>
      <c r="AB44" s="364"/>
      <c r="AC44" s="364"/>
      <c r="AD44" s="364"/>
      <c r="AE44" s="364"/>
      <c r="AF44" s="364"/>
      <c r="AG44" s="364"/>
      <c r="AH44" s="364"/>
      <c r="AI44" s="365"/>
    </row>
    <row r="45" spans="1:35" ht="15.75" x14ac:dyDescent="0.25">
      <c r="A45" s="366"/>
      <c r="B45" s="367"/>
      <c r="C45" s="367"/>
      <c r="D45" s="367"/>
      <c r="E45" s="367"/>
      <c r="F45" s="367"/>
      <c r="G45" s="367"/>
      <c r="H45" s="367"/>
      <c r="I45" s="367"/>
      <c r="J45" s="367"/>
      <c r="K45" s="367"/>
      <c r="L45" s="367"/>
      <c r="M45" s="367"/>
      <c r="N45" s="367"/>
      <c r="O45" s="368"/>
      <c r="P45" s="369"/>
      <c r="Q45" s="369"/>
      <c r="R45" s="369"/>
      <c r="S45" s="369"/>
      <c r="T45" s="369"/>
      <c r="U45" s="369"/>
      <c r="V45" s="370"/>
      <c r="W45" s="368"/>
      <c r="X45" s="368"/>
      <c r="Y45" s="368"/>
      <c r="Z45" s="368"/>
      <c r="AA45" s="369"/>
      <c r="AB45" s="369"/>
      <c r="AC45" s="369"/>
      <c r="AD45" s="369"/>
      <c r="AE45" s="369"/>
      <c r="AF45" s="369"/>
      <c r="AG45" s="369"/>
      <c r="AH45" s="369"/>
      <c r="AI45" s="371"/>
    </row>
    <row r="46" spans="1:35" ht="16.5" customHeight="1" x14ac:dyDescent="0.25">
      <c r="A46" s="372" t="s">
        <v>956</v>
      </c>
      <c r="B46" s="345"/>
      <c r="C46" s="345"/>
      <c r="D46" s="345"/>
      <c r="E46" s="345"/>
      <c r="F46" s="345"/>
      <c r="G46" s="345"/>
      <c r="H46" s="345"/>
      <c r="I46" s="345"/>
      <c r="J46" s="345"/>
      <c r="K46" s="345"/>
      <c r="L46" s="345"/>
      <c r="M46" s="345"/>
      <c r="N46" s="345"/>
      <c r="O46" s="345"/>
      <c r="P46" s="345"/>
      <c r="Q46" s="345"/>
      <c r="V46" s="1990" t="s">
        <v>699</v>
      </c>
      <c r="W46" s="1990"/>
      <c r="X46" s="373"/>
      <c r="AD46" s="374"/>
      <c r="AE46" s="374"/>
      <c r="AH46" s="375"/>
      <c r="AI46" s="376"/>
    </row>
    <row r="47" spans="1:35" ht="6.75" customHeight="1" x14ac:dyDescent="0.2">
      <c r="A47" s="377"/>
      <c r="M47" s="375"/>
      <c r="N47" s="375"/>
      <c r="O47" s="375"/>
      <c r="P47" s="375"/>
      <c r="Q47" s="375"/>
      <c r="R47" s="375"/>
      <c r="S47" s="375"/>
      <c r="T47" s="120"/>
      <c r="U47" s="375"/>
      <c r="V47" s="375"/>
      <c r="W47" s="375"/>
      <c r="X47" s="375"/>
      <c r="Y47" s="375"/>
      <c r="Z47" s="375"/>
      <c r="AA47" s="375"/>
      <c r="AB47" s="375"/>
      <c r="AC47" s="375"/>
      <c r="AD47" s="375"/>
      <c r="AE47" s="375"/>
      <c r="AF47" s="375"/>
      <c r="AG47" s="375"/>
      <c r="AH47" s="375"/>
      <c r="AI47" s="376"/>
    </row>
    <row r="48" spans="1:35" ht="12.75" customHeight="1" x14ac:dyDescent="0.25">
      <c r="A48" s="378"/>
      <c r="B48" s="379"/>
      <c r="C48" s="379"/>
      <c r="D48" s="379"/>
      <c r="E48" s="379"/>
      <c r="F48" s="379"/>
      <c r="G48" s="379"/>
      <c r="H48" s="379"/>
      <c r="I48" s="379"/>
      <c r="J48" s="379"/>
      <c r="K48" s="379"/>
      <c r="L48" s="379"/>
      <c r="M48" s="379"/>
      <c r="N48" s="379"/>
      <c r="O48" s="379"/>
      <c r="P48" s="379"/>
      <c r="Q48" s="379"/>
      <c r="R48" s="379"/>
      <c r="S48" s="379"/>
      <c r="T48" s="379"/>
      <c r="U48" s="379"/>
      <c r="V48" s="379"/>
      <c r="W48" s="379"/>
      <c r="X48" s="379"/>
      <c r="Y48" s="379"/>
      <c r="Z48" s="379"/>
      <c r="AA48" s="379"/>
      <c r="AB48" s="379"/>
      <c r="AC48" s="379"/>
      <c r="AD48" s="379"/>
      <c r="AE48" s="379"/>
      <c r="AF48" s="379"/>
      <c r="AG48" s="379"/>
      <c r="AH48" s="379"/>
      <c r="AI48" s="380"/>
    </row>
    <row r="49" ht="5.25"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sheetData>
  <dataConsolidate/>
  <mergeCells count="177">
    <mergeCell ref="Z2:AB2"/>
    <mergeCell ref="AC2:AF2"/>
    <mergeCell ref="D3:T3"/>
    <mergeCell ref="X3:AA3"/>
    <mergeCell ref="D4:N4"/>
    <mergeCell ref="P4:Q4"/>
    <mergeCell ref="R4:T4"/>
    <mergeCell ref="U4:W4"/>
    <mergeCell ref="X4:AE4"/>
    <mergeCell ref="A5:C5"/>
    <mergeCell ref="D5:K5"/>
    <mergeCell ref="N5:P5"/>
    <mergeCell ref="Q5:X5"/>
    <mergeCell ref="Y5:AH5"/>
    <mergeCell ref="G8:M8"/>
    <mergeCell ref="N8:P8"/>
    <mergeCell ref="Q8:S8"/>
    <mergeCell ref="T8:W8"/>
    <mergeCell ref="X8:AI8"/>
    <mergeCell ref="G9:M9"/>
    <mergeCell ref="N9:P9"/>
    <mergeCell ref="Q9:S9"/>
    <mergeCell ref="T9:W9"/>
    <mergeCell ref="X9:AI9"/>
    <mergeCell ref="G10:M10"/>
    <mergeCell ref="N10:P10"/>
    <mergeCell ref="Q10:S10"/>
    <mergeCell ref="T10:W10"/>
    <mergeCell ref="X10:AI10"/>
    <mergeCell ref="G11:M11"/>
    <mergeCell ref="N11:P11"/>
    <mergeCell ref="Q11:S11"/>
    <mergeCell ref="T11:W11"/>
    <mergeCell ref="X11:AI11"/>
    <mergeCell ref="G12:M12"/>
    <mergeCell ref="N12:P12"/>
    <mergeCell ref="Q12:S12"/>
    <mergeCell ref="T12:W12"/>
    <mergeCell ref="X12:AI12"/>
    <mergeCell ref="G13:M13"/>
    <mergeCell ref="N13:P13"/>
    <mergeCell ref="Q13:S13"/>
    <mergeCell ref="T13:W13"/>
    <mergeCell ref="X13:AI13"/>
    <mergeCell ref="G14:M14"/>
    <mergeCell ref="N14:P14"/>
    <mergeCell ref="Q14:S14"/>
    <mergeCell ref="T14:W14"/>
    <mergeCell ref="X14:AI14"/>
    <mergeCell ref="G17:M17"/>
    <mergeCell ref="N17:P17"/>
    <mergeCell ref="Q17:S17"/>
    <mergeCell ref="T17:W17"/>
    <mergeCell ref="X17:AI17"/>
    <mergeCell ref="G18:M18"/>
    <mergeCell ref="N18:P18"/>
    <mergeCell ref="Q18:S18"/>
    <mergeCell ref="T18:W18"/>
    <mergeCell ref="X18:AI18"/>
    <mergeCell ref="G19:M19"/>
    <mergeCell ref="N19:P19"/>
    <mergeCell ref="Q19:S19"/>
    <mergeCell ref="T19:W19"/>
    <mergeCell ref="X19:AI19"/>
    <mergeCell ref="G20:M20"/>
    <mergeCell ref="N20:P20"/>
    <mergeCell ref="Q20:S20"/>
    <mergeCell ref="T20:W20"/>
    <mergeCell ref="X20:AI20"/>
    <mergeCell ref="G21:M21"/>
    <mergeCell ref="N21:P21"/>
    <mergeCell ref="Q21:S21"/>
    <mergeCell ref="T21:W21"/>
    <mergeCell ref="X21:AI21"/>
    <mergeCell ref="G22:M22"/>
    <mergeCell ref="N22:P22"/>
    <mergeCell ref="Q22:S22"/>
    <mergeCell ref="T22:W22"/>
    <mergeCell ref="X22:AI22"/>
    <mergeCell ref="G23:M23"/>
    <mergeCell ref="N23:P23"/>
    <mergeCell ref="Q23:S23"/>
    <mergeCell ref="T23:W23"/>
    <mergeCell ref="X23:AI23"/>
    <mergeCell ref="G25:M25"/>
    <mergeCell ref="N25:P25"/>
    <mergeCell ref="Q25:S25"/>
    <mergeCell ref="T25:W25"/>
    <mergeCell ref="X25:AI25"/>
    <mergeCell ref="G26:M26"/>
    <mergeCell ref="N26:P26"/>
    <mergeCell ref="Q26:S26"/>
    <mergeCell ref="T26:W26"/>
    <mergeCell ref="X26:AI26"/>
    <mergeCell ref="G27:M27"/>
    <mergeCell ref="N27:P27"/>
    <mergeCell ref="Q27:S27"/>
    <mergeCell ref="T27:W27"/>
    <mergeCell ref="X27:AI27"/>
    <mergeCell ref="G28:M28"/>
    <mergeCell ref="N28:P28"/>
    <mergeCell ref="Q28:S28"/>
    <mergeCell ref="T28:W28"/>
    <mergeCell ref="X28:AI28"/>
    <mergeCell ref="G29:M29"/>
    <mergeCell ref="N29:P29"/>
    <mergeCell ref="Q29:S29"/>
    <mergeCell ref="T29:W29"/>
    <mergeCell ref="X29:AI29"/>
    <mergeCell ref="G30:M30"/>
    <mergeCell ref="N30:P30"/>
    <mergeCell ref="Q30:S30"/>
    <mergeCell ref="T30:W30"/>
    <mergeCell ref="X30:AI30"/>
    <mergeCell ref="G31:M31"/>
    <mergeCell ref="N31:P31"/>
    <mergeCell ref="Q31:S31"/>
    <mergeCell ref="T31:W31"/>
    <mergeCell ref="X31:AI31"/>
    <mergeCell ref="G32:M32"/>
    <mergeCell ref="N32:P32"/>
    <mergeCell ref="Q32:S32"/>
    <mergeCell ref="T32:W32"/>
    <mergeCell ref="X32:AI32"/>
    <mergeCell ref="G33:M33"/>
    <mergeCell ref="N33:P33"/>
    <mergeCell ref="Q33:S33"/>
    <mergeCell ref="T33:W33"/>
    <mergeCell ref="X33:AI33"/>
    <mergeCell ref="G34:M34"/>
    <mergeCell ref="N34:P34"/>
    <mergeCell ref="Q34:S34"/>
    <mergeCell ref="T34:W34"/>
    <mergeCell ref="X34:AI34"/>
    <mergeCell ref="G35:M35"/>
    <mergeCell ref="N35:P35"/>
    <mergeCell ref="Q35:S35"/>
    <mergeCell ref="T35:W35"/>
    <mergeCell ref="X35:AI35"/>
    <mergeCell ref="G36:M36"/>
    <mergeCell ref="N36:P36"/>
    <mergeCell ref="Q36:S36"/>
    <mergeCell ref="T36:W36"/>
    <mergeCell ref="X36:AI36"/>
    <mergeCell ref="G37:M37"/>
    <mergeCell ref="N37:P37"/>
    <mergeCell ref="Q37:S37"/>
    <mergeCell ref="T37:W37"/>
    <mergeCell ref="X37:AI37"/>
    <mergeCell ref="G39:M39"/>
    <mergeCell ref="N39:P39"/>
    <mergeCell ref="Q39:S39"/>
    <mergeCell ref="T39:W39"/>
    <mergeCell ref="X39:AI39"/>
    <mergeCell ref="G40:M40"/>
    <mergeCell ref="N40:P40"/>
    <mergeCell ref="Q40:S40"/>
    <mergeCell ref="T40:W40"/>
    <mergeCell ref="X40:AI40"/>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s>
  <dataValidations count="4">
    <dataValidation type="list" allowBlank="1" showInputMessage="1" showErrorMessage="1" sqref="N8:P14 N17:P23 N25:P37 N39:P43" xr:uid="{00000000-0002-0000-0900-000000000000}">
      <formula1>"Bueno,Normal,Regular,Deficiente,Malo"</formula1>
      <formula2>0</formula2>
    </dataValidation>
    <dataValidation type="list" allowBlank="1" showInputMessage="1" showErrorMessage="1" sqref="Q8:S14 Q17:S23 Q25:S37 Q39:S43" xr:uid="{00000000-0002-0000-0900-000001000000}">
      <formula1>"Ninguno,Leve,Mediano,Grave,Total"</formula1>
      <formula2>0</formula2>
    </dataValidation>
    <dataValidation type="list" allowBlank="1" showInputMessage="1" showErrorMessage="1" sqref="T8:W14 T17:W23 T25:W37 T39:W43" xr:uid="{00000000-0002-0000-0900-000002000000}">
      <formula1>"Funcionando,Media Función,No Operativo"</formula1>
      <formula2>0</formula2>
    </dataValidation>
    <dataValidation type="list" allowBlank="1" showInputMessage="1" showErrorMessage="1" sqref="V46" xr:uid="{00000000-0002-0000-0900-000003000000}">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3" tint="0.39997558519241921"/>
    <pageSetUpPr fitToPage="1"/>
  </sheetPr>
  <dimension ref="B1:CA83"/>
  <sheetViews>
    <sheetView showGridLines="0" topLeftCell="A4" zoomScale="40" zoomScaleNormal="40" workbookViewId="0">
      <selection activeCell="B7" sqref="B7:BT83"/>
    </sheetView>
  </sheetViews>
  <sheetFormatPr baseColWidth="10" defaultColWidth="2.28515625" defaultRowHeight="15" customHeight="1" x14ac:dyDescent="0.2"/>
  <cols>
    <col min="1" max="1" width="5.85546875" customWidth="1"/>
  </cols>
  <sheetData>
    <row r="1" spans="2:79" ht="15" customHeight="1" x14ac:dyDescent="0.2">
      <c r="H1" s="288"/>
      <c r="P1" s="109"/>
      <c r="AA1" s="289"/>
      <c r="AE1" s="289"/>
      <c r="AF1" s="289"/>
      <c r="AG1" s="289"/>
      <c r="AH1" s="289"/>
      <c r="AI1" s="289"/>
      <c r="AJ1" s="289"/>
      <c r="AN1" s="290"/>
    </row>
    <row r="2" spans="2:79" s="291" customFormat="1" ht="15" customHeight="1" x14ac:dyDescent="0.3">
      <c r="I2" s="289"/>
      <c r="O2" s="292" t="s">
        <v>957</v>
      </c>
      <c r="AE2" s="293"/>
      <c r="AF2" s="1997"/>
      <c r="AG2" s="1997"/>
      <c r="AH2" s="1997"/>
      <c r="AI2" s="1997"/>
      <c r="AJ2" s="1997"/>
      <c r="AN2" s="294"/>
      <c r="AP2" s="915" t="s">
        <v>1811</v>
      </c>
      <c r="AQ2" s="904"/>
      <c r="AR2" s="904"/>
      <c r="AS2" s="904"/>
      <c r="AT2" s="904"/>
      <c r="AU2" s="904"/>
      <c r="AV2" s="904"/>
      <c r="AW2" s="904"/>
      <c r="AX2" s="905"/>
      <c r="AY2" s="905"/>
      <c r="AZ2" s="905"/>
      <c r="BA2" s="905"/>
      <c r="BB2" s="905"/>
      <c r="BC2" s="904"/>
      <c r="BD2" s="904"/>
      <c r="BE2" s="904"/>
      <c r="BF2" s="904"/>
      <c r="BG2" s="904"/>
      <c r="BH2" s="904"/>
      <c r="BI2" s="904"/>
      <c r="BJ2" s="904"/>
      <c r="BK2" s="904"/>
      <c r="BL2" s="904"/>
      <c r="BM2" s="904"/>
      <c r="BN2" s="904"/>
      <c r="BO2" s="904"/>
      <c r="BP2" s="904"/>
      <c r="BQ2" s="904"/>
      <c r="BR2" s="904"/>
      <c r="BS2" s="906"/>
    </row>
    <row r="3" spans="2:79" ht="15" customHeight="1" x14ac:dyDescent="0.2">
      <c r="B3" s="296" t="s">
        <v>675</v>
      </c>
      <c r="C3" s="297"/>
      <c r="D3" s="297"/>
      <c r="E3" s="1981" t="str">
        <f>+Portada!F3</f>
        <v>Janeth Patricia Cando Arias</v>
      </c>
      <c r="F3" s="1981"/>
      <c r="G3" s="1981"/>
      <c r="H3" s="1981"/>
      <c r="I3" s="1981"/>
      <c r="J3" s="1981"/>
      <c r="K3" s="1981"/>
      <c r="L3" s="1981"/>
      <c r="M3" s="1981"/>
      <c r="N3" s="1981"/>
      <c r="O3" s="1981"/>
      <c r="P3" s="1981"/>
      <c r="Q3" s="1981"/>
      <c r="R3" s="1981"/>
      <c r="S3" s="1981"/>
      <c r="T3" s="1981"/>
      <c r="U3" s="1981"/>
      <c r="V3" s="297"/>
      <c r="W3" s="297" t="s">
        <v>456</v>
      </c>
      <c r="X3" s="297"/>
      <c r="Y3" s="1981" t="str">
        <f>+Portada!AE3</f>
        <v>22.959.221-1</v>
      </c>
      <c r="Z3" s="1981"/>
      <c r="AA3" s="1981"/>
      <c r="AB3" s="1981"/>
      <c r="AC3" s="297"/>
      <c r="AD3" s="297"/>
      <c r="AE3" s="297"/>
      <c r="AF3" s="297"/>
      <c r="AG3" s="297"/>
      <c r="AH3" s="298"/>
      <c r="AI3" s="297"/>
      <c r="AJ3" s="299"/>
      <c r="AN3" s="294"/>
      <c r="AP3" s="907" t="s">
        <v>1528</v>
      </c>
      <c r="AQ3" s="887"/>
      <c r="AR3" s="887"/>
      <c r="AS3" s="887"/>
      <c r="AT3" s="896"/>
      <c r="AU3" s="887"/>
      <c r="AV3" s="887"/>
      <c r="AW3" s="887"/>
      <c r="AX3" s="908"/>
      <c r="AY3" s="908"/>
      <c r="AZ3" s="908"/>
      <c r="BA3" s="908"/>
      <c r="BB3" s="908"/>
      <c r="BC3" s="887"/>
      <c r="BD3" s="887"/>
      <c r="BE3" s="887"/>
      <c r="BF3" s="887"/>
      <c r="BG3" s="887"/>
      <c r="BH3" s="887"/>
      <c r="BI3" s="887"/>
      <c r="BJ3" s="887"/>
      <c r="BK3" s="887"/>
      <c r="BL3" s="887"/>
      <c r="BM3" s="887"/>
      <c r="BN3" s="887"/>
      <c r="BO3" s="887"/>
      <c r="BP3" s="887"/>
      <c r="BQ3" s="887"/>
      <c r="BR3" s="887"/>
      <c r="BS3" s="909"/>
    </row>
    <row r="4" spans="2:79" ht="15" customHeight="1" x14ac:dyDescent="0.2">
      <c r="B4" s="300" t="s">
        <v>676</v>
      </c>
      <c r="C4" s="301"/>
      <c r="D4" s="301"/>
      <c r="E4" s="1978" t="str">
        <f>+Portada!AU4</f>
        <v>Coronel Souper N° 4060</v>
      </c>
      <c r="F4" s="1978"/>
      <c r="G4" s="1978"/>
      <c r="H4" s="1978"/>
      <c r="I4" s="1978"/>
      <c r="J4" s="1978"/>
      <c r="K4" s="1978"/>
      <c r="L4" s="1978"/>
      <c r="M4" s="1978"/>
      <c r="N4" s="1978"/>
      <c r="O4" s="1978"/>
      <c r="P4" s="302"/>
      <c r="Q4" s="1982"/>
      <c r="R4" s="1982"/>
      <c r="S4" s="1982" t="str">
        <f>+Portada!AP5</f>
        <v>Depto.</v>
      </c>
      <c r="T4" s="1982"/>
      <c r="U4" s="1982"/>
      <c r="V4" s="1978" t="str">
        <f>+Portada!AU5</f>
        <v>N°2502 B</v>
      </c>
      <c r="W4" s="1978"/>
      <c r="X4" s="1978"/>
      <c r="Y4" s="1978" t="str">
        <f>+Portada!AU6</f>
        <v>Mirador Souper</v>
      </c>
      <c r="Z4" s="1978"/>
      <c r="AA4" s="1978"/>
      <c r="AB4" s="1978"/>
      <c r="AC4" s="1978"/>
      <c r="AD4" s="1978"/>
      <c r="AE4" s="1978"/>
      <c r="AF4" s="1978"/>
      <c r="AG4" s="301"/>
      <c r="AH4" s="303"/>
      <c r="AI4" s="301"/>
      <c r="AJ4" s="304"/>
      <c r="AN4" s="294"/>
      <c r="AP4" s="910" t="s">
        <v>1533</v>
      </c>
      <c r="AQ4" s="911"/>
      <c r="AR4" s="911"/>
      <c r="AS4" s="911"/>
      <c r="AT4" s="912"/>
      <c r="AU4" s="911"/>
      <c r="AV4" s="911"/>
      <c r="AW4" s="911"/>
      <c r="AX4" s="913"/>
      <c r="AY4" s="913"/>
      <c r="AZ4" s="913"/>
      <c r="BA4" s="913"/>
      <c r="BB4" s="913"/>
      <c r="BC4" s="911"/>
      <c r="BD4" s="911"/>
      <c r="BE4" s="911"/>
      <c r="BF4" s="911"/>
      <c r="BG4" s="911"/>
      <c r="BH4" s="911"/>
      <c r="BI4" s="911"/>
      <c r="BJ4" s="911"/>
      <c r="BK4" s="911"/>
      <c r="BL4" s="911"/>
      <c r="BM4" s="911"/>
      <c r="BN4" s="911"/>
      <c r="BO4" s="911"/>
      <c r="BP4" s="911"/>
      <c r="BQ4" s="911"/>
      <c r="BR4" s="911"/>
      <c r="BS4" s="914"/>
    </row>
    <row r="5" spans="2:79" ht="15" customHeight="1" x14ac:dyDescent="0.2">
      <c r="B5" s="1977" t="s">
        <v>457</v>
      </c>
      <c r="C5" s="1977"/>
      <c r="D5" s="1977"/>
      <c r="E5" s="1978" t="str">
        <f>+Portada!AU8</f>
        <v>Estación Central</v>
      </c>
      <c r="F5" s="1978"/>
      <c r="G5" s="1978"/>
      <c r="H5" s="1978"/>
      <c r="I5" s="1978"/>
      <c r="J5" s="1978"/>
      <c r="K5" s="1978"/>
      <c r="L5" s="1978"/>
      <c r="M5" s="301"/>
      <c r="N5" s="301"/>
      <c r="O5" s="1979" t="s">
        <v>677</v>
      </c>
      <c r="P5" s="1979"/>
      <c r="Q5" s="1979"/>
      <c r="R5" s="1979" t="str">
        <f>+Portada!AU7</f>
        <v>Metropolitana de Santiago</v>
      </c>
      <c r="S5" s="1979"/>
      <c r="T5" s="1979"/>
      <c r="U5" s="1979"/>
      <c r="V5" s="1979"/>
      <c r="W5" s="1979"/>
      <c r="X5" s="1979"/>
      <c r="Y5" s="1979"/>
      <c r="Z5" s="1978"/>
      <c r="AA5" s="1978"/>
      <c r="AB5" s="1978"/>
      <c r="AC5" s="1978"/>
      <c r="AD5" s="1978"/>
      <c r="AE5" s="1978"/>
      <c r="AF5" s="1978"/>
      <c r="AG5" s="1978"/>
      <c r="AH5" s="1978"/>
      <c r="AI5" s="1978"/>
      <c r="AJ5" s="304"/>
      <c r="AN5" s="294"/>
      <c r="AT5" s="291"/>
      <c r="AX5" s="295"/>
      <c r="AY5" s="295"/>
      <c r="AZ5" s="295"/>
      <c r="BA5" s="295"/>
      <c r="BB5" s="295"/>
    </row>
    <row r="6" spans="2:79" ht="15" customHeight="1" thickBot="1" x14ac:dyDescent="0.35">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c r="AN6" s="294"/>
      <c r="AT6" s="291"/>
      <c r="AX6" s="295"/>
      <c r="AY6" s="295"/>
      <c r="AZ6" s="295"/>
      <c r="BA6" s="295"/>
      <c r="BB6" s="295"/>
    </row>
    <row r="7" spans="2:79" ht="15" customHeight="1" x14ac:dyDescent="0.2">
      <c r="B7" s="1763"/>
      <c r="C7" s="1764"/>
      <c r="D7" s="1764"/>
      <c r="E7" s="1764"/>
      <c r="F7" s="1764"/>
      <c r="G7" s="1764"/>
      <c r="H7" s="1764"/>
      <c r="I7" s="1764"/>
      <c r="J7" s="1764"/>
      <c r="K7" s="1764"/>
      <c r="L7" s="1764"/>
      <c r="M7" s="1764"/>
      <c r="N7" s="1764"/>
      <c r="O7" s="1764"/>
      <c r="P7" s="1764"/>
      <c r="Q7" s="1764"/>
      <c r="R7" s="1764"/>
      <c r="S7" s="1764"/>
      <c r="T7" s="1764"/>
      <c r="U7" s="1764"/>
      <c r="V7" s="1764"/>
      <c r="W7" s="1764"/>
      <c r="X7" s="1764"/>
      <c r="Y7" s="1764"/>
      <c r="Z7" s="1764"/>
      <c r="AA7" s="1764"/>
      <c r="AB7" s="1764"/>
      <c r="AC7" s="1764"/>
      <c r="AD7" s="1764"/>
      <c r="AE7" s="1764"/>
      <c r="AF7" s="1764"/>
      <c r="AG7" s="1764"/>
      <c r="AH7" s="1764"/>
      <c r="AI7" s="1764"/>
      <c r="AJ7" s="1764"/>
      <c r="AK7" s="1764"/>
      <c r="AL7" s="1764"/>
      <c r="AM7" s="1764"/>
      <c r="AN7" s="1764"/>
      <c r="AO7" s="1764"/>
      <c r="AP7" s="1764"/>
      <c r="AQ7" s="1764"/>
      <c r="AR7" s="1764"/>
      <c r="AS7" s="1764"/>
      <c r="AT7" s="1764"/>
      <c r="AU7" s="1764"/>
      <c r="AV7" s="1764"/>
      <c r="AW7" s="1764"/>
      <c r="AX7" s="1764"/>
      <c r="AY7" s="1764"/>
      <c r="AZ7" s="1764"/>
      <c r="BA7" s="1764"/>
      <c r="BB7" s="1764"/>
      <c r="BC7" s="1764"/>
      <c r="BD7" s="1764"/>
      <c r="BE7" s="1764"/>
      <c r="BF7" s="1764"/>
      <c r="BG7" s="1764"/>
      <c r="BH7" s="1764"/>
      <c r="BI7" s="1764"/>
      <c r="BJ7" s="1764"/>
      <c r="BK7" s="1764"/>
      <c r="BL7" s="1764"/>
      <c r="BM7" s="1764"/>
      <c r="BN7" s="1764"/>
      <c r="BO7" s="1764"/>
      <c r="BP7" s="1764"/>
      <c r="BQ7" s="1764"/>
      <c r="BR7" s="1764"/>
      <c r="BS7" s="1764"/>
      <c r="BT7" s="1765"/>
    </row>
    <row r="8" spans="2:79" ht="15" customHeight="1" x14ac:dyDescent="0.2">
      <c r="B8" s="1766"/>
      <c r="C8" s="1767"/>
      <c r="D8" s="1767"/>
      <c r="E8" s="1767"/>
      <c r="F8" s="1767"/>
      <c r="G8" s="1767"/>
      <c r="H8" s="1767"/>
      <c r="I8" s="1767"/>
      <c r="J8" s="1767"/>
      <c r="K8" s="1767"/>
      <c r="L8" s="1767"/>
      <c r="M8" s="1767"/>
      <c r="N8" s="1767"/>
      <c r="O8" s="1767"/>
      <c r="P8" s="1767"/>
      <c r="Q8" s="1767"/>
      <c r="R8" s="1767"/>
      <c r="S8" s="1767"/>
      <c r="T8" s="1767"/>
      <c r="U8" s="1767"/>
      <c r="V8" s="1767"/>
      <c r="W8" s="1767"/>
      <c r="X8" s="1767"/>
      <c r="Y8" s="1767"/>
      <c r="Z8" s="1767"/>
      <c r="AA8" s="1767"/>
      <c r="AB8" s="1767"/>
      <c r="AC8" s="1767"/>
      <c r="AD8" s="1767"/>
      <c r="AE8" s="1767"/>
      <c r="AF8" s="1767"/>
      <c r="AG8" s="1767"/>
      <c r="AH8" s="1767"/>
      <c r="AI8" s="1767"/>
      <c r="AJ8" s="1767"/>
      <c r="AK8" s="1767"/>
      <c r="AL8" s="1767"/>
      <c r="AM8" s="1767"/>
      <c r="AN8" s="1767"/>
      <c r="AO8" s="1767"/>
      <c r="AP8" s="1767"/>
      <c r="AQ8" s="1767"/>
      <c r="AR8" s="1767"/>
      <c r="AS8" s="1767"/>
      <c r="AT8" s="1767"/>
      <c r="AU8" s="1767"/>
      <c r="AV8" s="1767"/>
      <c r="AW8" s="1767"/>
      <c r="AX8" s="1767"/>
      <c r="AY8" s="1767"/>
      <c r="AZ8" s="1767"/>
      <c r="BA8" s="1767"/>
      <c r="BB8" s="1767"/>
      <c r="BC8" s="1767"/>
      <c r="BD8" s="1767"/>
      <c r="BE8" s="1767"/>
      <c r="BF8" s="1767"/>
      <c r="BG8" s="1767"/>
      <c r="BH8" s="1767"/>
      <c r="BI8" s="1767"/>
      <c r="BJ8" s="1767"/>
      <c r="BK8" s="1767"/>
      <c r="BL8" s="1767"/>
      <c r="BM8" s="1767"/>
      <c r="BN8" s="1767"/>
      <c r="BO8" s="1767"/>
      <c r="BP8" s="1767"/>
      <c r="BQ8" s="1767"/>
      <c r="BR8" s="1767"/>
      <c r="BS8" s="1767"/>
      <c r="BT8" s="1768"/>
      <c r="BV8" s="916" t="s">
        <v>1881</v>
      </c>
      <c r="BW8" s="916"/>
      <c r="BX8" s="916"/>
      <c r="BY8" s="916"/>
      <c r="BZ8" s="916"/>
      <c r="CA8" s="916"/>
    </row>
    <row r="9" spans="2:79" ht="15" customHeight="1" x14ac:dyDescent="0.2">
      <c r="B9" s="1766"/>
      <c r="C9" s="1767"/>
      <c r="D9" s="1767"/>
      <c r="E9" s="1767"/>
      <c r="F9" s="1767"/>
      <c r="G9" s="1767"/>
      <c r="H9" s="1767"/>
      <c r="I9" s="1767"/>
      <c r="J9" s="1767"/>
      <c r="K9" s="1767"/>
      <c r="L9" s="1767"/>
      <c r="M9" s="1767"/>
      <c r="N9" s="1767"/>
      <c r="O9" s="1767"/>
      <c r="P9" s="1767"/>
      <c r="Q9" s="1767"/>
      <c r="R9" s="1767"/>
      <c r="S9" s="1767"/>
      <c r="T9" s="1767"/>
      <c r="U9" s="1767"/>
      <c r="V9" s="1767"/>
      <c r="W9" s="1767"/>
      <c r="X9" s="1767"/>
      <c r="Y9" s="1767"/>
      <c r="Z9" s="1767"/>
      <c r="AA9" s="1767"/>
      <c r="AB9" s="1767"/>
      <c r="AC9" s="1767"/>
      <c r="AD9" s="1767"/>
      <c r="AE9" s="1767"/>
      <c r="AF9" s="1767"/>
      <c r="AG9" s="1767"/>
      <c r="AH9" s="1767"/>
      <c r="AI9" s="1767"/>
      <c r="AJ9" s="1767"/>
      <c r="AK9" s="1767"/>
      <c r="AL9" s="1767"/>
      <c r="AM9" s="1767"/>
      <c r="AN9" s="1767"/>
      <c r="AO9" s="1767"/>
      <c r="AP9" s="1767"/>
      <c r="AQ9" s="1767"/>
      <c r="AR9" s="1767"/>
      <c r="AS9" s="1767"/>
      <c r="AT9" s="1767"/>
      <c r="AU9" s="1767"/>
      <c r="AV9" s="1767"/>
      <c r="AW9" s="1767"/>
      <c r="AX9" s="1767"/>
      <c r="AY9" s="1767"/>
      <c r="AZ9" s="1767"/>
      <c r="BA9" s="1767"/>
      <c r="BB9" s="1767"/>
      <c r="BC9" s="1767"/>
      <c r="BD9" s="1767"/>
      <c r="BE9" s="1767"/>
      <c r="BF9" s="1767"/>
      <c r="BG9" s="1767"/>
      <c r="BH9" s="1767"/>
      <c r="BI9" s="1767"/>
      <c r="BJ9" s="1767"/>
      <c r="BK9" s="1767"/>
      <c r="BL9" s="1767"/>
      <c r="BM9" s="1767"/>
      <c r="BN9" s="1767"/>
      <c r="BO9" s="1767"/>
      <c r="BP9" s="1767"/>
      <c r="BQ9" s="1767"/>
      <c r="BR9" s="1767"/>
      <c r="BS9" s="1767"/>
      <c r="BT9" s="1768"/>
      <c r="BV9" s="916" t="s">
        <v>1882</v>
      </c>
      <c r="BW9" s="916"/>
      <c r="BX9" s="916"/>
      <c r="BY9" s="916"/>
      <c r="BZ9" s="916"/>
      <c r="CA9" s="916"/>
    </row>
    <row r="10" spans="2:79" ht="15" customHeight="1" x14ac:dyDescent="0.2">
      <c r="B10" s="1766"/>
      <c r="C10" s="1767"/>
      <c r="D10" s="1767"/>
      <c r="E10" s="1767"/>
      <c r="F10" s="1767"/>
      <c r="G10" s="1767"/>
      <c r="H10" s="1767"/>
      <c r="I10" s="1767"/>
      <c r="J10" s="1767"/>
      <c r="K10" s="1767"/>
      <c r="L10" s="1767"/>
      <c r="M10" s="1767"/>
      <c r="N10" s="1767"/>
      <c r="O10" s="1767"/>
      <c r="P10" s="1767"/>
      <c r="Q10" s="1767"/>
      <c r="R10" s="1767"/>
      <c r="S10" s="1767"/>
      <c r="T10" s="1767"/>
      <c r="U10" s="1767"/>
      <c r="V10" s="1767"/>
      <c r="W10" s="1767"/>
      <c r="X10" s="1767"/>
      <c r="Y10" s="1767"/>
      <c r="Z10" s="1767"/>
      <c r="AA10" s="1767"/>
      <c r="AB10" s="1767"/>
      <c r="AC10" s="1767"/>
      <c r="AD10" s="1767"/>
      <c r="AE10" s="1767"/>
      <c r="AF10" s="1767"/>
      <c r="AG10" s="1767"/>
      <c r="AH10" s="1767"/>
      <c r="AI10" s="1767"/>
      <c r="AJ10" s="1767"/>
      <c r="AK10" s="1767"/>
      <c r="AL10" s="1767"/>
      <c r="AM10" s="1767"/>
      <c r="AN10" s="1767"/>
      <c r="AO10" s="1767"/>
      <c r="AP10" s="1767"/>
      <c r="AQ10" s="1767"/>
      <c r="AR10" s="1767"/>
      <c r="AS10" s="1767"/>
      <c r="AT10" s="1767"/>
      <c r="AU10" s="1767"/>
      <c r="AV10" s="1767"/>
      <c r="AW10" s="1767"/>
      <c r="AX10" s="1767"/>
      <c r="AY10" s="1767"/>
      <c r="AZ10" s="1767"/>
      <c r="BA10" s="1767"/>
      <c r="BB10" s="1767"/>
      <c r="BC10" s="1767"/>
      <c r="BD10" s="1767"/>
      <c r="BE10" s="1767"/>
      <c r="BF10" s="1767"/>
      <c r="BG10" s="1767"/>
      <c r="BH10" s="1767"/>
      <c r="BI10" s="1767"/>
      <c r="BJ10" s="1767"/>
      <c r="BK10" s="1767"/>
      <c r="BL10" s="1767"/>
      <c r="BM10" s="1767"/>
      <c r="BN10" s="1767"/>
      <c r="BO10" s="1767"/>
      <c r="BP10" s="1767"/>
      <c r="BQ10" s="1767"/>
      <c r="BR10" s="1767"/>
      <c r="BS10" s="1767"/>
      <c r="BT10" s="1768"/>
      <c r="BV10" s="916" t="s">
        <v>1878</v>
      </c>
      <c r="BW10" s="916"/>
      <c r="BX10" s="916"/>
      <c r="BY10" s="916"/>
      <c r="BZ10" s="916"/>
      <c r="CA10" s="916"/>
    </row>
    <row r="11" spans="2:79" ht="15" customHeight="1" x14ac:dyDescent="0.2">
      <c r="B11" s="1766"/>
      <c r="C11" s="1767"/>
      <c r="D11" s="1767"/>
      <c r="E11" s="1767"/>
      <c r="F11" s="1767"/>
      <c r="G11" s="1767"/>
      <c r="H11" s="1767"/>
      <c r="I11" s="1767"/>
      <c r="J11" s="1767"/>
      <c r="K11" s="1767"/>
      <c r="L11" s="1767"/>
      <c r="M11" s="1767"/>
      <c r="N11" s="1767"/>
      <c r="O11" s="1767"/>
      <c r="P11" s="1767"/>
      <c r="Q11" s="1767"/>
      <c r="R11" s="1767"/>
      <c r="S11" s="1767"/>
      <c r="T11" s="1767"/>
      <c r="U11" s="1767"/>
      <c r="V11" s="1767"/>
      <c r="W11" s="1767"/>
      <c r="X11" s="1767"/>
      <c r="Y11" s="1767"/>
      <c r="Z11" s="1767"/>
      <c r="AA11" s="1767"/>
      <c r="AB11" s="1767"/>
      <c r="AC11" s="1767"/>
      <c r="AD11" s="1767"/>
      <c r="AE11" s="1767"/>
      <c r="AF11" s="1767"/>
      <c r="AG11" s="1767"/>
      <c r="AH11" s="1767"/>
      <c r="AI11" s="1767"/>
      <c r="AJ11" s="1767"/>
      <c r="AK11" s="1767"/>
      <c r="AL11" s="1767"/>
      <c r="AM11" s="1767"/>
      <c r="AN11" s="1767"/>
      <c r="AO11" s="1767"/>
      <c r="AP11" s="1767"/>
      <c r="AQ11" s="1767"/>
      <c r="AR11" s="1767"/>
      <c r="AS11" s="1767"/>
      <c r="AT11" s="1767"/>
      <c r="AU11" s="1767"/>
      <c r="AV11" s="1767"/>
      <c r="AW11" s="1767"/>
      <c r="AX11" s="1767"/>
      <c r="AY11" s="1767"/>
      <c r="AZ11" s="1767"/>
      <c r="BA11" s="1767"/>
      <c r="BB11" s="1767"/>
      <c r="BC11" s="1767"/>
      <c r="BD11" s="1767"/>
      <c r="BE11" s="1767"/>
      <c r="BF11" s="1767"/>
      <c r="BG11" s="1767"/>
      <c r="BH11" s="1767"/>
      <c r="BI11" s="1767"/>
      <c r="BJ11" s="1767"/>
      <c r="BK11" s="1767"/>
      <c r="BL11" s="1767"/>
      <c r="BM11" s="1767"/>
      <c r="BN11" s="1767"/>
      <c r="BO11" s="1767"/>
      <c r="BP11" s="1767"/>
      <c r="BQ11" s="1767"/>
      <c r="BR11" s="1767"/>
      <c r="BS11" s="1767"/>
      <c r="BT11" s="1768"/>
      <c r="BV11" s="916" t="s">
        <v>1879</v>
      </c>
      <c r="BW11" s="916"/>
      <c r="BX11" s="916"/>
      <c r="BY11" s="916"/>
      <c r="BZ11" s="916"/>
      <c r="CA11" s="916"/>
    </row>
    <row r="12" spans="2:79" ht="15" customHeight="1" x14ac:dyDescent="0.2">
      <c r="B12" s="1766"/>
      <c r="C12" s="1767"/>
      <c r="D12" s="1767"/>
      <c r="E12" s="1767"/>
      <c r="F12" s="1767"/>
      <c r="G12" s="1767"/>
      <c r="H12" s="1767"/>
      <c r="I12" s="1767"/>
      <c r="J12" s="1767"/>
      <c r="K12" s="1767"/>
      <c r="L12" s="1767"/>
      <c r="M12" s="1767"/>
      <c r="N12" s="1767"/>
      <c r="O12" s="1767"/>
      <c r="P12" s="1767"/>
      <c r="Q12" s="1767"/>
      <c r="R12" s="1767"/>
      <c r="S12" s="1767"/>
      <c r="T12" s="1767"/>
      <c r="U12" s="1767"/>
      <c r="V12" s="1767"/>
      <c r="W12" s="1767"/>
      <c r="X12" s="1767"/>
      <c r="Y12" s="1767"/>
      <c r="Z12" s="1767"/>
      <c r="AA12" s="1767"/>
      <c r="AB12" s="1767"/>
      <c r="AC12" s="1767"/>
      <c r="AD12" s="1767"/>
      <c r="AE12" s="1767"/>
      <c r="AF12" s="1767"/>
      <c r="AG12" s="1767"/>
      <c r="AH12" s="1767"/>
      <c r="AI12" s="1767"/>
      <c r="AJ12" s="1767"/>
      <c r="AK12" s="1767"/>
      <c r="AL12" s="1767"/>
      <c r="AM12" s="1767"/>
      <c r="AN12" s="1767"/>
      <c r="AO12" s="1767"/>
      <c r="AP12" s="1767"/>
      <c r="AQ12" s="1767"/>
      <c r="AR12" s="1767"/>
      <c r="AS12" s="1767"/>
      <c r="AT12" s="1767"/>
      <c r="AU12" s="1767"/>
      <c r="AV12" s="1767"/>
      <c r="AW12" s="1767"/>
      <c r="AX12" s="1767"/>
      <c r="AY12" s="1767"/>
      <c r="AZ12" s="1767"/>
      <c r="BA12" s="1767"/>
      <c r="BB12" s="1767"/>
      <c r="BC12" s="1767"/>
      <c r="BD12" s="1767"/>
      <c r="BE12" s="1767"/>
      <c r="BF12" s="1767"/>
      <c r="BG12" s="1767"/>
      <c r="BH12" s="1767"/>
      <c r="BI12" s="1767"/>
      <c r="BJ12" s="1767"/>
      <c r="BK12" s="1767"/>
      <c r="BL12" s="1767"/>
      <c r="BM12" s="1767"/>
      <c r="BN12" s="1767"/>
      <c r="BO12" s="1767"/>
      <c r="BP12" s="1767"/>
      <c r="BQ12" s="1767"/>
      <c r="BR12" s="1767"/>
      <c r="BS12" s="1767"/>
      <c r="BT12" s="1768"/>
      <c r="BV12" s="916" t="s">
        <v>1880</v>
      </c>
      <c r="BW12" s="916"/>
      <c r="BX12" s="916"/>
      <c r="BY12" s="916"/>
      <c r="BZ12" s="916"/>
      <c r="CA12" s="916"/>
    </row>
    <row r="13" spans="2:79" ht="15" customHeight="1" x14ac:dyDescent="0.2">
      <c r="B13" s="1766"/>
      <c r="C13" s="1767"/>
      <c r="D13" s="1767"/>
      <c r="E13" s="1767"/>
      <c r="F13" s="1767"/>
      <c r="G13" s="1767"/>
      <c r="H13" s="1767"/>
      <c r="I13" s="1767"/>
      <c r="J13" s="1767"/>
      <c r="K13" s="1767"/>
      <c r="L13" s="1767"/>
      <c r="M13" s="1767"/>
      <c r="N13" s="1767"/>
      <c r="O13" s="1767"/>
      <c r="P13" s="1767"/>
      <c r="Q13" s="1767"/>
      <c r="R13" s="1767"/>
      <c r="S13" s="1767"/>
      <c r="T13" s="1767"/>
      <c r="U13" s="1767"/>
      <c r="V13" s="1767"/>
      <c r="W13" s="1767"/>
      <c r="X13" s="1767"/>
      <c r="Y13" s="1767"/>
      <c r="Z13" s="1767"/>
      <c r="AA13" s="1767"/>
      <c r="AB13" s="1767"/>
      <c r="AC13" s="1767"/>
      <c r="AD13" s="1767"/>
      <c r="AE13" s="1767"/>
      <c r="AF13" s="1767"/>
      <c r="AG13" s="1767"/>
      <c r="AH13" s="1767"/>
      <c r="AI13" s="1767"/>
      <c r="AJ13" s="1767"/>
      <c r="AK13" s="1767"/>
      <c r="AL13" s="1767"/>
      <c r="AM13" s="1767"/>
      <c r="AN13" s="1767"/>
      <c r="AO13" s="1767"/>
      <c r="AP13" s="1767"/>
      <c r="AQ13" s="1767"/>
      <c r="AR13" s="1767"/>
      <c r="AS13" s="1767"/>
      <c r="AT13" s="1767"/>
      <c r="AU13" s="1767"/>
      <c r="AV13" s="1767"/>
      <c r="AW13" s="1767"/>
      <c r="AX13" s="1767"/>
      <c r="AY13" s="1767"/>
      <c r="AZ13" s="1767"/>
      <c r="BA13" s="1767"/>
      <c r="BB13" s="1767"/>
      <c r="BC13" s="1767"/>
      <c r="BD13" s="1767"/>
      <c r="BE13" s="1767"/>
      <c r="BF13" s="1767"/>
      <c r="BG13" s="1767"/>
      <c r="BH13" s="1767"/>
      <c r="BI13" s="1767"/>
      <c r="BJ13" s="1767"/>
      <c r="BK13" s="1767"/>
      <c r="BL13" s="1767"/>
      <c r="BM13" s="1767"/>
      <c r="BN13" s="1767"/>
      <c r="BO13" s="1767"/>
      <c r="BP13" s="1767"/>
      <c r="BQ13" s="1767"/>
      <c r="BR13" s="1767"/>
      <c r="BS13" s="1767"/>
      <c r="BT13" s="1768"/>
    </row>
    <row r="14" spans="2:79" ht="15" customHeight="1" x14ac:dyDescent="0.2">
      <c r="B14" s="1766"/>
      <c r="C14" s="1767"/>
      <c r="D14" s="1767"/>
      <c r="E14" s="1767"/>
      <c r="F14" s="1767"/>
      <c r="G14" s="1767"/>
      <c r="H14" s="1767"/>
      <c r="I14" s="1767"/>
      <c r="J14" s="1767"/>
      <c r="K14" s="1767"/>
      <c r="L14" s="1767"/>
      <c r="M14" s="1767"/>
      <c r="N14" s="1767"/>
      <c r="O14" s="1767"/>
      <c r="P14" s="1767"/>
      <c r="Q14" s="1767"/>
      <c r="R14" s="1767"/>
      <c r="S14" s="1767"/>
      <c r="T14" s="1767"/>
      <c r="U14" s="1767"/>
      <c r="V14" s="1767"/>
      <c r="W14" s="1767"/>
      <c r="X14" s="1767"/>
      <c r="Y14" s="1767"/>
      <c r="Z14" s="1767"/>
      <c r="AA14" s="1767"/>
      <c r="AB14" s="1767"/>
      <c r="AC14" s="1767"/>
      <c r="AD14" s="1767"/>
      <c r="AE14" s="1767"/>
      <c r="AF14" s="1767"/>
      <c r="AG14" s="1767"/>
      <c r="AH14" s="1767"/>
      <c r="AI14" s="1767"/>
      <c r="AJ14" s="1767"/>
      <c r="AK14" s="1767"/>
      <c r="AL14" s="1767"/>
      <c r="AM14" s="1767"/>
      <c r="AN14" s="1767"/>
      <c r="AO14" s="1767"/>
      <c r="AP14" s="1767"/>
      <c r="AQ14" s="1767"/>
      <c r="AR14" s="1767"/>
      <c r="AS14" s="1767"/>
      <c r="AT14" s="1767"/>
      <c r="AU14" s="1767"/>
      <c r="AV14" s="1767"/>
      <c r="AW14" s="1767"/>
      <c r="AX14" s="1767"/>
      <c r="AY14" s="1767"/>
      <c r="AZ14" s="1767"/>
      <c r="BA14" s="1767"/>
      <c r="BB14" s="1767"/>
      <c r="BC14" s="1767"/>
      <c r="BD14" s="1767"/>
      <c r="BE14" s="1767"/>
      <c r="BF14" s="1767"/>
      <c r="BG14" s="1767"/>
      <c r="BH14" s="1767"/>
      <c r="BI14" s="1767"/>
      <c r="BJ14" s="1767"/>
      <c r="BK14" s="1767"/>
      <c r="BL14" s="1767"/>
      <c r="BM14" s="1767"/>
      <c r="BN14" s="1767"/>
      <c r="BO14" s="1767"/>
      <c r="BP14" s="1767"/>
      <c r="BQ14" s="1767"/>
      <c r="BR14" s="1767"/>
      <c r="BS14" s="1767"/>
      <c r="BT14" s="1768"/>
    </row>
    <row r="15" spans="2:79" ht="15" customHeight="1" x14ac:dyDescent="0.2">
      <c r="B15" s="1766"/>
      <c r="C15" s="1767"/>
      <c r="D15" s="1767"/>
      <c r="E15" s="1767"/>
      <c r="F15" s="1767"/>
      <c r="G15" s="1767"/>
      <c r="H15" s="1767"/>
      <c r="I15" s="1767"/>
      <c r="J15" s="1767"/>
      <c r="K15" s="1767"/>
      <c r="L15" s="1767"/>
      <c r="M15" s="1767"/>
      <c r="N15" s="1767"/>
      <c r="O15" s="1767"/>
      <c r="P15" s="1767"/>
      <c r="Q15" s="1767"/>
      <c r="R15" s="1767"/>
      <c r="S15" s="1767"/>
      <c r="T15" s="1767"/>
      <c r="U15" s="1767"/>
      <c r="V15" s="1767"/>
      <c r="W15" s="1767"/>
      <c r="X15" s="1767"/>
      <c r="Y15" s="1767"/>
      <c r="Z15" s="1767"/>
      <c r="AA15" s="1767"/>
      <c r="AB15" s="1767"/>
      <c r="AC15" s="1767"/>
      <c r="AD15" s="1767"/>
      <c r="AE15" s="1767"/>
      <c r="AF15" s="1767"/>
      <c r="AG15" s="1767"/>
      <c r="AH15" s="1767"/>
      <c r="AI15" s="1767"/>
      <c r="AJ15" s="1767"/>
      <c r="AK15" s="1767"/>
      <c r="AL15" s="1767"/>
      <c r="AM15" s="1767"/>
      <c r="AN15" s="1767"/>
      <c r="AO15" s="1767"/>
      <c r="AP15" s="1767"/>
      <c r="AQ15" s="1767"/>
      <c r="AR15" s="1767"/>
      <c r="AS15" s="1767"/>
      <c r="AT15" s="1767"/>
      <c r="AU15" s="1767"/>
      <c r="AV15" s="1767"/>
      <c r="AW15" s="1767"/>
      <c r="AX15" s="1767"/>
      <c r="AY15" s="1767"/>
      <c r="AZ15" s="1767"/>
      <c r="BA15" s="1767"/>
      <c r="BB15" s="1767"/>
      <c r="BC15" s="1767"/>
      <c r="BD15" s="1767"/>
      <c r="BE15" s="1767"/>
      <c r="BF15" s="1767"/>
      <c r="BG15" s="1767"/>
      <c r="BH15" s="1767"/>
      <c r="BI15" s="1767"/>
      <c r="BJ15" s="1767"/>
      <c r="BK15" s="1767"/>
      <c r="BL15" s="1767"/>
      <c r="BM15" s="1767"/>
      <c r="BN15" s="1767"/>
      <c r="BO15" s="1767"/>
      <c r="BP15" s="1767"/>
      <c r="BQ15" s="1767"/>
      <c r="BR15" s="1767"/>
      <c r="BS15" s="1767"/>
      <c r="BT15" s="1768"/>
    </row>
    <row r="16" spans="2:79" ht="15" customHeight="1" x14ac:dyDescent="0.2">
      <c r="B16" s="1766"/>
      <c r="C16" s="1767"/>
      <c r="D16" s="1767"/>
      <c r="E16" s="1767"/>
      <c r="F16" s="1767"/>
      <c r="G16" s="1767"/>
      <c r="H16" s="1767"/>
      <c r="I16" s="1767"/>
      <c r="J16" s="1767"/>
      <c r="K16" s="1767"/>
      <c r="L16" s="1767"/>
      <c r="M16" s="1767"/>
      <c r="N16" s="1767"/>
      <c r="O16" s="1767"/>
      <c r="P16" s="1767"/>
      <c r="Q16" s="1767"/>
      <c r="R16" s="1767"/>
      <c r="S16" s="1767"/>
      <c r="T16" s="1767"/>
      <c r="U16" s="1767"/>
      <c r="V16" s="1767"/>
      <c r="W16" s="1767"/>
      <c r="X16" s="1767"/>
      <c r="Y16" s="1767"/>
      <c r="Z16" s="1767"/>
      <c r="AA16" s="1767"/>
      <c r="AB16" s="1767"/>
      <c r="AC16" s="1767"/>
      <c r="AD16" s="1767"/>
      <c r="AE16" s="1767"/>
      <c r="AF16" s="1767"/>
      <c r="AG16" s="1767"/>
      <c r="AH16" s="1767"/>
      <c r="AI16" s="1767"/>
      <c r="AJ16" s="1767"/>
      <c r="AK16" s="1767"/>
      <c r="AL16" s="1767"/>
      <c r="AM16" s="1767"/>
      <c r="AN16" s="1767"/>
      <c r="AO16" s="1767"/>
      <c r="AP16" s="1767"/>
      <c r="AQ16" s="1767"/>
      <c r="AR16" s="1767"/>
      <c r="AS16" s="1767"/>
      <c r="AT16" s="1767"/>
      <c r="AU16" s="1767"/>
      <c r="AV16" s="1767"/>
      <c r="AW16" s="1767"/>
      <c r="AX16" s="1767"/>
      <c r="AY16" s="1767"/>
      <c r="AZ16" s="1767"/>
      <c r="BA16" s="1767"/>
      <c r="BB16" s="1767"/>
      <c r="BC16" s="1767"/>
      <c r="BD16" s="1767"/>
      <c r="BE16" s="1767"/>
      <c r="BF16" s="1767"/>
      <c r="BG16" s="1767"/>
      <c r="BH16" s="1767"/>
      <c r="BI16" s="1767"/>
      <c r="BJ16" s="1767"/>
      <c r="BK16" s="1767"/>
      <c r="BL16" s="1767"/>
      <c r="BM16" s="1767"/>
      <c r="BN16" s="1767"/>
      <c r="BO16" s="1767"/>
      <c r="BP16" s="1767"/>
      <c r="BQ16" s="1767"/>
      <c r="BR16" s="1767"/>
      <c r="BS16" s="1767"/>
      <c r="BT16" s="1768"/>
    </row>
    <row r="17" spans="2:72" ht="15" customHeight="1" x14ac:dyDescent="0.2">
      <c r="B17" s="1766"/>
      <c r="C17" s="1767"/>
      <c r="D17" s="1767"/>
      <c r="E17" s="1767"/>
      <c r="F17" s="1767"/>
      <c r="G17" s="1767"/>
      <c r="H17" s="1767"/>
      <c r="I17" s="1767"/>
      <c r="J17" s="1767"/>
      <c r="K17" s="1767"/>
      <c r="L17" s="1767"/>
      <c r="M17" s="1767"/>
      <c r="N17" s="1767"/>
      <c r="O17" s="1767"/>
      <c r="P17" s="1767"/>
      <c r="Q17" s="1767"/>
      <c r="R17" s="1767"/>
      <c r="S17" s="1767"/>
      <c r="T17" s="1767"/>
      <c r="U17" s="1767"/>
      <c r="V17" s="1767"/>
      <c r="W17" s="1767"/>
      <c r="X17" s="1767"/>
      <c r="Y17" s="1767"/>
      <c r="Z17" s="1767"/>
      <c r="AA17" s="1767"/>
      <c r="AB17" s="1767"/>
      <c r="AC17" s="1767"/>
      <c r="AD17" s="1767"/>
      <c r="AE17" s="1767"/>
      <c r="AF17" s="1767"/>
      <c r="AG17" s="1767"/>
      <c r="AH17" s="1767"/>
      <c r="AI17" s="1767"/>
      <c r="AJ17" s="1767"/>
      <c r="AK17" s="1767"/>
      <c r="AL17" s="1767"/>
      <c r="AM17" s="1767"/>
      <c r="AN17" s="1767"/>
      <c r="AO17" s="1767"/>
      <c r="AP17" s="1767"/>
      <c r="AQ17" s="1767"/>
      <c r="AR17" s="1767"/>
      <c r="AS17" s="1767"/>
      <c r="AT17" s="1767"/>
      <c r="AU17" s="1767"/>
      <c r="AV17" s="1767"/>
      <c r="AW17" s="1767"/>
      <c r="AX17" s="1767"/>
      <c r="AY17" s="1767"/>
      <c r="AZ17" s="1767"/>
      <c r="BA17" s="1767"/>
      <c r="BB17" s="1767"/>
      <c r="BC17" s="1767"/>
      <c r="BD17" s="1767"/>
      <c r="BE17" s="1767"/>
      <c r="BF17" s="1767"/>
      <c r="BG17" s="1767"/>
      <c r="BH17" s="1767"/>
      <c r="BI17" s="1767"/>
      <c r="BJ17" s="1767"/>
      <c r="BK17" s="1767"/>
      <c r="BL17" s="1767"/>
      <c r="BM17" s="1767"/>
      <c r="BN17" s="1767"/>
      <c r="BO17" s="1767"/>
      <c r="BP17" s="1767"/>
      <c r="BQ17" s="1767"/>
      <c r="BR17" s="1767"/>
      <c r="BS17" s="1767"/>
      <c r="BT17" s="1768"/>
    </row>
    <row r="18" spans="2:72" ht="15" customHeight="1" x14ac:dyDescent="0.2">
      <c r="B18" s="1766"/>
      <c r="C18" s="1767"/>
      <c r="D18" s="1767"/>
      <c r="E18" s="1767"/>
      <c r="F18" s="1767"/>
      <c r="G18" s="1767"/>
      <c r="H18" s="1767"/>
      <c r="I18" s="1767"/>
      <c r="J18" s="1767"/>
      <c r="K18" s="1767"/>
      <c r="L18" s="1767"/>
      <c r="M18" s="1767"/>
      <c r="N18" s="1767"/>
      <c r="O18" s="1767"/>
      <c r="P18" s="1767"/>
      <c r="Q18" s="1767"/>
      <c r="R18" s="1767"/>
      <c r="S18" s="1767"/>
      <c r="T18" s="1767"/>
      <c r="U18" s="1767"/>
      <c r="V18" s="1767"/>
      <c r="W18" s="1767"/>
      <c r="X18" s="1767"/>
      <c r="Y18" s="1767"/>
      <c r="Z18" s="1767"/>
      <c r="AA18" s="1767"/>
      <c r="AB18" s="1767"/>
      <c r="AC18" s="1767"/>
      <c r="AD18" s="1767"/>
      <c r="AE18" s="1767"/>
      <c r="AF18" s="1767"/>
      <c r="AG18" s="1767"/>
      <c r="AH18" s="1767"/>
      <c r="AI18" s="1767"/>
      <c r="AJ18" s="1767"/>
      <c r="AK18" s="1767"/>
      <c r="AL18" s="1767"/>
      <c r="AM18" s="1767"/>
      <c r="AN18" s="1767"/>
      <c r="AO18" s="1767"/>
      <c r="AP18" s="1767"/>
      <c r="AQ18" s="1767"/>
      <c r="AR18" s="1767"/>
      <c r="AS18" s="1767"/>
      <c r="AT18" s="1767"/>
      <c r="AU18" s="1767"/>
      <c r="AV18" s="1767"/>
      <c r="AW18" s="1767"/>
      <c r="AX18" s="1767"/>
      <c r="AY18" s="1767"/>
      <c r="AZ18" s="1767"/>
      <c r="BA18" s="1767"/>
      <c r="BB18" s="1767"/>
      <c r="BC18" s="1767"/>
      <c r="BD18" s="1767"/>
      <c r="BE18" s="1767"/>
      <c r="BF18" s="1767"/>
      <c r="BG18" s="1767"/>
      <c r="BH18" s="1767"/>
      <c r="BI18" s="1767"/>
      <c r="BJ18" s="1767"/>
      <c r="BK18" s="1767"/>
      <c r="BL18" s="1767"/>
      <c r="BM18" s="1767"/>
      <c r="BN18" s="1767"/>
      <c r="BO18" s="1767"/>
      <c r="BP18" s="1767"/>
      <c r="BQ18" s="1767"/>
      <c r="BR18" s="1767"/>
      <c r="BS18" s="1767"/>
      <c r="BT18" s="1768"/>
    </row>
    <row r="19" spans="2:72" ht="15" customHeight="1" x14ac:dyDescent="0.2">
      <c r="B19" s="1766"/>
      <c r="C19" s="1767"/>
      <c r="D19" s="1767"/>
      <c r="E19" s="1767"/>
      <c r="F19" s="1767"/>
      <c r="G19" s="1767"/>
      <c r="H19" s="1767"/>
      <c r="I19" s="1767"/>
      <c r="J19" s="1767"/>
      <c r="K19" s="1767"/>
      <c r="L19" s="1767"/>
      <c r="M19" s="1767"/>
      <c r="N19" s="1767"/>
      <c r="O19" s="1767"/>
      <c r="P19" s="1767"/>
      <c r="Q19" s="1767"/>
      <c r="R19" s="1767"/>
      <c r="S19" s="1767"/>
      <c r="T19" s="1767"/>
      <c r="U19" s="1767"/>
      <c r="V19" s="1767"/>
      <c r="W19" s="1767"/>
      <c r="X19" s="1767"/>
      <c r="Y19" s="1767"/>
      <c r="Z19" s="1767"/>
      <c r="AA19" s="1767"/>
      <c r="AB19" s="1767"/>
      <c r="AC19" s="1767"/>
      <c r="AD19" s="1767"/>
      <c r="AE19" s="1767"/>
      <c r="AF19" s="1767"/>
      <c r="AG19" s="1767"/>
      <c r="AH19" s="1767"/>
      <c r="AI19" s="1767"/>
      <c r="AJ19" s="1767"/>
      <c r="AK19" s="1767"/>
      <c r="AL19" s="1767"/>
      <c r="AM19" s="1767"/>
      <c r="AN19" s="1767"/>
      <c r="AO19" s="1767"/>
      <c r="AP19" s="1767"/>
      <c r="AQ19" s="1767"/>
      <c r="AR19" s="1767"/>
      <c r="AS19" s="1767"/>
      <c r="AT19" s="1767"/>
      <c r="AU19" s="1767"/>
      <c r="AV19" s="1767"/>
      <c r="AW19" s="1767"/>
      <c r="AX19" s="1767"/>
      <c r="AY19" s="1767"/>
      <c r="AZ19" s="1767"/>
      <c r="BA19" s="1767"/>
      <c r="BB19" s="1767"/>
      <c r="BC19" s="1767"/>
      <c r="BD19" s="1767"/>
      <c r="BE19" s="1767"/>
      <c r="BF19" s="1767"/>
      <c r="BG19" s="1767"/>
      <c r="BH19" s="1767"/>
      <c r="BI19" s="1767"/>
      <c r="BJ19" s="1767"/>
      <c r="BK19" s="1767"/>
      <c r="BL19" s="1767"/>
      <c r="BM19" s="1767"/>
      <c r="BN19" s="1767"/>
      <c r="BO19" s="1767"/>
      <c r="BP19" s="1767"/>
      <c r="BQ19" s="1767"/>
      <c r="BR19" s="1767"/>
      <c r="BS19" s="1767"/>
      <c r="BT19" s="1768"/>
    </row>
    <row r="20" spans="2:72" ht="15" customHeight="1" x14ac:dyDescent="0.2">
      <c r="B20" s="1766"/>
      <c r="C20" s="1767"/>
      <c r="D20" s="1767"/>
      <c r="E20" s="1767"/>
      <c r="F20" s="1767"/>
      <c r="G20" s="1767"/>
      <c r="H20" s="1767"/>
      <c r="I20" s="1767"/>
      <c r="J20" s="1767"/>
      <c r="K20" s="1767"/>
      <c r="L20" s="1767"/>
      <c r="M20" s="1767"/>
      <c r="N20" s="1767"/>
      <c r="O20" s="1767"/>
      <c r="P20" s="1767"/>
      <c r="Q20" s="1767"/>
      <c r="R20" s="1767"/>
      <c r="S20" s="1767"/>
      <c r="T20" s="1767"/>
      <c r="U20" s="1767"/>
      <c r="V20" s="1767"/>
      <c r="W20" s="1767"/>
      <c r="X20" s="1767"/>
      <c r="Y20" s="1767"/>
      <c r="Z20" s="1767"/>
      <c r="AA20" s="1767"/>
      <c r="AB20" s="1767"/>
      <c r="AC20" s="1767"/>
      <c r="AD20" s="1767"/>
      <c r="AE20" s="1767"/>
      <c r="AF20" s="1767"/>
      <c r="AG20" s="1767"/>
      <c r="AH20" s="1767"/>
      <c r="AI20" s="1767"/>
      <c r="AJ20" s="1767"/>
      <c r="AK20" s="1767"/>
      <c r="AL20" s="1767"/>
      <c r="AM20" s="1767"/>
      <c r="AN20" s="1767"/>
      <c r="AO20" s="1767"/>
      <c r="AP20" s="1767"/>
      <c r="AQ20" s="1767"/>
      <c r="AR20" s="1767"/>
      <c r="AS20" s="1767"/>
      <c r="AT20" s="1767"/>
      <c r="AU20" s="1767"/>
      <c r="AV20" s="1767"/>
      <c r="AW20" s="1767"/>
      <c r="AX20" s="1767"/>
      <c r="AY20" s="1767"/>
      <c r="AZ20" s="1767"/>
      <c r="BA20" s="1767"/>
      <c r="BB20" s="1767"/>
      <c r="BC20" s="1767"/>
      <c r="BD20" s="1767"/>
      <c r="BE20" s="1767"/>
      <c r="BF20" s="1767"/>
      <c r="BG20" s="1767"/>
      <c r="BH20" s="1767"/>
      <c r="BI20" s="1767"/>
      <c r="BJ20" s="1767"/>
      <c r="BK20" s="1767"/>
      <c r="BL20" s="1767"/>
      <c r="BM20" s="1767"/>
      <c r="BN20" s="1767"/>
      <c r="BO20" s="1767"/>
      <c r="BP20" s="1767"/>
      <c r="BQ20" s="1767"/>
      <c r="BR20" s="1767"/>
      <c r="BS20" s="1767"/>
      <c r="BT20" s="1768"/>
    </row>
    <row r="21" spans="2:72" ht="15" customHeight="1" x14ac:dyDescent="0.2">
      <c r="B21" s="1766"/>
      <c r="C21" s="1767"/>
      <c r="D21" s="1767"/>
      <c r="E21" s="1767"/>
      <c r="F21" s="1767"/>
      <c r="G21" s="1767"/>
      <c r="H21" s="1767"/>
      <c r="I21" s="1767"/>
      <c r="J21" s="1767"/>
      <c r="K21" s="1767"/>
      <c r="L21" s="1767"/>
      <c r="M21" s="1767"/>
      <c r="N21" s="1767"/>
      <c r="O21" s="1767"/>
      <c r="P21" s="1767"/>
      <c r="Q21" s="1767"/>
      <c r="R21" s="1767"/>
      <c r="S21" s="1767"/>
      <c r="T21" s="1767"/>
      <c r="U21" s="1767"/>
      <c r="V21" s="1767"/>
      <c r="W21" s="1767"/>
      <c r="X21" s="1767"/>
      <c r="Y21" s="1767"/>
      <c r="Z21" s="1767"/>
      <c r="AA21" s="1767"/>
      <c r="AB21" s="1767"/>
      <c r="AC21" s="1767"/>
      <c r="AD21" s="1767"/>
      <c r="AE21" s="1767"/>
      <c r="AF21" s="1767"/>
      <c r="AG21" s="1767"/>
      <c r="AH21" s="1767"/>
      <c r="AI21" s="1767"/>
      <c r="AJ21" s="1767"/>
      <c r="AK21" s="1767"/>
      <c r="AL21" s="1767"/>
      <c r="AM21" s="1767"/>
      <c r="AN21" s="1767"/>
      <c r="AO21" s="1767"/>
      <c r="AP21" s="1767"/>
      <c r="AQ21" s="1767"/>
      <c r="AR21" s="1767"/>
      <c r="AS21" s="1767"/>
      <c r="AT21" s="1767"/>
      <c r="AU21" s="1767"/>
      <c r="AV21" s="1767"/>
      <c r="AW21" s="1767"/>
      <c r="AX21" s="1767"/>
      <c r="AY21" s="1767"/>
      <c r="AZ21" s="1767"/>
      <c r="BA21" s="1767"/>
      <c r="BB21" s="1767"/>
      <c r="BC21" s="1767"/>
      <c r="BD21" s="1767"/>
      <c r="BE21" s="1767"/>
      <c r="BF21" s="1767"/>
      <c r="BG21" s="1767"/>
      <c r="BH21" s="1767"/>
      <c r="BI21" s="1767"/>
      <c r="BJ21" s="1767"/>
      <c r="BK21" s="1767"/>
      <c r="BL21" s="1767"/>
      <c r="BM21" s="1767"/>
      <c r="BN21" s="1767"/>
      <c r="BO21" s="1767"/>
      <c r="BP21" s="1767"/>
      <c r="BQ21" s="1767"/>
      <c r="BR21" s="1767"/>
      <c r="BS21" s="1767"/>
      <c r="BT21" s="1768"/>
    </row>
    <row r="22" spans="2:72" ht="15" customHeight="1" x14ac:dyDescent="0.2">
      <c r="B22" s="1766"/>
      <c r="C22" s="1767"/>
      <c r="D22" s="1767"/>
      <c r="E22" s="1767"/>
      <c r="F22" s="1767"/>
      <c r="G22" s="1767"/>
      <c r="H22" s="1767"/>
      <c r="I22" s="1767"/>
      <c r="J22" s="1767"/>
      <c r="K22" s="1767"/>
      <c r="L22" s="1767"/>
      <c r="M22" s="1767"/>
      <c r="N22" s="1767"/>
      <c r="O22" s="1767"/>
      <c r="P22" s="1767"/>
      <c r="Q22" s="1767"/>
      <c r="R22" s="1767"/>
      <c r="S22" s="1767"/>
      <c r="T22" s="1767"/>
      <c r="U22" s="1767"/>
      <c r="V22" s="1767"/>
      <c r="W22" s="1767"/>
      <c r="X22" s="1767"/>
      <c r="Y22" s="1767"/>
      <c r="Z22" s="1767"/>
      <c r="AA22" s="1767"/>
      <c r="AB22" s="1767"/>
      <c r="AC22" s="1767"/>
      <c r="AD22" s="1767"/>
      <c r="AE22" s="1767"/>
      <c r="AF22" s="1767"/>
      <c r="AG22" s="1767"/>
      <c r="AH22" s="1767"/>
      <c r="AI22" s="1767"/>
      <c r="AJ22" s="1767"/>
      <c r="AK22" s="1767"/>
      <c r="AL22" s="1767"/>
      <c r="AM22" s="1767"/>
      <c r="AN22" s="1767"/>
      <c r="AO22" s="1767"/>
      <c r="AP22" s="1767"/>
      <c r="AQ22" s="1767"/>
      <c r="AR22" s="1767"/>
      <c r="AS22" s="1767"/>
      <c r="AT22" s="1767"/>
      <c r="AU22" s="1767"/>
      <c r="AV22" s="1767"/>
      <c r="AW22" s="1767"/>
      <c r="AX22" s="1767"/>
      <c r="AY22" s="1767"/>
      <c r="AZ22" s="1767"/>
      <c r="BA22" s="1767"/>
      <c r="BB22" s="1767"/>
      <c r="BC22" s="1767"/>
      <c r="BD22" s="1767"/>
      <c r="BE22" s="1767"/>
      <c r="BF22" s="1767"/>
      <c r="BG22" s="1767"/>
      <c r="BH22" s="1767"/>
      <c r="BI22" s="1767"/>
      <c r="BJ22" s="1767"/>
      <c r="BK22" s="1767"/>
      <c r="BL22" s="1767"/>
      <c r="BM22" s="1767"/>
      <c r="BN22" s="1767"/>
      <c r="BO22" s="1767"/>
      <c r="BP22" s="1767"/>
      <c r="BQ22" s="1767"/>
      <c r="BR22" s="1767"/>
      <c r="BS22" s="1767"/>
      <c r="BT22" s="1768"/>
    </row>
    <row r="23" spans="2:72" ht="15" customHeight="1" x14ac:dyDescent="0.2">
      <c r="B23" s="1766"/>
      <c r="C23" s="1767"/>
      <c r="D23" s="1767"/>
      <c r="E23" s="1767"/>
      <c r="F23" s="1767"/>
      <c r="G23" s="1767"/>
      <c r="H23" s="1767"/>
      <c r="I23" s="1767"/>
      <c r="J23" s="1767"/>
      <c r="K23" s="1767"/>
      <c r="L23" s="1767"/>
      <c r="M23" s="1767"/>
      <c r="N23" s="1767"/>
      <c r="O23" s="1767"/>
      <c r="P23" s="1767"/>
      <c r="Q23" s="1767"/>
      <c r="R23" s="1767"/>
      <c r="S23" s="1767"/>
      <c r="T23" s="1767"/>
      <c r="U23" s="1767"/>
      <c r="V23" s="1767"/>
      <c r="W23" s="1767"/>
      <c r="X23" s="1767"/>
      <c r="Y23" s="1767"/>
      <c r="Z23" s="1767"/>
      <c r="AA23" s="1767"/>
      <c r="AB23" s="1767"/>
      <c r="AC23" s="1767"/>
      <c r="AD23" s="1767"/>
      <c r="AE23" s="1767"/>
      <c r="AF23" s="1767"/>
      <c r="AG23" s="1767"/>
      <c r="AH23" s="1767"/>
      <c r="AI23" s="1767"/>
      <c r="AJ23" s="1767"/>
      <c r="AK23" s="1767"/>
      <c r="AL23" s="1767"/>
      <c r="AM23" s="1767"/>
      <c r="AN23" s="1767"/>
      <c r="AO23" s="1767"/>
      <c r="AP23" s="1767"/>
      <c r="AQ23" s="1767"/>
      <c r="AR23" s="1767"/>
      <c r="AS23" s="1767"/>
      <c r="AT23" s="1767"/>
      <c r="AU23" s="1767"/>
      <c r="AV23" s="1767"/>
      <c r="AW23" s="1767"/>
      <c r="AX23" s="1767"/>
      <c r="AY23" s="1767"/>
      <c r="AZ23" s="1767"/>
      <c r="BA23" s="1767"/>
      <c r="BB23" s="1767"/>
      <c r="BC23" s="1767"/>
      <c r="BD23" s="1767"/>
      <c r="BE23" s="1767"/>
      <c r="BF23" s="1767"/>
      <c r="BG23" s="1767"/>
      <c r="BH23" s="1767"/>
      <c r="BI23" s="1767"/>
      <c r="BJ23" s="1767"/>
      <c r="BK23" s="1767"/>
      <c r="BL23" s="1767"/>
      <c r="BM23" s="1767"/>
      <c r="BN23" s="1767"/>
      <c r="BO23" s="1767"/>
      <c r="BP23" s="1767"/>
      <c r="BQ23" s="1767"/>
      <c r="BR23" s="1767"/>
      <c r="BS23" s="1767"/>
      <c r="BT23" s="1768"/>
    </row>
    <row r="24" spans="2:72" ht="15" customHeight="1" x14ac:dyDescent="0.2">
      <c r="B24" s="1766"/>
      <c r="C24" s="1767"/>
      <c r="D24" s="1767"/>
      <c r="E24" s="1767"/>
      <c r="F24" s="1767"/>
      <c r="G24" s="1767"/>
      <c r="H24" s="1767"/>
      <c r="I24" s="1767"/>
      <c r="J24" s="1767"/>
      <c r="K24" s="1767"/>
      <c r="L24" s="1767"/>
      <c r="M24" s="1767"/>
      <c r="N24" s="1767"/>
      <c r="O24" s="1767"/>
      <c r="P24" s="1767"/>
      <c r="Q24" s="1767"/>
      <c r="R24" s="1767"/>
      <c r="S24" s="1767"/>
      <c r="T24" s="1767"/>
      <c r="U24" s="1767"/>
      <c r="V24" s="1767"/>
      <c r="W24" s="1767"/>
      <c r="X24" s="1767"/>
      <c r="Y24" s="1767"/>
      <c r="Z24" s="1767"/>
      <c r="AA24" s="1767"/>
      <c r="AB24" s="1767"/>
      <c r="AC24" s="1767"/>
      <c r="AD24" s="1767"/>
      <c r="AE24" s="1767"/>
      <c r="AF24" s="1767"/>
      <c r="AG24" s="1767"/>
      <c r="AH24" s="1767"/>
      <c r="AI24" s="1767"/>
      <c r="AJ24" s="1767"/>
      <c r="AK24" s="1767"/>
      <c r="AL24" s="1767"/>
      <c r="AM24" s="1767"/>
      <c r="AN24" s="1767"/>
      <c r="AO24" s="1767"/>
      <c r="AP24" s="1767"/>
      <c r="AQ24" s="1767"/>
      <c r="AR24" s="1767"/>
      <c r="AS24" s="1767"/>
      <c r="AT24" s="1767"/>
      <c r="AU24" s="1767"/>
      <c r="AV24" s="1767"/>
      <c r="AW24" s="1767"/>
      <c r="AX24" s="1767"/>
      <c r="AY24" s="1767"/>
      <c r="AZ24" s="1767"/>
      <c r="BA24" s="1767"/>
      <c r="BB24" s="1767"/>
      <c r="BC24" s="1767"/>
      <c r="BD24" s="1767"/>
      <c r="BE24" s="1767"/>
      <c r="BF24" s="1767"/>
      <c r="BG24" s="1767"/>
      <c r="BH24" s="1767"/>
      <c r="BI24" s="1767"/>
      <c r="BJ24" s="1767"/>
      <c r="BK24" s="1767"/>
      <c r="BL24" s="1767"/>
      <c r="BM24" s="1767"/>
      <c r="BN24" s="1767"/>
      <c r="BO24" s="1767"/>
      <c r="BP24" s="1767"/>
      <c r="BQ24" s="1767"/>
      <c r="BR24" s="1767"/>
      <c r="BS24" s="1767"/>
      <c r="BT24" s="1768"/>
    </row>
    <row r="25" spans="2:72" ht="15" customHeight="1" x14ac:dyDescent="0.2">
      <c r="B25" s="1766"/>
      <c r="C25" s="1767"/>
      <c r="D25" s="1767"/>
      <c r="E25" s="1767"/>
      <c r="F25" s="1767"/>
      <c r="G25" s="1767"/>
      <c r="H25" s="1767"/>
      <c r="I25" s="1767"/>
      <c r="J25" s="1767"/>
      <c r="K25" s="1767"/>
      <c r="L25" s="1767"/>
      <c r="M25" s="1767"/>
      <c r="N25" s="1767"/>
      <c r="O25" s="1767"/>
      <c r="P25" s="1767"/>
      <c r="Q25" s="1767"/>
      <c r="R25" s="1767"/>
      <c r="S25" s="1767"/>
      <c r="T25" s="1767"/>
      <c r="U25" s="1767"/>
      <c r="V25" s="1767"/>
      <c r="W25" s="1767"/>
      <c r="X25" s="1767"/>
      <c r="Y25" s="1767"/>
      <c r="Z25" s="1767"/>
      <c r="AA25" s="1767"/>
      <c r="AB25" s="1767"/>
      <c r="AC25" s="1767"/>
      <c r="AD25" s="1767"/>
      <c r="AE25" s="1767"/>
      <c r="AF25" s="1767"/>
      <c r="AG25" s="1767"/>
      <c r="AH25" s="1767"/>
      <c r="AI25" s="1767"/>
      <c r="AJ25" s="1767"/>
      <c r="AK25" s="1767"/>
      <c r="AL25" s="1767"/>
      <c r="AM25" s="1767"/>
      <c r="AN25" s="1767"/>
      <c r="AO25" s="1767"/>
      <c r="AP25" s="1767"/>
      <c r="AQ25" s="1767"/>
      <c r="AR25" s="1767"/>
      <c r="AS25" s="1767"/>
      <c r="AT25" s="1767"/>
      <c r="AU25" s="1767"/>
      <c r="AV25" s="1767"/>
      <c r="AW25" s="1767"/>
      <c r="AX25" s="1767"/>
      <c r="AY25" s="1767"/>
      <c r="AZ25" s="1767"/>
      <c r="BA25" s="1767"/>
      <c r="BB25" s="1767"/>
      <c r="BC25" s="1767"/>
      <c r="BD25" s="1767"/>
      <c r="BE25" s="1767"/>
      <c r="BF25" s="1767"/>
      <c r="BG25" s="1767"/>
      <c r="BH25" s="1767"/>
      <c r="BI25" s="1767"/>
      <c r="BJ25" s="1767"/>
      <c r="BK25" s="1767"/>
      <c r="BL25" s="1767"/>
      <c r="BM25" s="1767"/>
      <c r="BN25" s="1767"/>
      <c r="BO25" s="1767"/>
      <c r="BP25" s="1767"/>
      <c r="BQ25" s="1767"/>
      <c r="BR25" s="1767"/>
      <c r="BS25" s="1767"/>
      <c r="BT25" s="1768"/>
    </row>
    <row r="26" spans="2:72" ht="15" customHeight="1" x14ac:dyDescent="0.2">
      <c r="B26" s="1766"/>
      <c r="C26" s="1767"/>
      <c r="D26" s="1767"/>
      <c r="E26" s="1767"/>
      <c r="F26" s="1767"/>
      <c r="G26" s="1767"/>
      <c r="H26" s="1767"/>
      <c r="I26" s="1767"/>
      <c r="J26" s="1767"/>
      <c r="K26" s="1767"/>
      <c r="L26" s="1767"/>
      <c r="M26" s="1767"/>
      <c r="N26" s="1767"/>
      <c r="O26" s="1767"/>
      <c r="P26" s="1767"/>
      <c r="Q26" s="1767"/>
      <c r="R26" s="1767"/>
      <c r="S26" s="1767"/>
      <c r="T26" s="1767"/>
      <c r="U26" s="1767"/>
      <c r="V26" s="1767"/>
      <c r="W26" s="1767"/>
      <c r="X26" s="1767"/>
      <c r="Y26" s="1767"/>
      <c r="Z26" s="1767"/>
      <c r="AA26" s="1767"/>
      <c r="AB26" s="1767"/>
      <c r="AC26" s="1767"/>
      <c r="AD26" s="1767"/>
      <c r="AE26" s="1767"/>
      <c r="AF26" s="1767"/>
      <c r="AG26" s="1767"/>
      <c r="AH26" s="1767"/>
      <c r="AI26" s="1767"/>
      <c r="AJ26" s="1767"/>
      <c r="AK26" s="1767"/>
      <c r="AL26" s="1767"/>
      <c r="AM26" s="1767"/>
      <c r="AN26" s="1767"/>
      <c r="AO26" s="1767"/>
      <c r="AP26" s="1767"/>
      <c r="AQ26" s="1767"/>
      <c r="AR26" s="1767"/>
      <c r="AS26" s="1767"/>
      <c r="AT26" s="1767"/>
      <c r="AU26" s="1767"/>
      <c r="AV26" s="1767"/>
      <c r="AW26" s="1767"/>
      <c r="AX26" s="1767"/>
      <c r="AY26" s="1767"/>
      <c r="AZ26" s="1767"/>
      <c r="BA26" s="1767"/>
      <c r="BB26" s="1767"/>
      <c r="BC26" s="1767"/>
      <c r="BD26" s="1767"/>
      <c r="BE26" s="1767"/>
      <c r="BF26" s="1767"/>
      <c r="BG26" s="1767"/>
      <c r="BH26" s="1767"/>
      <c r="BI26" s="1767"/>
      <c r="BJ26" s="1767"/>
      <c r="BK26" s="1767"/>
      <c r="BL26" s="1767"/>
      <c r="BM26" s="1767"/>
      <c r="BN26" s="1767"/>
      <c r="BO26" s="1767"/>
      <c r="BP26" s="1767"/>
      <c r="BQ26" s="1767"/>
      <c r="BR26" s="1767"/>
      <c r="BS26" s="1767"/>
      <c r="BT26" s="1768"/>
    </row>
    <row r="27" spans="2:72" ht="15" customHeight="1" x14ac:dyDescent="0.2">
      <c r="B27" s="1766"/>
      <c r="C27" s="1767"/>
      <c r="D27" s="1767"/>
      <c r="E27" s="1767"/>
      <c r="F27" s="1767"/>
      <c r="G27" s="1767"/>
      <c r="H27" s="1767"/>
      <c r="I27" s="1767"/>
      <c r="J27" s="1767"/>
      <c r="K27" s="1767"/>
      <c r="L27" s="1767"/>
      <c r="M27" s="1767"/>
      <c r="N27" s="1767"/>
      <c r="O27" s="1767"/>
      <c r="P27" s="1767"/>
      <c r="Q27" s="1767"/>
      <c r="R27" s="1767"/>
      <c r="S27" s="1767"/>
      <c r="T27" s="1767"/>
      <c r="U27" s="1767"/>
      <c r="V27" s="1767"/>
      <c r="W27" s="1767"/>
      <c r="X27" s="1767"/>
      <c r="Y27" s="1767"/>
      <c r="Z27" s="1767"/>
      <c r="AA27" s="1767"/>
      <c r="AB27" s="1767"/>
      <c r="AC27" s="1767"/>
      <c r="AD27" s="1767"/>
      <c r="AE27" s="1767"/>
      <c r="AF27" s="1767"/>
      <c r="AG27" s="1767"/>
      <c r="AH27" s="1767"/>
      <c r="AI27" s="1767"/>
      <c r="AJ27" s="1767"/>
      <c r="AK27" s="1767"/>
      <c r="AL27" s="1767"/>
      <c r="AM27" s="1767"/>
      <c r="AN27" s="1767"/>
      <c r="AO27" s="1767"/>
      <c r="AP27" s="1767"/>
      <c r="AQ27" s="1767"/>
      <c r="AR27" s="1767"/>
      <c r="AS27" s="1767"/>
      <c r="AT27" s="1767"/>
      <c r="AU27" s="1767"/>
      <c r="AV27" s="1767"/>
      <c r="AW27" s="1767"/>
      <c r="AX27" s="1767"/>
      <c r="AY27" s="1767"/>
      <c r="AZ27" s="1767"/>
      <c r="BA27" s="1767"/>
      <c r="BB27" s="1767"/>
      <c r="BC27" s="1767"/>
      <c r="BD27" s="1767"/>
      <c r="BE27" s="1767"/>
      <c r="BF27" s="1767"/>
      <c r="BG27" s="1767"/>
      <c r="BH27" s="1767"/>
      <c r="BI27" s="1767"/>
      <c r="BJ27" s="1767"/>
      <c r="BK27" s="1767"/>
      <c r="BL27" s="1767"/>
      <c r="BM27" s="1767"/>
      <c r="BN27" s="1767"/>
      <c r="BO27" s="1767"/>
      <c r="BP27" s="1767"/>
      <c r="BQ27" s="1767"/>
      <c r="BR27" s="1767"/>
      <c r="BS27" s="1767"/>
      <c r="BT27" s="1768"/>
    </row>
    <row r="28" spans="2:72" ht="15" customHeight="1" x14ac:dyDescent="0.2">
      <c r="B28" s="1766"/>
      <c r="C28" s="1767"/>
      <c r="D28" s="1767"/>
      <c r="E28" s="1767"/>
      <c r="F28" s="1767"/>
      <c r="G28" s="1767"/>
      <c r="H28" s="1767"/>
      <c r="I28" s="1767"/>
      <c r="J28" s="1767"/>
      <c r="K28" s="1767"/>
      <c r="L28" s="1767"/>
      <c r="M28" s="1767"/>
      <c r="N28" s="1767"/>
      <c r="O28" s="1767"/>
      <c r="P28" s="1767"/>
      <c r="Q28" s="1767"/>
      <c r="R28" s="1767"/>
      <c r="S28" s="1767"/>
      <c r="T28" s="1767"/>
      <c r="U28" s="1767"/>
      <c r="V28" s="1767"/>
      <c r="W28" s="1767"/>
      <c r="X28" s="1767"/>
      <c r="Y28" s="1767"/>
      <c r="Z28" s="1767"/>
      <c r="AA28" s="1767"/>
      <c r="AB28" s="1767"/>
      <c r="AC28" s="1767"/>
      <c r="AD28" s="1767"/>
      <c r="AE28" s="1767"/>
      <c r="AF28" s="1767"/>
      <c r="AG28" s="1767"/>
      <c r="AH28" s="1767"/>
      <c r="AI28" s="1767"/>
      <c r="AJ28" s="1767"/>
      <c r="AK28" s="1767"/>
      <c r="AL28" s="1767"/>
      <c r="AM28" s="1767"/>
      <c r="AN28" s="1767"/>
      <c r="AO28" s="1767"/>
      <c r="AP28" s="1767"/>
      <c r="AQ28" s="1767"/>
      <c r="AR28" s="1767"/>
      <c r="AS28" s="1767"/>
      <c r="AT28" s="1767"/>
      <c r="AU28" s="1767"/>
      <c r="AV28" s="1767"/>
      <c r="AW28" s="1767"/>
      <c r="AX28" s="1767"/>
      <c r="AY28" s="1767"/>
      <c r="AZ28" s="1767"/>
      <c r="BA28" s="1767"/>
      <c r="BB28" s="1767"/>
      <c r="BC28" s="1767"/>
      <c r="BD28" s="1767"/>
      <c r="BE28" s="1767"/>
      <c r="BF28" s="1767"/>
      <c r="BG28" s="1767"/>
      <c r="BH28" s="1767"/>
      <c r="BI28" s="1767"/>
      <c r="BJ28" s="1767"/>
      <c r="BK28" s="1767"/>
      <c r="BL28" s="1767"/>
      <c r="BM28" s="1767"/>
      <c r="BN28" s="1767"/>
      <c r="BO28" s="1767"/>
      <c r="BP28" s="1767"/>
      <c r="BQ28" s="1767"/>
      <c r="BR28" s="1767"/>
      <c r="BS28" s="1767"/>
      <c r="BT28" s="1768"/>
    </row>
    <row r="29" spans="2:72" ht="15" customHeight="1" x14ac:dyDescent="0.2">
      <c r="B29" s="1766"/>
      <c r="C29" s="1767"/>
      <c r="D29" s="1767"/>
      <c r="E29" s="1767"/>
      <c r="F29" s="1767"/>
      <c r="G29" s="1767"/>
      <c r="H29" s="1767"/>
      <c r="I29" s="1767"/>
      <c r="J29" s="1767"/>
      <c r="K29" s="1767"/>
      <c r="L29" s="1767"/>
      <c r="M29" s="1767"/>
      <c r="N29" s="1767"/>
      <c r="O29" s="1767"/>
      <c r="P29" s="1767"/>
      <c r="Q29" s="1767"/>
      <c r="R29" s="1767"/>
      <c r="S29" s="1767"/>
      <c r="T29" s="1767"/>
      <c r="U29" s="1767"/>
      <c r="V29" s="1767"/>
      <c r="W29" s="1767"/>
      <c r="X29" s="1767"/>
      <c r="Y29" s="1767"/>
      <c r="Z29" s="1767"/>
      <c r="AA29" s="1767"/>
      <c r="AB29" s="1767"/>
      <c r="AC29" s="1767"/>
      <c r="AD29" s="1767"/>
      <c r="AE29" s="1767"/>
      <c r="AF29" s="1767"/>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767"/>
      <c r="BG29" s="1767"/>
      <c r="BH29" s="1767"/>
      <c r="BI29" s="1767"/>
      <c r="BJ29" s="1767"/>
      <c r="BK29" s="1767"/>
      <c r="BL29" s="1767"/>
      <c r="BM29" s="1767"/>
      <c r="BN29" s="1767"/>
      <c r="BO29" s="1767"/>
      <c r="BP29" s="1767"/>
      <c r="BQ29" s="1767"/>
      <c r="BR29" s="1767"/>
      <c r="BS29" s="1767"/>
      <c r="BT29" s="1768"/>
    </row>
    <row r="30" spans="2:72" ht="15" customHeight="1" x14ac:dyDescent="0.2">
      <c r="B30" s="1766"/>
      <c r="C30" s="1767"/>
      <c r="D30" s="1767"/>
      <c r="E30" s="1767"/>
      <c r="F30" s="1767"/>
      <c r="G30" s="1767"/>
      <c r="H30" s="1767"/>
      <c r="I30" s="1767"/>
      <c r="J30" s="1767"/>
      <c r="K30" s="1767"/>
      <c r="L30" s="1767"/>
      <c r="M30" s="1767"/>
      <c r="N30" s="1767"/>
      <c r="O30" s="1767"/>
      <c r="P30" s="1767"/>
      <c r="Q30" s="1767"/>
      <c r="R30" s="1767"/>
      <c r="S30" s="1767"/>
      <c r="T30" s="1767"/>
      <c r="U30" s="1767"/>
      <c r="V30" s="1767"/>
      <c r="W30" s="1767"/>
      <c r="X30" s="1767"/>
      <c r="Y30" s="1767"/>
      <c r="Z30" s="1767"/>
      <c r="AA30" s="1767"/>
      <c r="AB30" s="1767"/>
      <c r="AC30" s="1767"/>
      <c r="AD30" s="1767"/>
      <c r="AE30" s="1767"/>
      <c r="AF30" s="1767"/>
      <c r="AG30" s="1767"/>
      <c r="AH30" s="1767"/>
      <c r="AI30" s="1767"/>
      <c r="AJ30" s="1767"/>
      <c r="AK30" s="1767"/>
      <c r="AL30" s="1767"/>
      <c r="AM30" s="1767"/>
      <c r="AN30" s="1767"/>
      <c r="AO30" s="1767"/>
      <c r="AP30" s="1767"/>
      <c r="AQ30" s="1767"/>
      <c r="AR30" s="1767"/>
      <c r="AS30" s="1767"/>
      <c r="AT30" s="1767"/>
      <c r="AU30" s="1767"/>
      <c r="AV30" s="1767"/>
      <c r="AW30" s="1767"/>
      <c r="AX30" s="1767"/>
      <c r="AY30" s="1767"/>
      <c r="AZ30" s="1767"/>
      <c r="BA30" s="1767"/>
      <c r="BB30" s="1767"/>
      <c r="BC30" s="1767"/>
      <c r="BD30" s="1767"/>
      <c r="BE30" s="1767"/>
      <c r="BF30" s="1767"/>
      <c r="BG30" s="1767"/>
      <c r="BH30" s="1767"/>
      <c r="BI30" s="1767"/>
      <c r="BJ30" s="1767"/>
      <c r="BK30" s="1767"/>
      <c r="BL30" s="1767"/>
      <c r="BM30" s="1767"/>
      <c r="BN30" s="1767"/>
      <c r="BO30" s="1767"/>
      <c r="BP30" s="1767"/>
      <c r="BQ30" s="1767"/>
      <c r="BR30" s="1767"/>
      <c r="BS30" s="1767"/>
      <c r="BT30" s="1768"/>
    </row>
    <row r="31" spans="2:72" ht="15" customHeight="1" x14ac:dyDescent="0.2">
      <c r="B31" s="1766"/>
      <c r="C31" s="1767"/>
      <c r="D31" s="1767"/>
      <c r="E31" s="1767"/>
      <c r="F31" s="1767"/>
      <c r="G31" s="1767"/>
      <c r="H31" s="1767"/>
      <c r="I31" s="1767"/>
      <c r="J31" s="1767"/>
      <c r="K31" s="1767"/>
      <c r="L31" s="1767"/>
      <c r="M31" s="1767"/>
      <c r="N31" s="1767"/>
      <c r="O31" s="1767"/>
      <c r="P31" s="1767"/>
      <c r="Q31" s="1767"/>
      <c r="R31" s="1767"/>
      <c r="S31" s="1767"/>
      <c r="T31" s="1767"/>
      <c r="U31" s="1767"/>
      <c r="V31" s="1767"/>
      <c r="W31" s="1767"/>
      <c r="X31" s="1767"/>
      <c r="Y31" s="1767"/>
      <c r="Z31" s="1767"/>
      <c r="AA31" s="1767"/>
      <c r="AB31" s="1767"/>
      <c r="AC31" s="1767"/>
      <c r="AD31" s="1767"/>
      <c r="AE31" s="1767"/>
      <c r="AF31" s="1767"/>
      <c r="AG31" s="1767"/>
      <c r="AH31" s="1767"/>
      <c r="AI31" s="1767"/>
      <c r="AJ31" s="1767"/>
      <c r="AK31" s="1767"/>
      <c r="AL31" s="1767"/>
      <c r="AM31" s="1767"/>
      <c r="AN31" s="1767"/>
      <c r="AO31" s="1767"/>
      <c r="AP31" s="1767"/>
      <c r="AQ31" s="1767"/>
      <c r="AR31" s="1767"/>
      <c r="AS31" s="1767"/>
      <c r="AT31" s="1767"/>
      <c r="AU31" s="1767"/>
      <c r="AV31" s="1767"/>
      <c r="AW31" s="1767"/>
      <c r="AX31" s="1767"/>
      <c r="AY31" s="1767"/>
      <c r="AZ31" s="1767"/>
      <c r="BA31" s="1767"/>
      <c r="BB31" s="1767"/>
      <c r="BC31" s="1767"/>
      <c r="BD31" s="1767"/>
      <c r="BE31" s="1767"/>
      <c r="BF31" s="1767"/>
      <c r="BG31" s="1767"/>
      <c r="BH31" s="1767"/>
      <c r="BI31" s="1767"/>
      <c r="BJ31" s="1767"/>
      <c r="BK31" s="1767"/>
      <c r="BL31" s="1767"/>
      <c r="BM31" s="1767"/>
      <c r="BN31" s="1767"/>
      <c r="BO31" s="1767"/>
      <c r="BP31" s="1767"/>
      <c r="BQ31" s="1767"/>
      <c r="BR31" s="1767"/>
      <c r="BS31" s="1767"/>
      <c r="BT31" s="1768"/>
    </row>
    <row r="32" spans="2:72" ht="15" customHeight="1" x14ac:dyDescent="0.2">
      <c r="B32" s="1766"/>
      <c r="C32" s="1767"/>
      <c r="D32" s="1767"/>
      <c r="E32" s="1767"/>
      <c r="F32" s="1767"/>
      <c r="G32" s="1767"/>
      <c r="H32" s="1767"/>
      <c r="I32" s="1767"/>
      <c r="J32" s="1767"/>
      <c r="K32" s="1767"/>
      <c r="L32" s="1767"/>
      <c r="M32" s="1767"/>
      <c r="N32" s="1767"/>
      <c r="O32" s="1767"/>
      <c r="P32" s="1767"/>
      <c r="Q32" s="1767"/>
      <c r="R32" s="1767"/>
      <c r="S32" s="1767"/>
      <c r="T32" s="1767"/>
      <c r="U32" s="1767"/>
      <c r="V32" s="1767"/>
      <c r="W32" s="1767"/>
      <c r="X32" s="1767"/>
      <c r="Y32" s="1767"/>
      <c r="Z32" s="1767"/>
      <c r="AA32" s="1767"/>
      <c r="AB32" s="1767"/>
      <c r="AC32" s="1767"/>
      <c r="AD32" s="1767"/>
      <c r="AE32" s="1767"/>
      <c r="AF32" s="1767"/>
      <c r="AG32" s="1767"/>
      <c r="AH32" s="1767"/>
      <c r="AI32" s="1767"/>
      <c r="AJ32" s="1767"/>
      <c r="AK32" s="1767"/>
      <c r="AL32" s="1767"/>
      <c r="AM32" s="1767"/>
      <c r="AN32" s="1767"/>
      <c r="AO32" s="1767"/>
      <c r="AP32" s="1767"/>
      <c r="AQ32" s="1767"/>
      <c r="AR32" s="1767"/>
      <c r="AS32" s="1767"/>
      <c r="AT32" s="1767"/>
      <c r="AU32" s="1767"/>
      <c r="AV32" s="1767"/>
      <c r="AW32" s="1767"/>
      <c r="AX32" s="1767"/>
      <c r="AY32" s="1767"/>
      <c r="AZ32" s="1767"/>
      <c r="BA32" s="1767"/>
      <c r="BB32" s="1767"/>
      <c r="BC32" s="1767"/>
      <c r="BD32" s="1767"/>
      <c r="BE32" s="1767"/>
      <c r="BF32" s="1767"/>
      <c r="BG32" s="1767"/>
      <c r="BH32" s="1767"/>
      <c r="BI32" s="1767"/>
      <c r="BJ32" s="1767"/>
      <c r="BK32" s="1767"/>
      <c r="BL32" s="1767"/>
      <c r="BM32" s="1767"/>
      <c r="BN32" s="1767"/>
      <c r="BO32" s="1767"/>
      <c r="BP32" s="1767"/>
      <c r="BQ32" s="1767"/>
      <c r="BR32" s="1767"/>
      <c r="BS32" s="1767"/>
      <c r="BT32" s="1768"/>
    </row>
    <row r="33" spans="2:72" ht="15" customHeight="1" x14ac:dyDescent="0.2">
      <c r="B33" s="1766"/>
      <c r="C33" s="1767"/>
      <c r="D33" s="1767"/>
      <c r="E33" s="1767"/>
      <c r="F33" s="1767"/>
      <c r="G33" s="1767"/>
      <c r="H33" s="1767"/>
      <c r="I33" s="1767"/>
      <c r="J33" s="1767"/>
      <c r="K33" s="1767"/>
      <c r="L33" s="1767"/>
      <c r="M33" s="1767"/>
      <c r="N33" s="1767"/>
      <c r="O33" s="1767"/>
      <c r="P33" s="1767"/>
      <c r="Q33" s="1767"/>
      <c r="R33" s="1767"/>
      <c r="S33" s="1767"/>
      <c r="T33" s="1767"/>
      <c r="U33" s="1767"/>
      <c r="V33" s="1767"/>
      <c r="W33" s="1767"/>
      <c r="X33" s="1767"/>
      <c r="Y33" s="1767"/>
      <c r="Z33" s="1767"/>
      <c r="AA33" s="1767"/>
      <c r="AB33" s="1767"/>
      <c r="AC33" s="1767"/>
      <c r="AD33" s="1767"/>
      <c r="AE33" s="1767"/>
      <c r="AF33" s="1767"/>
      <c r="AG33" s="1767"/>
      <c r="AH33" s="1767"/>
      <c r="AI33" s="1767"/>
      <c r="AJ33" s="1767"/>
      <c r="AK33" s="1767"/>
      <c r="AL33" s="1767"/>
      <c r="AM33" s="1767"/>
      <c r="AN33" s="1767"/>
      <c r="AO33" s="1767"/>
      <c r="AP33" s="1767"/>
      <c r="AQ33" s="1767"/>
      <c r="AR33" s="1767"/>
      <c r="AS33" s="1767"/>
      <c r="AT33" s="1767"/>
      <c r="AU33" s="1767"/>
      <c r="AV33" s="1767"/>
      <c r="AW33" s="1767"/>
      <c r="AX33" s="1767"/>
      <c r="AY33" s="1767"/>
      <c r="AZ33" s="1767"/>
      <c r="BA33" s="1767"/>
      <c r="BB33" s="1767"/>
      <c r="BC33" s="1767"/>
      <c r="BD33" s="1767"/>
      <c r="BE33" s="1767"/>
      <c r="BF33" s="1767"/>
      <c r="BG33" s="1767"/>
      <c r="BH33" s="1767"/>
      <c r="BI33" s="1767"/>
      <c r="BJ33" s="1767"/>
      <c r="BK33" s="1767"/>
      <c r="BL33" s="1767"/>
      <c r="BM33" s="1767"/>
      <c r="BN33" s="1767"/>
      <c r="BO33" s="1767"/>
      <c r="BP33" s="1767"/>
      <c r="BQ33" s="1767"/>
      <c r="BR33" s="1767"/>
      <c r="BS33" s="1767"/>
      <c r="BT33" s="1768"/>
    </row>
    <row r="34" spans="2:72" ht="15" customHeight="1" x14ac:dyDescent="0.2">
      <c r="B34" s="1766"/>
      <c r="C34" s="1767"/>
      <c r="D34" s="1767"/>
      <c r="E34" s="1767"/>
      <c r="F34" s="1767"/>
      <c r="G34" s="1767"/>
      <c r="H34" s="1767"/>
      <c r="I34" s="1767"/>
      <c r="J34" s="1767"/>
      <c r="K34" s="1767"/>
      <c r="L34" s="1767"/>
      <c r="M34" s="1767"/>
      <c r="N34" s="1767"/>
      <c r="O34" s="1767"/>
      <c r="P34" s="1767"/>
      <c r="Q34" s="1767"/>
      <c r="R34" s="1767"/>
      <c r="S34" s="1767"/>
      <c r="T34" s="1767"/>
      <c r="U34" s="1767"/>
      <c r="V34" s="1767"/>
      <c r="W34" s="1767"/>
      <c r="X34" s="1767"/>
      <c r="Y34" s="1767"/>
      <c r="Z34" s="1767"/>
      <c r="AA34" s="1767"/>
      <c r="AB34" s="1767"/>
      <c r="AC34" s="1767"/>
      <c r="AD34" s="1767"/>
      <c r="AE34" s="1767"/>
      <c r="AF34" s="1767"/>
      <c r="AG34" s="1767"/>
      <c r="AH34" s="1767"/>
      <c r="AI34" s="1767"/>
      <c r="AJ34" s="1767"/>
      <c r="AK34" s="1767"/>
      <c r="AL34" s="1767"/>
      <c r="AM34" s="1767"/>
      <c r="AN34" s="1767"/>
      <c r="AO34" s="1767"/>
      <c r="AP34" s="1767"/>
      <c r="AQ34" s="1767"/>
      <c r="AR34" s="1767"/>
      <c r="AS34" s="1767"/>
      <c r="AT34" s="1767"/>
      <c r="AU34" s="1767"/>
      <c r="AV34" s="1767"/>
      <c r="AW34" s="1767"/>
      <c r="AX34" s="1767"/>
      <c r="AY34" s="1767"/>
      <c r="AZ34" s="1767"/>
      <c r="BA34" s="1767"/>
      <c r="BB34" s="1767"/>
      <c r="BC34" s="1767"/>
      <c r="BD34" s="1767"/>
      <c r="BE34" s="1767"/>
      <c r="BF34" s="1767"/>
      <c r="BG34" s="1767"/>
      <c r="BH34" s="1767"/>
      <c r="BI34" s="1767"/>
      <c r="BJ34" s="1767"/>
      <c r="BK34" s="1767"/>
      <c r="BL34" s="1767"/>
      <c r="BM34" s="1767"/>
      <c r="BN34" s="1767"/>
      <c r="BO34" s="1767"/>
      <c r="BP34" s="1767"/>
      <c r="BQ34" s="1767"/>
      <c r="BR34" s="1767"/>
      <c r="BS34" s="1767"/>
      <c r="BT34" s="1768"/>
    </row>
    <row r="35" spans="2:72" ht="15" customHeight="1" x14ac:dyDescent="0.2">
      <c r="B35" s="1766"/>
      <c r="C35" s="1767"/>
      <c r="D35" s="1767"/>
      <c r="E35" s="1767"/>
      <c r="F35" s="1767"/>
      <c r="G35" s="1767"/>
      <c r="H35" s="1767"/>
      <c r="I35" s="1767"/>
      <c r="J35" s="1767"/>
      <c r="K35" s="1767"/>
      <c r="L35" s="1767"/>
      <c r="M35" s="1767"/>
      <c r="N35" s="1767"/>
      <c r="O35" s="1767"/>
      <c r="P35" s="1767"/>
      <c r="Q35" s="1767"/>
      <c r="R35" s="1767"/>
      <c r="S35" s="1767"/>
      <c r="T35" s="1767"/>
      <c r="U35" s="1767"/>
      <c r="V35" s="1767"/>
      <c r="W35" s="1767"/>
      <c r="X35" s="1767"/>
      <c r="Y35" s="1767"/>
      <c r="Z35" s="1767"/>
      <c r="AA35" s="1767"/>
      <c r="AB35" s="1767"/>
      <c r="AC35" s="1767"/>
      <c r="AD35" s="1767"/>
      <c r="AE35" s="1767"/>
      <c r="AF35" s="1767"/>
      <c r="AG35" s="1767"/>
      <c r="AH35" s="1767"/>
      <c r="AI35" s="1767"/>
      <c r="AJ35" s="1767"/>
      <c r="AK35" s="1767"/>
      <c r="AL35" s="1767"/>
      <c r="AM35" s="1767"/>
      <c r="AN35" s="1767"/>
      <c r="AO35" s="1767"/>
      <c r="AP35" s="1767"/>
      <c r="AQ35" s="1767"/>
      <c r="AR35" s="1767"/>
      <c r="AS35" s="1767"/>
      <c r="AT35" s="1767"/>
      <c r="AU35" s="1767"/>
      <c r="AV35" s="1767"/>
      <c r="AW35" s="1767"/>
      <c r="AX35" s="1767"/>
      <c r="AY35" s="1767"/>
      <c r="AZ35" s="1767"/>
      <c r="BA35" s="1767"/>
      <c r="BB35" s="1767"/>
      <c r="BC35" s="1767"/>
      <c r="BD35" s="1767"/>
      <c r="BE35" s="1767"/>
      <c r="BF35" s="1767"/>
      <c r="BG35" s="1767"/>
      <c r="BH35" s="1767"/>
      <c r="BI35" s="1767"/>
      <c r="BJ35" s="1767"/>
      <c r="BK35" s="1767"/>
      <c r="BL35" s="1767"/>
      <c r="BM35" s="1767"/>
      <c r="BN35" s="1767"/>
      <c r="BO35" s="1767"/>
      <c r="BP35" s="1767"/>
      <c r="BQ35" s="1767"/>
      <c r="BR35" s="1767"/>
      <c r="BS35" s="1767"/>
      <c r="BT35" s="1768"/>
    </row>
    <row r="36" spans="2:72" ht="15" customHeight="1" x14ac:dyDescent="0.2">
      <c r="B36" s="1766"/>
      <c r="C36" s="1767"/>
      <c r="D36" s="1767"/>
      <c r="E36" s="1767"/>
      <c r="F36" s="1767"/>
      <c r="G36" s="1767"/>
      <c r="H36" s="1767"/>
      <c r="I36" s="1767"/>
      <c r="J36" s="1767"/>
      <c r="K36" s="1767"/>
      <c r="L36" s="1767"/>
      <c r="M36" s="1767"/>
      <c r="N36" s="1767"/>
      <c r="O36" s="1767"/>
      <c r="P36" s="1767"/>
      <c r="Q36" s="1767"/>
      <c r="R36" s="1767"/>
      <c r="S36" s="1767"/>
      <c r="T36" s="1767"/>
      <c r="U36" s="1767"/>
      <c r="V36" s="1767"/>
      <c r="W36" s="1767"/>
      <c r="X36" s="1767"/>
      <c r="Y36" s="1767"/>
      <c r="Z36" s="1767"/>
      <c r="AA36" s="1767"/>
      <c r="AB36" s="1767"/>
      <c r="AC36" s="1767"/>
      <c r="AD36" s="1767"/>
      <c r="AE36" s="1767"/>
      <c r="AF36" s="1767"/>
      <c r="AG36" s="1767"/>
      <c r="AH36" s="1767"/>
      <c r="AI36" s="1767"/>
      <c r="AJ36" s="1767"/>
      <c r="AK36" s="1767"/>
      <c r="AL36" s="1767"/>
      <c r="AM36" s="1767"/>
      <c r="AN36" s="1767"/>
      <c r="AO36" s="1767"/>
      <c r="AP36" s="1767"/>
      <c r="AQ36" s="1767"/>
      <c r="AR36" s="1767"/>
      <c r="AS36" s="1767"/>
      <c r="AT36" s="1767"/>
      <c r="AU36" s="1767"/>
      <c r="AV36" s="1767"/>
      <c r="AW36" s="1767"/>
      <c r="AX36" s="1767"/>
      <c r="AY36" s="1767"/>
      <c r="AZ36" s="1767"/>
      <c r="BA36" s="1767"/>
      <c r="BB36" s="1767"/>
      <c r="BC36" s="1767"/>
      <c r="BD36" s="1767"/>
      <c r="BE36" s="1767"/>
      <c r="BF36" s="1767"/>
      <c r="BG36" s="1767"/>
      <c r="BH36" s="1767"/>
      <c r="BI36" s="1767"/>
      <c r="BJ36" s="1767"/>
      <c r="BK36" s="1767"/>
      <c r="BL36" s="1767"/>
      <c r="BM36" s="1767"/>
      <c r="BN36" s="1767"/>
      <c r="BO36" s="1767"/>
      <c r="BP36" s="1767"/>
      <c r="BQ36" s="1767"/>
      <c r="BR36" s="1767"/>
      <c r="BS36" s="1767"/>
      <c r="BT36" s="1768"/>
    </row>
    <row r="37" spans="2:72" ht="15" customHeight="1" x14ac:dyDescent="0.2">
      <c r="B37" s="1766"/>
      <c r="C37" s="1767"/>
      <c r="D37" s="1767"/>
      <c r="E37" s="1767"/>
      <c r="F37" s="1767"/>
      <c r="G37" s="1767"/>
      <c r="H37" s="1767"/>
      <c r="I37" s="1767"/>
      <c r="J37" s="1767"/>
      <c r="K37" s="1767"/>
      <c r="L37" s="1767"/>
      <c r="M37" s="1767"/>
      <c r="N37" s="1767"/>
      <c r="O37" s="1767"/>
      <c r="P37" s="1767"/>
      <c r="Q37" s="1767"/>
      <c r="R37" s="1767"/>
      <c r="S37" s="1767"/>
      <c r="T37" s="1767"/>
      <c r="U37" s="1767"/>
      <c r="V37" s="1767"/>
      <c r="W37" s="1767"/>
      <c r="X37" s="1767"/>
      <c r="Y37" s="1767"/>
      <c r="Z37" s="1767"/>
      <c r="AA37" s="1767"/>
      <c r="AB37" s="1767"/>
      <c r="AC37" s="1767"/>
      <c r="AD37" s="1767"/>
      <c r="AE37" s="1767"/>
      <c r="AF37" s="1767"/>
      <c r="AG37" s="1767"/>
      <c r="AH37" s="1767"/>
      <c r="AI37" s="1767"/>
      <c r="AJ37" s="1767"/>
      <c r="AK37" s="1767"/>
      <c r="AL37" s="1767"/>
      <c r="AM37" s="1767"/>
      <c r="AN37" s="1767"/>
      <c r="AO37" s="1767"/>
      <c r="AP37" s="1767"/>
      <c r="AQ37" s="1767"/>
      <c r="AR37" s="1767"/>
      <c r="AS37" s="1767"/>
      <c r="AT37" s="1767"/>
      <c r="AU37" s="1767"/>
      <c r="AV37" s="1767"/>
      <c r="AW37" s="1767"/>
      <c r="AX37" s="1767"/>
      <c r="AY37" s="1767"/>
      <c r="AZ37" s="1767"/>
      <c r="BA37" s="1767"/>
      <c r="BB37" s="1767"/>
      <c r="BC37" s="1767"/>
      <c r="BD37" s="1767"/>
      <c r="BE37" s="1767"/>
      <c r="BF37" s="1767"/>
      <c r="BG37" s="1767"/>
      <c r="BH37" s="1767"/>
      <c r="BI37" s="1767"/>
      <c r="BJ37" s="1767"/>
      <c r="BK37" s="1767"/>
      <c r="BL37" s="1767"/>
      <c r="BM37" s="1767"/>
      <c r="BN37" s="1767"/>
      <c r="BO37" s="1767"/>
      <c r="BP37" s="1767"/>
      <c r="BQ37" s="1767"/>
      <c r="BR37" s="1767"/>
      <c r="BS37" s="1767"/>
      <c r="BT37" s="1768"/>
    </row>
    <row r="38" spans="2:72" ht="15" customHeight="1" x14ac:dyDescent="0.2">
      <c r="B38" s="1766"/>
      <c r="C38" s="1767"/>
      <c r="D38" s="1767"/>
      <c r="E38" s="1767"/>
      <c r="F38" s="1767"/>
      <c r="G38" s="1767"/>
      <c r="H38" s="1767"/>
      <c r="I38" s="1767"/>
      <c r="J38" s="1767"/>
      <c r="K38" s="1767"/>
      <c r="L38" s="1767"/>
      <c r="M38" s="1767"/>
      <c r="N38" s="1767"/>
      <c r="O38" s="1767"/>
      <c r="P38" s="1767"/>
      <c r="Q38" s="1767"/>
      <c r="R38" s="1767"/>
      <c r="S38" s="1767"/>
      <c r="T38" s="1767"/>
      <c r="U38" s="1767"/>
      <c r="V38" s="1767"/>
      <c r="W38" s="1767"/>
      <c r="X38" s="1767"/>
      <c r="Y38" s="1767"/>
      <c r="Z38" s="1767"/>
      <c r="AA38" s="1767"/>
      <c r="AB38" s="1767"/>
      <c r="AC38" s="1767"/>
      <c r="AD38" s="1767"/>
      <c r="AE38" s="1767"/>
      <c r="AF38" s="1767"/>
      <c r="AG38" s="1767"/>
      <c r="AH38" s="1767"/>
      <c r="AI38" s="1767"/>
      <c r="AJ38" s="1767"/>
      <c r="AK38" s="1767"/>
      <c r="AL38" s="1767"/>
      <c r="AM38" s="1767"/>
      <c r="AN38" s="1767"/>
      <c r="AO38" s="1767"/>
      <c r="AP38" s="1767"/>
      <c r="AQ38" s="1767"/>
      <c r="AR38" s="1767"/>
      <c r="AS38" s="1767"/>
      <c r="AT38" s="1767"/>
      <c r="AU38" s="1767"/>
      <c r="AV38" s="1767"/>
      <c r="AW38" s="1767"/>
      <c r="AX38" s="1767"/>
      <c r="AY38" s="1767"/>
      <c r="AZ38" s="1767"/>
      <c r="BA38" s="1767"/>
      <c r="BB38" s="1767"/>
      <c r="BC38" s="1767"/>
      <c r="BD38" s="1767"/>
      <c r="BE38" s="1767"/>
      <c r="BF38" s="1767"/>
      <c r="BG38" s="1767"/>
      <c r="BH38" s="1767"/>
      <c r="BI38" s="1767"/>
      <c r="BJ38" s="1767"/>
      <c r="BK38" s="1767"/>
      <c r="BL38" s="1767"/>
      <c r="BM38" s="1767"/>
      <c r="BN38" s="1767"/>
      <c r="BO38" s="1767"/>
      <c r="BP38" s="1767"/>
      <c r="BQ38" s="1767"/>
      <c r="BR38" s="1767"/>
      <c r="BS38" s="1767"/>
      <c r="BT38" s="1768"/>
    </row>
    <row r="39" spans="2:72" ht="15" customHeight="1" x14ac:dyDescent="0.2">
      <c r="B39" s="1766"/>
      <c r="C39" s="1767"/>
      <c r="D39" s="1767"/>
      <c r="E39" s="1767"/>
      <c r="F39" s="1767"/>
      <c r="G39" s="1767"/>
      <c r="H39" s="1767"/>
      <c r="I39" s="1767"/>
      <c r="J39" s="1767"/>
      <c r="K39" s="1767"/>
      <c r="L39" s="1767"/>
      <c r="M39" s="1767"/>
      <c r="N39" s="1767"/>
      <c r="O39" s="1767"/>
      <c r="P39" s="1767"/>
      <c r="Q39" s="1767"/>
      <c r="R39" s="1767"/>
      <c r="S39" s="1767"/>
      <c r="T39" s="1767"/>
      <c r="U39" s="1767"/>
      <c r="V39" s="1767"/>
      <c r="W39" s="1767"/>
      <c r="X39" s="1767"/>
      <c r="Y39" s="1767"/>
      <c r="Z39" s="1767"/>
      <c r="AA39" s="1767"/>
      <c r="AB39" s="1767"/>
      <c r="AC39" s="1767"/>
      <c r="AD39" s="1767"/>
      <c r="AE39" s="1767"/>
      <c r="AF39" s="1767"/>
      <c r="AG39" s="1767"/>
      <c r="AH39" s="1767"/>
      <c r="AI39" s="1767"/>
      <c r="AJ39" s="1767"/>
      <c r="AK39" s="1767"/>
      <c r="AL39" s="1767"/>
      <c r="AM39" s="1767"/>
      <c r="AN39" s="1767"/>
      <c r="AO39" s="1767"/>
      <c r="AP39" s="1767"/>
      <c r="AQ39" s="1767"/>
      <c r="AR39" s="1767"/>
      <c r="AS39" s="1767"/>
      <c r="AT39" s="1767"/>
      <c r="AU39" s="1767"/>
      <c r="AV39" s="1767"/>
      <c r="AW39" s="1767"/>
      <c r="AX39" s="1767"/>
      <c r="AY39" s="1767"/>
      <c r="AZ39" s="1767"/>
      <c r="BA39" s="1767"/>
      <c r="BB39" s="1767"/>
      <c r="BC39" s="1767"/>
      <c r="BD39" s="1767"/>
      <c r="BE39" s="1767"/>
      <c r="BF39" s="1767"/>
      <c r="BG39" s="1767"/>
      <c r="BH39" s="1767"/>
      <c r="BI39" s="1767"/>
      <c r="BJ39" s="1767"/>
      <c r="BK39" s="1767"/>
      <c r="BL39" s="1767"/>
      <c r="BM39" s="1767"/>
      <c r="BN39" s="1767"/>
      <c r="BO39" s="1767"/>
      <c r="BP39" s="1767"/>
      <c r="BQ39" s="1767"/>
      <c r="BR39" s="1767"/>
      <c r="BS39" s="1767"/>
      <c r="BT39" s="1768"/>
    </row>
    <row r="40" spans="2:72" ht="15" customHeight="1" x14ac:dyDescent="0.2">
      <c r="B40" s="1766"/>
      <c r="C40" s="1767"/>
      <c r="D40" s="1767"/>
      <c r="E40" s="1767"/>
      <c r="F40" s="1767"/>
      <c r="G40" s="1767"/>
      <c r="H40" s="1767"/>
      <c r="I40" s="1767"/>
      <c r="J40" s="1767"/>
      <c r="K40" s="1767"/>
      <c r="L40" s="1767"/>
      <c r="M40" s="1767"/>
      <c r="N40" s="1767"/>
      <c r="O40" s="1767"/>
      <c r="P40" s="1767"/>
      <c r="Q40" s="1767"/>
      <c r="R40" s="1767"/>
      <c r="S40" s="1767"/>
      <c r="T40" s="1767"/>
      <c r="U40" s="1767"/>
      <c r="V40" s="1767"/>
      <c r="W40" s="1767"/>
      <c r="X40" s="1767"/>
      <c r="Y40" s="1767"/>
      <c r="Z40" s="1767"/>
      <c r="AA40" s="1767"/>
      <c r="AB40" s="1767"/>
      <c r="AC40" s="1767"/>
      <c r="AD40" s="1767"/>
      <c r="AE40" s="1767"/>
      <c r="AF40" s="1767"/>
      <c r="AG40" s="1767"/>
      <c r="AH40" s="1767"/>
      <c r="AI40" s="1767"/>
      <c r="AJ40" s="1767"/>
      <c r="AK40" s="1767"/>
      <c r="AL40" s="1767"/>
      <c r="AM40" s="1767"/>
      <c r="AN40" s="1767"/>
      <c r="AO40" s="1767"/>
      <c r="AP40" s="1767"/>
      <c r="AQ40" s="1767"/>
      <c r="AR40" s="1767"/>
      <c r="AS40" s="1767"/>
      <c r="AT40" s="1767"/>
      <c r="AU40" s="1767"/>
      <c r="AV40" s="1767"/>
      <c r="AW40" s="1767"/>
      <c r="AX40" s="1767"/>
      <c r="AY40" s="1767"/>
      <c r="AZ40" s="1767"/>
      <c r="BA40" s="1767"/>
      <c r="BB40" s="1767"/>
      <c r="BC40" s="1767"/>
      <c r="BD40" s="1767"/>
      <c r="BE40" s="1767"/>
      <c r="BF40" s="1767"/>
      <c r="BG40" s="1767"/>
      <c r="BH40" s="1767"/>
      <c r="BI40" s="1767"/>
      <c r="BJ40" s="1767"/>
      <c r="BK40" s="1767"/>
      <c r="BL40" s="1767"/>
      <c r="BM40" s="1767"/>
      <c r="BN40" s="1767"/>
      <c r="BO40" s="1767"/>
      <c r="BP40" s="1767"/>
      <c r="BQ40" s="1767"/>
      <c r="BR40" s="1767"/>
      <c r="BS40" s="1767"/>
      <c r="BT40" s="1768"/>
    </row>
    <row r="41" spans="2:72" ht="15" customHeight="1" x14ac:dyDescent="0.2">
      <c r="B41" s="1766"/>
      <c r="C41" s="1767"/>
      <c r="D41" s="1767"/>
      <c r="E41" s="1767"/>
      <c r="F41" s="1767"/>
      <c r="G41" s="1767"/>
      <c r="H41" s="1767"/>
      <c r="I41" s="1767"/>
      <c r="J41" s="1767"/>
      <c r="K41" s="1767"/>
      <c r="L41" s="1767"/>
      <c r="M41" s="1767"/>
      <c r="N41" s="1767"/>
      <c r="O41" s="1767"/>
      <c r="P41" s="1767"/>
      <c r="Q41" s="1767"/>
      <c r="R41" s="1767"/>
      <c r="S41" s="1767"/>
      <c r="T41" s="1767"/>
      <c r="U41" s="1767"/>
      <c r="V41" s="1767"/>
      <c r="W41" s="1767"/>
      <c r="X41" s="1767"/>
      <c r="Y41" s="1767"/>
      <c r="Z41" s="1767"/>
      <c r="AA41" s="1767"/>
      <c r="AB41" s="1767"/>
      <c r="AC41" s="1767"/>
      <c r="AD41" s="1767"/>
      <c r="AE41" s="1767"/>
      <c r="AF41" s="1767"/>
      <c r="AG41" s="1767"/>
      <c r="AH41" s="1767"/>
      <c r="AI41" s="1767"/>
      <c r="AJ41" s="1767"/>
      <c r="AK41" s="1767"/>
      <c r="AL41" s="1767"/>
      <c r="AM41" s="1767"/>
      <c r="AN41" s="1767"/>
      <c r="AO41" s="1767"/>
      <c r="AP41" s="1767"/>
      <c r="AQ41" s="1767"/>
      <c r="AR41" s="1767"/>
      <c r="AS41" s="1767"/>
      <c r="AT41" s="1767"/>
      <c r="AU41" s="1767"/>
      <c r="AV41" s="1767"/>
      <c r="AW41" s="1767"/>
      <c r="AX41" s="1767"/>
      <c r="AY41" s="1767"/>
      <c r="AZ41" s="1767"/>
      <c r="BA41" s="1767"/>
      <c r="BB41" s="1767"/>
      <c r="BC41" s="1767"/>
      <c r="BD41" s="1767"/>
      <c r="BE41" s="1767"/>
      <c r="BF41" s="1767"/>
      <c r="BG41" s="1767"/>
      <c r="BH41" s="1767"/>
      <c r="BI41" s="1767"/>
      <c r="BJ41" s="1767"/>
      <c r="BK41" s="1767"/>
      <c r="BL41" s="1767"/>
      <c r="BM41" s="1767"/>
      <c r="BN41" s="1767"/>
      <c r="BO41" s="1767"/>
      <c r="BP41" s="1767"/>
      <c r="BQ41" s="1767"/>
      <c r="BR41" s="1767"/>
      <c r="BS41" s="1767"/>
      <c r="BT41" s="1768"/>
    </row>
    <row r="42" spans="2:72" ht="15" customHeight="1" x14ac:dyDescent="0.2">
      <c r="B42" s="1766"/>
      <c r="C42" s="1767"/>
      <c r="D42" s="1767"/>
      <c r="E42" s="1767"/>
      <c r="F42" s="1767"/>
      <c r="G42" s="1767"/>
      <c r="H42" s="1767"/>
      <c r="I42" s="1767"/>
      <c r="J42" s="1767"/>
      <c r="K42" s="1767"/>
      <c r="L42" s="1767"/>
      <c r="M42" s="1767"/>
      <c r="N42" s="1767"/>
      <c r="O42" s="1767"/>
      <c r="P42" s="1767"/>
      <c r="Q42" s="1767"/>
      <c r="R42" s="1767"/>
      <c r="S42" s="1767"/>
      <c r="T42" s="1767"/>
      <c r="U42" s="1767"/>
      <c r="V42" s="1767"/>
      <c r="W42" s="1767"/>
      <c r="X42" s="1767"/>
      <c r="Y42" s="1767"/>
      <c r="Z42" s="1767"/>
      <c r="AA42" s="1767"/>
      <c r="AB42" s="1767"/>
      <c r="AC42" s="1767"/>
      <c r="AD42" s="1767"/>
      <c r="AE42" s="1767"/>
      <c r="AF42" s="1767"/>
      <c r="AG42" s="1767"/>
      <c r="AH42" s="1767"/>
      <c r="AI42" s="1767"/>
      <c r="AJ42" s="1767"/>
      <c r="AK42" s="1767"/>
      <c r="AL42" s="1767"/>
      <c r="AM42" s="1767"/>
      <c r="AN42" s="1767"/>
      <c r="AO42" s="1767"/>
      <c r="AP42" s="1767"/>
      <c r="AQ42" s="1767"/>
      <c r="AR42" s="1767"/>
      <c r="AS42" s="1767"/>
      <c r="AT42" s="1767"/>
      <c r="AU42" s="1767"/>
      <c r="AV42" s="1767"/>
      <c r="AW42" s="1767"/>
      <c r="AX42" s="1767"/>
      <c r="AY42" s="1767"/>
      <c r="AZ42" s="1767"/>
      <c r="BA42" s="1767"/>
      <c r="BB42" s="1767"/>
      <c r="BC42" s="1767"/>
      <c r="BD42" s="1767"/>
      <c r="BE42" s="1767"/>
      <c r="BF42" s="1767"/>
      <c r="BG42" s="1767"/>
      <c r="BH42" s="1767"/>
      <c r="BI42" s="1767"/>
      <c r="BJ42" s="1767"/>
      <c r="BK42" s="1767"/>
      <c r="BL42" s="1767"/>
      <c r="BM42" s="1767"/>
      <c r="BN42" s="1767"/>
      <c r="BO42" s="1767"/>
      <c r="BP42" s="1767"/>
      <c r="BQ42" s="1767"/>
      <c r="BR42" s="1767"/>
      <c r="BS42" s="1767"/>
      <c r="BT42" s="1768"/>
    </row>
    <row r="43" spans="2:72" ht="15" customHeight="1" x14ac:dyDescent="0.2">
      <c r="B43" s="1766"/>
      <c r="C43" s="1767"/>
      <c r="D43" s="1767"/>
      <c r="E43" s="1767"/>
      <c r="F43" s="1767"/>
      <c r="G43" s="1767"/>
      <c r="H43" s="1767"/>
      <c r="I43" s="1767"/>
      <c r="J43" s="1767"/>
      <c r="K43" s="1767"/>
      <c r="L43" s="1767"/>
      <c r="M43" s="1767"/>
      <c r="N43" s="1767"/>
      <c r="O43" s="1767"/>
      <c r="P43" s="1767"/>
      <c r="Q43" s="1767"/>
      <c r="R43" s="1767"/>
      <c r="S43" s="1767"/>
      <c r="T43" s="1767"/>
      <c r="U43" s="1767"/>
      <c r="V43" s="1767"/>
      <c r="W43" s="1767"/>
      <c r="X43" s="1767"/>
      <c r="Y43" s="1767"/>
      <c r="Z43" s="1767"/>
      <c r="AA43" s="1767"/>
      <c r="AB43" s="1767"/>
      <c r="AC43" s="1767"/>
      <c r="AD43" s="1767"/>
      <c r="AE43" s="1767"/>
      <c r="AF43" s="1767"/>
      <c r="AG43" s="1767"/>
      <c r="AH43" s="1767"/>
      <c r="AI43" s="1767"/>
      <c r="AJ43" s="1767"/>
      <c r="AK43" s="1767"/>
      <c r="AL43" s="1767"/>
      <c r="AM43" s="1767"/>
      <c r="AN43" s="1767"/>
      <c r="AO43" s="1767"/>
      <c r="AP43" s="1767"/>
      <c r="AQ43" s="1767"/>
      <c r="AR43" s="1767"/>
      <c r="AS43" s="1767"/>
      <c r="AT43" s="1767"/>
      <c r="AU43" s="1767"/>
      <c r="AV43" s="1767"/>
      <c r="AW43" s="1767"/>
      <c r="AX43" s="1767"/>
      <c r="AY43" s="1767"/>
      <c r="AZ43" s="1767"/>
      <c r="BA43" s="1767"/>
      <c r="BB43" s="1767"/>
      <c r="BC43" s="1767"/>
      <c r="BD43" s="1767"/>
      <c r="BE43" s="1767"/>
      <c r="BF43" s="1767"/>
      <c r="BG43" s="1767"/>
      <c r="BH43" s="1767"/>
      <c r="BI43" s="1767"/>
      <c r="BJ43" s="1767"/>
      <c r="BK43" s="1767"/>
      <c r="BL43" s="1767"/>
      <c r="BM43" s="1767"/>
      <c r="BN43" s="1767"/>
      <c r="BO43" s="1767"/>
      <c r="BP43" s="1767"/>
      <c r="BQ43" s="1767"/>
      <c r="BR43" s="1767"/>
      <c r="BS43" s="1767"/>
      <c r="BT43" s="1768"/>
    </row>
    <row r="44" spans="2:72" ht="15" customHeight="1" x14ac:dyDescent="0.2">
      <c r="B44" s="1766"/>
      <c r="C44" s="1767"/>
      <c r="D44" s="1767"/>
      <c r="E44" s="1767"/>
      <c r="F44" s="1767"/>
      <c r="G44" s="1767"/>
      <c r="H44" s="1767"/>
      <c r="I44" s="1767"/>
      <c r="J44" s="1767"/>
      <c r="K44" s="1767"/>
      <c r="L44" s="1767"/>
      <c r="M44" s="1767"/>
      <c r="N44" s="1767"/>
      <c r="O44" s="1767"/>
      <c r="P44" s="1767"/>
      <c r="Q44" s="1767"/>
      <c r="R44" s="1767"/>
      <c r="S44" s="1767"/>
      <c r="T44" s="1767"/>
      <c r="U44" s="1767"/>
      <c r="V44" s="1767"/>
      <c r="W44" s="1767"/>
      <c r="X44" s="1767"/>
      <c r="Y44" s="1767"/>
      <c r="Z44" s="1767"/>
      <c r="AA44" s="1767"/>
      <c r="AB44" s="1767"/>
      <c r="AC44" s="1767"/>
      <c r="AD44" s="1767"/>
      <c r="AE44" s="1767"/>
      <c r="AF44" s="1767"/>
      <c r="AG44" s="1767"/>
      <c r="AH44" s="1767"/>
      <c r="AI44" s="1767"/>
      <c r="AJ44" s="1767"/>
      <c r="AK44" s="1767"/>
      <c r="AL44" s="1767"/>
      <c r="AM44" s="1767"/>
      <c r="AN44" s="1767"/>
      <c r="AO44" s="1767"/>
      <c r="AP44" s="1767"/>
      <c r="AQ44" s="1767"/>
      <c r="AR44" s="1767"/>
      <c r="AS44" s="1767"/>
      <c r="AT44" s="1767"/>
      <c r="AU44" s="1767"/>
      <c r="AV44" s="1767"/>
      <c r="AW44" s="1767"/>
      <c r="AX44" s="1767"/>
      <c r="AY44" s="1767"/>
      <c r="AZ44" s="1767"/>
      <c r="BA44" s="1767"/>
      <c r="BB44" s="1767"/>
      <c r="BC44" s="1767"/>
      <c r="BD44" s="1767"/>
      <c r="BE44" s="1767"/>
      <c r="BF44" s="1767"/>
      <c r="BG44" s="1767"/>
      <c r="BH44" s="1767"/>
      <c r="BI44" s="1767"/>
      <c r="BJ44" s="1767"/>
      <c r="BK44" s="1767"/>
      <c r="BL44" s="1767"/>
      <c r="BM44" s="1767"/>
      <c r="BN44" s="1767"/>
      <c r="BO44" s="1767"/>
      <c r="BP44" s="1767"/>
      <c r="BQ44" s="1767"/>
      <c r="BR44" s="1767"/>
      <c r="BS44" s="1767"/>
      <c r="BT44" s="1768"/>
    </row>
    <row r="45" spans="2:72" ht="15" customHeight="1" x14ac:dyDescent="0.2">
      <c r="B45" s="1766"/>
      <c r="C45" s="1767"/>
      <c r="D45" s="1767"/>
      <c r="E45" s="1767"/>
      <c r="F45" s="1767"/>
      <c r="G45" s="1767"/>
      <c r="H45" s="1767"/>
      <c r="I45" s="1767"/>
      <c r="J45" s="1767"/>
      <c r="K45" s="1767"/>
      <c r="L45" s="1767"/>
      <c r="M45" s="1767"/>
      <c r="N45" s="1767"/>
      <c r="O45" s="1767"/>
      <c r="P45" s="1767"/>
      <c r="Q45" s="1767"/>
      <c r="R45" s="1767"/>
      <c r="S45" s="1767"/>
      <c r="T45" s="1767"/>
      <c r="U45" s="1767"/>
      <c r="V45" s="1767"/>
      <c r="W45" s="1767"/>
      <c r="X45" s="1767"/>
      <c r="Y45" s="1767"/>
      <c r="Z45" s="1767"/>
      <c r="AA45" s="1767"/>
      <c r="AB45" s="1767"/>
      <c r="AC45" s="1767"/>
      <c r="AD45" s="1767"/>
      <c r="AE45" s="1767"/>
      <c r="AF45" s="1767"/>
      <c r="AG45" s="1767"/>
      <c r="AH45" s="1767"/>
      <c r="AI45" s="1767"/>
      <c r="AJ45" s="1767"/>
      <c r="AK45" s="1767"/>
      <c r="AL45" s="1767"/>
      <c r="AM45" s="1767"/>
      <c r="AN45" s="1767"/>
      <c r="AO45" s="1767"/>
      <c r="AP45" s="1767"/>
      <c r="AQ45" s="1767"/>
      <c r="AR45" s="1767"/>
      <c r="AS45" s="1767"/>
      <c r="AT45" s="1767"/>
      <c r="AU45" s="1767"/>
      <c r="AV45" s="1767"/>
      <c r="AW45" s="1767"/>
      <c r="AX45" s="1767"/>
      <c r="AY45" s="1767"/>
      <c r="AZ45" s="1767"/>
      <c r="BA45" s="1767"/>
      <c r="BB45" s="1767"/>
      <c r="BC45" s="1767"/>
      <c r="BD45" s="1767"/>
      <c r="BE45" s="1767"/>
      <c r="BF45" s="1767"/>
      <c r="BG45" s="1767"/>
      <c r="BH45" s="1767"/>
      <c r="BI45" s="1767"/>
      <c r="BJ45" s="1767"/>
      <c r="BK45" s="1767"/>
      <c r="BL45" s="1767"/>
      <c r="BM45" s="1767"/>
      <c r="BN45" s="1767"/>
      <c r="BO45" s="1767"/>
      <c r="BP45" s="1767"/>
      <c r="BQ45" s="1767"/>
      <c r="BR45" s="1767"/>
      <c r="BS45" s="1767"/>
      <c r="BT45" s="1768"/>
    </row>
    <row r="46" spans="2:72" ht="15" customHeight="1" x14ac:dyDescent="0.2">
      <c r="B46" s="1766"/>
      <c r="C46" s="1767"/>
      <c r="D46" s="1767"/>
      <c r="E46" s="1767"/>
      <c r="F46" s="1767"/>
      <c r="G46" s="1767"/>
      <c r="H46" s="1767"/>
      <c r="I46" s="1767"/>
      <c r="J46" s="1767"/>
      <c r="K46" s="1767"/>
      <c r="L46" s="1767"/>
      <c r="M46" s="1767"/>
      <c r="N46" s="1767"/>
      <c r="O46" s="1767"/>
      <c r="P46" s="1767"/>
      <c r="Q46" s="1767"/>
      <c r="R46" s="1767"/>
      <c r="S46" s="1767"/>
      <c r="T46" s="1767"/>
      <c r="U46" s="1767"/>
      <c r="V46" s="1767"/>
      <c r="W46" s="1767"/>
      <c r="X46" s="1767"/>
      <c r="Y46" s="1767"/>
      <c r="Z46" s="1767"/>
      <c r="AA46" s="1767"/>
      <c r="AB46" s="1767"/>
      <c r="AC46" s="1767"/>
      <c r="AD46" s="1767"/>
      <c r="AE46" s="1767"/>
      <c r="AF46" s="1767"/>
      <c r="AG46" s="1767"/>
      <c r="AH46" s="1767"/>
      <c r="AI46" s="1767"/>
      <c r="AJ46" s="1767"/>
      <c r="AK46" s="1767"/>
      <c r="AL46" s="1767"/>
      <c r="AM46" s="1767"/>
      <c r="AN46" s="1767"/>
      <c r="AO46" s="1767"/>
      <c r="AP46" s="1767"/>
      <c r="AQ46" s="1767"/>
      <c r="AR46" s="1767"/>
      <c r="AS46" s="1767"/>
      <c r="AT46" s="1767"/>
      <c r="AU46" s="1767"/>
      <c r="AV46" s="1767"/>
      <c r="AW46" s="1767"/>
      <c r="AX46" s="1767"/>
      <c r="AY46" s="1767"/>
      <c r="AZ46" s="1767"/>
      <c r="BA46" s="1767"/>
      <c r="BB46" s="1767"/>
      <c r="BC46" s="1767"/>
      <c r="BD46" s="1767"/>
      <c r="BE46" s="1767"/>
      <c r="BF46" s="1767"/>
      <c r="BG46" s="1767"/>
      <c r="BH46" s="1767"/>
      <c r="BI46" s="1767"/>
      <c r="BJ46" s="1767"/>
      <c r="BK46" s="1767"/>
      <c r="BL46" s="1767"/>
      <c r="BM46" s="1767"/>
      <c r="BN46" s="1767"/>
      <c r="BO46" s="1767"/>
      <c r="BP46" s="1767"/>
      <c r="BQ46" s="1767"/>
      <c r="BR46" s="1767"/>
      <c r="BS46" s="1767"/>
      <c r="BT46" s="1768"/>
    </row>
    <row r="47" spans="2:72" ht="15" customHeight="1" x14ac:dyDescent="0.2">
      <c r="B47" s="1766"/>
      <c r="C47" s="1767"/>
      <c r="D47" s="1767"/>
      <c r="E47" s="1767"/>
      <c r="F47" s="1767"/>
      <c r="G47" s="1767"/>
      <c r="H47" s="1767"/>
      <c r="I47" s="1767"/>
      <c r="J47" s="1767"/>
      <c r="K47" s="1767"/>
      <c r="L47" s="1767"/>
      <c r="M47" s="1767"/>
      <c r="N47" s="1767"/>
      <c r="O47" s="1767"/>
      <c r="P47" s="1767"/>
      <c r="Q47" s="1767"/>
      <c r="R47" s="1767"/>
      <c r="S47" s="1767"/>
      <c r="T47" s="1767"/>
      <c r="U47" s="1767"/>
      <c r="V47" s="1767"/>
      <c r="W47" s="1767"/>
      <c r="X47" s="1767"/>
      <c r="Y47" s="1767"/>
      <c r="Z47" s="1767"/>
      <c r="AA47" s="1767"/>
      <c r="AB47" s="1767"/>
      <c r="AC47" s="1767"/>
      <c r="AD47" s="1767"/>
      <c r="AE47" s="1767"/>
      <c r="AF47" s="1767"/>
      <c r="AG47" s="1767"/>
      <c r="AH47" s="1767"/>
      <c r="AI47" s="1767"/>
      <c r="AJ47" s="1767"/>
      <c r="AK47" s="1767"/>
      <c r="AL47" s="1767"/>
      <c r="AM47" s="1767"/>
      <c r="AN47" s="1767"/>
      <c r="AO47" s="1767"/>
      <c r="AP47" s="1767"/>
      <c r="AQ47" s="1767"/>
      <c r="AR47" s="1767"/>
      <c r="AS47" s="1767"/>
      <c r="AT47" s="1767"/>
      <c r="AU47" s="1767"/>
      <c r="AV47" s="1767"/>
      <c r="AW47" s="1767"/>
      <c r="AX47" s="1767"/>
      <c r="AY47" s="1767"/>
      <c r="AZ47" s="1767"/>
      <c r="BA47" s="1767"/>
      <c r="BB47" s="1767"/>
      <c r="BC47" s="1767"/>
      <c r="BD47" s="1767"/>
      <c r="BE47" s="1767"/>
      <c r="BF47" s="1767"/>
      <c r="BG47" s="1767"/>
      <c r="BH47" s="1767"/>
      <c r="BI47" s="1767"/>
      <c r="BJ47" s="1767"/>
      <c r="BK47" s="1767"/>
      <c r="BL47" s="1767"/>
      <c r="BM47" s="1767"/>
      <c r="BN47" s="1767"/>
      <c r="BO47" s="1767"/>
      <c r="BP47" s="1767"/>
      <c r="BQ47" s="1767"/>
      <c r="BR47" s="1767"/>
      <c r="BS47" s="1767"/>
      <c r="BT47" s="1768"/>
    </row>
    <row r="48" spans="2:72" ht="15" customHeight="1" x14ac:dyDescent="0.2">
      <c r="B48" s="1766"/>
      <c r="C48" s="1767"/>
      <c r="D48" s="1767"/>
      <c r="E48" s="1767"/>
      <c r="F48" s="1767"/>
      <c r="G48" s="1767"/>
      <c r="H48" s="1767"/>
      <c r="I48" s="1767"/>
      <c r="J48" s="1767"/>
      <c r="K48" s="1767"/>
      <c r="L48" s="1767"/>
      <c r="M48" s="1767"/>
      <c r="N48" s="1767"/>
      <c r="O48" s="1767"/>
      <c r="P48" s="1767"/>
      <c r="Q48" s="1767"/>
      <c r="R48" s="1767"/>
      <c r="S48" s="1767"/>
      <c r="T48" s="1767"/>
      <c r="U48" s="1767"/>
      <c r="V48" s="1767"/>
      <c r="W48" s="1767"/>
      <c r="X48" s="1767"/>
      <c r="Y48" s="1767"/>
      <c r="Z48" s="1767"/>
      <c r="AA48" s="1767"/>
      <c r="AB48" s="1767"/>
      <c r="AC48" s="1767"/>
      <c r="AD48" s="1767"/>
      <c r="AE48" s="1767"/>
      <c r="AF48" s="1767"/>
      <c r="AG48" s="1767"/>
      <c r="AH48" s="1767"/>
      <c r="AI48" s="1767"/>
      <c r="AJ48" s="1767"/>
      <c r="AK48" s="1767"/>
      <c r="AL48" s="1767"/>
      <c r="AM48" s="1767"/>
      <c r="AN48" s="1767"/>
      <c r="AO48" s="1767"/>
      <c r="AP48" s="1767"/>
      <c r="AQ48" s="1767"/>
      <c r="AR48" s="1767"/>
      <c r="AS48" s="1767"/>
      <c r="AT48" s="1767"/>
      <c r="AU48" s="1767"/>
      <c r="AV48" s="1767"/>
      <c r="AW48" s="1767"/>
      <c r="AX48" s="1767"/>
      <c r="AY48" s="1767"/>
      <c r="AZ48" s="1767"/>
      <c r="BA48" s="1767"/>
      <c r="BB48" s="1767"/>
      <c r="BC48" s="1767"/>
      <c r="BD48" s="1767"/>
      <c r="BE48" s="1767"/>
      <c r="BF48" s="1767"/>
      <c r="BG48" s="1767"/>
      <c r="BH48" s="1767"/>
      <c r="BI48" s="1767"/>
      <c r="BJ48" s="1767"/>
      <c r="BK48" s="1767"/>
      <c r="BL48" s="1767"/>
      <c r="BM48" s="1767"/>
      <c r="BN48" s="1767"/>
      <c r="BO48" s="1767"/>
      <c r="BP48" s="1767"/>
      <c r="BQ48" s="1767"/>
      <c r="BR48" s="1767"/>
      <c r="BS48" s="1767"/>
      <c r="BT48" s="1768"/>
    </row>
    <row r="49" spans="2:72" ht="15" customHeight="1" x14ac:dyDescent="0.2">
      <c r="B49" s="1766"/>
      <c r="C49" s="1767"/>
      <c r="D49" s="1767"/>
      <c r="E49" s="1767"/>
      <c r="F49" s="1767"/>
      <c r="G49" s="1767"/>
      <c r="H49" s="1767"/>
      <c r="I49" s="1767"/>
      <c r="J49" s="1767"/>
      <c r="K49" s="1767"/>
      <c r="L49" s="1767"/>
      <c r="M49" s="1767"/>
      <c r="N49" s="1767"/>
      <c r="O49" s="1767"/>
      <c r="P49" s="1767"/>
      <c r="Q49" s="1767"/>
      <c r="R49" s="1767"/>
      <c r="S49" s="1767"/>
      <c r="T49" s="1767"/>
      <c r="U49" s="1767"/>
      <c r="V49" s="1767"/>
      <c r="W49" s="1767"/>
      <c r="X49" s="1767"/>
      <c r="Y49" s="1767"/>
      <c r="Z49" s="1767"/>
      <c r="AA49" s="1767"/>
      <c r="AB49" s="1767"/>
      <c r="AC49" s="1767"/>
      <c r="AD49" s="1767"/>
      <c r="AE49" s="1767"/>
      <c r="AF49" s="1767"/>
      <c r="AG49" s="1767"/>
      <c r="AH49" s="1767"/>
      <c r="AI49" s="1767"/>
      <c r="AJ49" s="1767"/>
      <c r="AK49" s="1767"/>
      <c r="AL49" s="1767"/>
      <c r="AM49" s="1767"/>
      <c r="AN49" s="1767"/>
      <c r="AO49" s="1767"/>
      <c r="AP49" s="1767"/>
      <c r="AQ49" s="1767"/>
      <c r="AR49" s="1767"/>
      <c r="AS49" s="1767"/>
      <c r="AT49" s="1767"/>
      <c r="AU49" s="1767"/>
      <c r="AV49" s="1767"/>
      <c r="AW49" s="1767"/>
      <c r="AX49" s="1767"/>
      <c r="AY49" s="1767"/>
      <c r="AZ49" s="1767"/>
      <c r="BA49" s="1767"/>
      <c r="BB49" s="1767"/>
      <c r="BC49" s="1767"/>
      <c r="BD49" s="1767"/>
      <c r="BE49" s="1767"/>
      <c r="BF49" s="1767"/>
      <c r="BG49" s="1767"/>
      <c r="BH49" s="1767"/>
      <c r="BI49" s="1767"/>
      <c r="BJ49" s="1767"/>
      <c r="BK49" s="1767"/>
      <c r="BL49" s="1767"/>
      <c r="BM49" s="1767"/>
      <c r="BN49" s="1767"/>
      <c r="BO49" s="1767"/>
      <c r="BP49" s="1767"/>
      <c r="BQ49" s="1767"/>
      <c r="BR49" s="1767"/>
      <c r="BS49" s="1767"/>
      <c r="BT49" s="1768"/>
    </row>
    <row r="50" spans="2:72" ht="15" customHeight="1" x14ac:dyDescent="0.2">
      <c r="B50" s="1766"/>
      <c r="C50" s="1767"/>
      <c r="D50" s="1767"/>
      <c r="E50" s="1767"/>
      <c r="F50" s="1767"/>
      <c r="G50" s="1767"/>
      <c r="H50" s="1767"/>
      <c r="I50" s="1767"/>
      <c r="J50" s="1767"/>
      <c r="K50" s="1767"/>
      <c r="L50" s="1767"/>
      <c r="M50" s="1767"/>
      <c r="N50" s="1767"/>
      <c r="O50" s="1767"/>
      <c r="P50" s="1767"/>
      <c r="Q50" s="1767"/>
      <c r="R50" s="1767"/>
      <c r="S50" s="1767"/>
      <c r="T50" s="1767"/>
      <c r="U50" s="1767"/>
      <c r="V50" s="1767"/>
      <c r="W50" s="1767"/>
      <c r="X50" s="1767"/>
      <c r="Y50" s="1767"/>
      <c r="Z50" s="1767"/>
      <c r="AA50" s="1767"/>
      <c r="AB50" s="1767"/>
      <c r="AC50" s="1767"/>
      <c r="AD50" s="1767"/>
      <c r="AE50" s="1767"/>
      <c r="AF50" s="1767"/>
      <c r="AG50" s="1767"/>
      <c r="AH50" s="1767"/>
      <c r="AI50" s="1767"/>
      <c r="AJ50" s="1767"/>
      <c r="AK50" s="1767"/>
      <c r="AL50" s="1767"/>
      <c r="AM50" s="1767"/>
      <c r="AN50" s="1767"/>
      <c r="AO50" s="1767"/>
      <c r="AP50" s="1767"/>
      <c r="AQ50" s="1767"/>
      <c r="AR50" s="1767"/>
      <c r="AS50" s="1767"/>
      <c r="AT50" s="1767"/>
      <c r="AU50" s="1767"/>
      <c r="AV50" s="1767"/>
      <c r="AW50" s="1767"/>
      <c r="AX50" s="1767"/>
      <c r="AY50" s="1767"/>
      <c r="AZ50" s="1767"/>
      <c r="BA50" s="1767"/>
      <c r="BB50" s="1767"/>
      <c r="BC50" s="1767"/>
      <c r="BD50" s="1767"/>
      <c r="BE50" s="1767"/>
      <c r="BF50" s="1767"/>
      <c r="BG50" s="1767"/>
      <c r="BH50" s="1767"/>
      <c r="BI50" s="1767"/>
      <c r="BJ50" s="1767"/>
      <c r="BK50" s="1767"/>
      <c r="BL50" s="1767"/>
      <c r="BM50" s="1767"/>
      <c r="BN50" s="1767"/>
      <c r="BO50" s="1767"/>
      <c r="BP50" s="1767"/>
      <c r="BQ50" s="1767"/>
      <c r="BR50" s="1767"/>
      <c r="BS50" s="1767"/>
      <c r="BT50" s="1768"/>
    </row>
    <row r="51" spans="2:72" ht="15" customHeight="1" x14ac:dyDescent="0.2">
      <c r="B51" s="1766"/>
      <c r="C51" s="1767"/>
      <c r="D51" s="1767"/>
      <c r="E51" s="1767"/>
      <c r="F51" s="1767"/>
      <c r="G51" s="1767"/>
      <c r="H51" s="1767"/>
      <c r="I51" s="1767"/>
      <c r="J51" s="1767"/>
      <c r="K51" s="1767"/>
      <c r="L51" s="1767"/>
      <c r="M51" s="1767"/>
      <c r="N51" s="1767"/>
      <c r="O51" s="1767"/>
      <c r="P51" s="1767"/>
      <c r="Q51" s="1767"/>
      <c r="R51" s="1767"/>
      <c r="S51" s="1767"/>
      <c r="T51" s="1767"/>
      <c r="U51" s="1767"/>
      <c r="V51" s="1767"/>
      <c r="W51" s="1767"/>
      <c r="X51" s="1767"/>
      <c r="Y51" s="1767"/>
      <c r="Z51" s="1767"/>
      <c r="AA51" s="1767"/>
      <c r="AB51" s="1767"/>
      <c r="AC51" s="1767"/>
      <c r="AD51" s="1767"/>
      <c r="AE51" s="1767"/>
      <c r="AF51" s="1767"/>
      <c r="AG51" s="1767"/>
      <c r="AH51" s="1767"/>
      <c r="AI51" s="1767"/>
      <c r="AJ51" s="1767"/>
      <c r="AK51" s="1767"/>
      <c r="AL51" s="1767"/>
      <c r="AM51" s="1767"/>
      <c r="AN51" s="1767"/>
      <c r="AO51" s="1767"/>
      <c r="AP51" s="1767"/>
      <c r="AQ51" s="1767"/>
      <c r="AR51" s="1767"/>
      <c r="AS51" s="1767"/>
      <c r="AT51" s="1767"/>
      <c r="AU51" s="1767"/>
      <c r="AV51" s="1767"/>
      <c r="AW51" s="1767"/>
      <c r="AX51" s="1767"/>
      <c r="AY51" s="1767"/>
      <c r="AZ51" s="1767"/>
      <c r="BA51" s="1767"/>
      <c r="BB51" s="1767"/>
      <c r="BC51" s="1767"/>
      <c r="BD51" s="1767"/>
      <c r="BE51" s="1767"/>
      <c r="BF51" s="1767"/>
      <c r="BG51" s="1767"/>
      <c r="BH51" s="1767"/>
      <c r="BI51" s="1767"/>
      <c r="BJ51" s="1767"/>
      <c r="BK51" s="1767"/>
      <c r="BL51" s="1767"/>
      <c r="BM51" s="1767"/>
      <c r="BN51" s="1767"/>
      <c r="BO51" s="1767"/>
      <c r="BP51" s="1767"/>
      <c r="BQ51" s="1767"/>
      <c r="BR51" s="1767"/>
      <c r="BS51" s="1767"/>
      <c r="BT51" s="1768"/>
    </row>
    <row r="52" spans="2:72" ht="15" customHeight="1" x14ac:dyDescent="0.2">
      <c r="B52" s="1766"/>
      <c r="C52" s="1767"/>
      <c r="D52" s="1767"/>
      <c r="E52" s="1767"/>
      <c r="F52" s="1767"/>
      <c r="G52" s="1767"/>
      <c r="H52" s="1767"/>
      <c r="I52" s="1767"/>
      <c r="J52" s="1767"/>
      <c r="K52" s="1767"/>
      <c r="L52" s="1767"/>
      <c r="M52" s="1767"/>
      <c r="N52" s="1767"/>
      <c r="O52" s="1767"/>
      <c r="P52" s="1767"/>
      <c r="Q52" s="1767"/>
      <c r="R52" s="1767"/>
      <c r="S52" s="1767"/>
      <c r="T52" s="1767"/>
      <c r="U52" s="1767"/>
      <c r="V52" s="1767"/>
      <c r="W52" s="1767"/>
      <c r="X52" s="1767"/>
      <c r="Y52" s="1767"/>
      <c r="Z52" s="1767"/>
      <c r="AA52" s="1767"/>
      <c r="AB52" s="1767"/>
      <c r="AC52" s="1767"/>
      <c r="AD52" s="1767"/>
      <c r="AE52" s="1767"/>
      <c r="AF52" s="1767"/>
      <c r="AG52" s="1767"/>
      <c r="AH52" s="1767"/>
      <c r="AI52" s="1767"/>
      <c r="AJ52" s="1767"/>
      <c r="AK52" s="1767"/>
      <c r="AL52" s="1767"/>
      <c r="AM52" s="1767"/>
      <c r="AN52" s="1767"/>
      <c r="AO52" s="1767"/>
      <c r="AP52" s="1767"/>
      <c r="AQ52" s="1767"/>
      <c r="AR52" s="1767"/>
      <c r="AS52" s="1767"/>
      <c r="AT52" s="1767"/>
      <c r="AU52" s="1767"/>
      <c r="AV52" s="1767"/>
      <c r="AW52" s="1767"/>
      <c r="AX52" s="1767"/>
      <c r="AY52" s="1767"/>
      <c r="AZ52" s="1767"/>
      <c r="BA52" s="1767"/>
      <c r="BB52" s="1767"/>
      <c r="BC52" s="1767"/>
      <c r="BD52" s="1767"/>
      <c r="BE52" s="1767"/>
      <c r="BF52" s="1767"/>
      <c r="BG52" s="1767"/>
      <c r="BH52" s="1767"/>
      <c r="BI52" s="1767"/>
      <c r="BJ52" s="1767"/>
      <c r="BK52" s="1767"/>
      <c r="BL52" s="1767"/>
      <c r="BM52" s="1767"/>
      <c r="BN52" s="1767"/>
      <c r="BO52" s="1767"/>
      <c r="BP52" s="1767"/>
      <c r="BQ52" s="1767"/>
      <c r="BR52" s="1767"/>
      <c r="BS52" s="1767"/>
      <c r="BT52" s="1768"/>
    </row>
    <row r="53" spans="2:72" ht="15" customHeight="1" x14ac:dyDescent="0.2">
      <c r="B53" s="1766"/>
      <c r="C53" s="1767"/>
      <c r="D53" s="1767"/>
      <c r="E53" s="1767"/>
      <c r="F53" s="1767"/>
      <c r="G53" s="1767"/>
      <c r="H53" s="1767"/>
      <c r="I53" s="1767"/>
      <c r="J53" s="1767"/>
      <c r="K53" s="1767"/>
      <c r="L53" s="1767"/>
      <c r="M53" s="1767"/>
      <c r="N53" s="1767"/>
      <c r="O53" s="1767"/>
      <c r="P53" s="1767"/>
      <c r="Q53" s="1767"/>
      <c r="R53" s="1767"/>
      <c r="S53" s="1767"/>
      <c r="T53" s="1767"/>
      <c r="U53" s="1767"/>
      <c r="V53" s="1767"/>
      <c r="W53" s="1767"/>
      <c r="X53" s="1767"/>
      <c r="Y53" s="1767"/>
      <c r="Z53" s="1767"/>
      <c r="AA53" s="1767"/>
      <c r="AB53" s="1767"/>
      <c r="AC53" s="1767"/>
      <c r="AD53" s="1767"/>
      <c r="AE53" s="1767"/>
      <c r="AF53" s="1767"/>
      <c r="AG53" s="1767"/>
      <c r="AH53" s="1767"/>
      <c r="AI53" s="1767"/>
      <c r="AJ53" s="1767"/>
      <c r="AK53" s="1767"/>
      <c r="AL53" s="1767"/>
      <c r="AM53" s="1767"/>
      <c r="AN53" s="1767"/>
      <c r="AO53" s="1767"/>
      <c r="AP53" s="1767"/>
      <c r="AQ53" s="1767"/>
      <c r="AR53" s="1767"/>
      <c r="AS53" s="1767"/>
      <c r="AT53" s="1767"/>
      <c r="AU53" s="1767"/>
      <c r="AV53" s="1767"/>
      <c r="AW53" s="1767"/>
      <c r="AX53" s="1767"/>
      <c r="AY53" s="1767"/>
      <c r="AZ53" s="1767"/>
      <c r="BA53" s="1767"/>
      <c r="BB53" s="1767"/>
      <c r="BC53" s="1767"/>
      <c r="BD53" s="1767"/>
      <c r="BE53" s="1767"/>
      <c r="BF53" s="1767"/>
      <c r="BG53" s="1767"/>
      <c r="BH53" s="1767"/>
      <c r="BI53" s="1767"/>
      <c r="BJ53" s="1767"/>
      <c r="BK53" s="1767"/>
      <c r="BL53" s="1767"/>
      <c r="BM53" s="1767"/>
      <c r="BN53" s="1767"/>
      <c r="BO53" s="1767"/>
      <c r="BP53" s="1767"/>
      <c r="BQ53" s="1767"/>
      <c r="BR53" s="1767"/>
      <c r="BS53" s="1767"/>
      <c r="BT53" s="1768"/>
    </row>
    <row r="54" spans="2:72" ht="15" customHeight="1" x14ac:dyDescent="0.2">
      <c r="B54" s="1766"/>
      <c r="C54" s="1767"/>
      <c r="D54" s="1767"/>
      <c r="E54" s="1767"/>
      <c r="F54" s="1767"/>
      <c r="G54" s="1767"/>
      <c r="H54" s="1767"/>
      <c r="I54" s="1767"/>
      <c r="J54" s="1767"/>
      <c r="K54" s="1767"/>
      <c r="L54" s="1767"/>
      <c r="M54" s="1767"/>
      <c r="N54" s="1767"/>
      <c r="O54" s="1767"/>
      <c r="P54" s="1767"/>
      <c r="Q54" s="1767"/>
      <c r="R54" s="1767"/>
      <c r="S54" s="1767"/>
      <c r="T54" s="1767"/>
      <c r="U54" s="1767"/>
      <c r="V54" s="1767"/>
      <c r="W54" s="1767"/>
      <c r="X54" s="1767"/>
      <c r="Y54" s="1767"/>
      <c r="Z54" s="1767"/>
      <c r="AA54" s="1767"/>
      <c r="AB54" s="1767"/>
      <c r="AC54" s="1767"/>
      <c r="AD54" s="1767"/>
      <c r="AE54" s="1767"/>
      <c r="AF54" s="1767"/>
      <c r="AG54" s="1767"/>
      <c r="AH54" s="1767"/>
      <c r="AI54" s="1767"/>
      <c r="AJ54" s="1767"/>
      <c r="AK54" s="1767"/>
      <c r="AL54" s="1767"/>
      <c r="AM54" s="1767"/>
      <c r="AN54" s="1767"/>
      <c r="AO54" s="1767"/>
      <c r="AP54" s="1767"/>
      <c r="AQ54" s="1767"/>
      <c r="AR54" s="1767"/>
      <c r="AS54" s="1767"/>
      <c r="AT54" s="1767"/>
      <c r="AU54" s="1767"/>
      <c r="AV54" s="1767"/>
      <c r="AW54" s="1767"/>
      <c r="AX54" s="1767"/>
      <c r="AY54" s="1767"/>
      <c r="AZ54" s="1767"/>
      <c r="BA54" s="1767"/>
      <c r="BB54" s="1767"/>
      <c r="BC54" s="1767"/>
      <c r="BD54" s="1767"/>
      <c r="BE54" s="1767"/>
      <c r="BF54" s="1767"/>
      <c r="BG54" s="1767"/>
      <c r="BH54" s="1767"/>
      <c r="BI54" s="1767"/>
      <c r="BJ54" s="1767"/>
      <c r="BK54" s="1767"/>
      <c r="BL54" s="1767"/>
      <c r="BM54" s="1767"/>
      <c r="BN54" s="1767"/>
      <c r="BO54" s="1767"/>
      <c r="BP54" s="1767"/>
      <c r="BQ54" s="1767"/>
      <c r="BR54" s="1767"/>
      <c r="BS54" s="1767"/>
      <c r="BT54" s="1768"/>
    </row>
    <row r="55" spans="2:72" ht="15" customHeight="1" x14ac:dyDescent="0.2">
      <c r="B55" s="1766"/>
      <c r="C55" s="1767"/>
      <c r="D55" s="1767"/>
      <c r="E55" s="1767"/>
      <c r="F55" s="1767"/>
      <c r="G55" s="1767"/>
      <c r="H55" s="1767"/>
      <c r="I55" s="1767"/>
      <c r="J55" s="1767"/>
      <c r="K55" s="1767"/>
      <c r="L55" s="1767"/>
      <c r="M55" s="1767"/>
      <c r="N55" s="1767"/>
      <c r="O55" s="1767"/>
      <c r="P55" s="1767"/>
      <c r="Q55" s="1767"/>
      <c r="R55" s="1767"/>
      <c r="S55" s="1767"/>
      <c r="T55" s="1767"/>
      <c r="U55" s="1767"/>
      <c r="V55" s="1767"/>
      <c r="W55" s="1767"/>
      <c r="X55" s="1767"/>
      <c r="Y55" s="1767"/>
      <c r="Z55" s="1767"/>
      <c r="AA55" s="1767"/>
      <c r="AB55" s="1767"/>
      <c r="AC55" s="1767"/>
      <c r="AD55" s="1767"/>
      <c r="AE55" s="1767"/>
      <c r="AF55" s="1767"/>
      <c r="AG55" s="1767"/>
      <c r="AH55" s="1767"/>
      <c r="AI55" s="1767"/>
      <c r="AJ55" s="1767"/>
      <c r="AK55" s="1767"/>
      <c r="AL55" s="1767"/>
      <c r="AM55" s="1767"/>
      <c r="AN55" s="1767"/>
      <c r="AO55" s="1767"/>
      <c r="AP55" s="1767"/>
      <c r="AQ55" s="1767"/>
      <c r="AR55" s="1767"/>
      <c r="AS55" s="1767"/>
      <c r="AT55" s="1767"/>
      <c r="AU55" s="1767"/>
      <c r="AV55" s="1767"/>
      <c r="AW55" s="1767"/>
      <c r="AX55" s="1767"/>
      <c r="AY55" s="1767"/>
      <c r="AZ55" s="1767"/>
      <c r="BA55" s="1767"/>
      <c r="BB55" s="1767"/>
      <c r="BC55" s="1767"/>
      <c r="BD55" s="1767"/>
      <c r="BE55" s="1767"/>
      <c r="BF55" s="1767"/>
      <c r="BG55" s="1767"/>
      <c r="BH55" s="1767"/>
      <c r="BI55" s="1767"/>
      <c r="BJ55" s="1767"/>
      <c r="BK55" s="1767"/>
      <c r="BL55" s="1767"/>
      <c r="BM55" s="1767"/>
      <c r="BN55" s="1767"/>
      <c r="BO55" s="1767"/>
      <c r="BP55" s="1767"/>
      <c r="BQ55" s="1767"/>
      <c r="BR55" s="1767"/>
      <c r="BS55" s="1767"/>
      <c r="BT55" s="1768"/>
    </row>
    <row r="56" spans="2:72" ht="15" customHeight="1" x14ac:dyDescent="0.2">
      <c r="B56" s="1766"/>
      <c r="C56" s="1767"/>
      <c r="D56" s="1767"/>
      <c r="E56" s="1767"/>
      <c r="F56" s="1767"/>
      <c r="G56" s="1767"/>
      <c r="H56" s="1767"/>
      <c r="I56" s="1767"/>
      <c r="J56" s="1767"/>
      <c r="K56" s="1767"/>
      <c r="L56" s="1767"/>
      <c r="M56" s="1767"/>
      <c r="N56" s="1767"/>
      <c r="O56" s="1767"/>
      <c r="P56" s="1767"/>
      <c r="Q56" s="1767"/>
      <c r="R56" s="1767"/>
      <c r="S56" s="1767"/>
      <c r="T56" s="1767"/>
      <c r="U56" s="1767"/>
      <c r="V56" s="1767"/>
      <c r="W56" s="1767"/>
      <c r="X56" s="1767"/>
      <c r="Y56" s="1767"/>
      <c r="Z56" s="1767"/>
      <c r="AA56" s="1767"/>
      <c r="AB56" s="1767"/>
      <c r="AC56" s="1767"/>
      <c r="AD56" s="1767"/>
      <c r="AE56" s="1767"/>
      <c r="AF56" s="1767"/>
      <c r="AG56" s="1767"/>
      <c r="AH56" s="1767"/>
      <c r="AI56" s="1767"/>
      <c r="AJ56" s="1767"/>
      <c r="AK56" s="1767"/>
      <c r="AL56" s="1767"/>
      <c r="AM56" s="1767"/>
      <c r="AN56" s="1767"/>
      <c r="AO56" s="1767"/>
      <c r="AP56" s="1767"/>
      <c r="AQ56" s="1767"/>
      <c r="AR56" s="1767"/>
      <c r="AS56" s="1767"/>
      <c r="AT56" s="1767"/>
      <c r="AU56" s="1767"/>
      <c r="AV56" s="1767"/>
      <c r="AW56" s="1767"/>
      <c r="AX56" s="1767"/>
      <c r="AY56" s="1767"/>
      <c r="AZ56" s="1767"/>
      <c r="BA56" s="1767"/>
      <c r="BB56" s="1767"/>
      <c r="BC56" s="1767"/>
      <c r="BD56" s="1767"/>
      <c r="BE56" s="1767"/>
      <c r="BF56" s="1767"/>
      <c r="BG56" s="1767"/>
      <c r="BH56" s="1767"/>
      <c r="BI56" s="1767"/>
      <c r="BJ56" s="1767"/>
      <c r="BK56" s="1767"/>
      <c r="BL56" s="1767"/>
      <c r="BM56" s="1767"/>
      <c r="BN56" s="1767"/>
      <c r="BO56" s="1767"/>
      <c r="BP56" s="1767"/>
      <c r="BQ56" s="1767"/>
      <c r="BR56" s="1767"/>
      <c r="BS56" s="1767"/>
      <c r="BT56" s="1768"/>
    </row>
    <row r="57" spans="2:72" ht="15" customHeight="1" x14ac:dyDescent="0.2">
      <c r="B57" s="1766"/>
      <c r="C57" s="1767"/>
      <c r="D57" s="1767"/>
      <c r="E57" s="1767"/>
      <c r="F57" s="1767"/>
      <c r="G57" s="1767"/>
      <c r="H57" s="1767"/>
      <c r="I57" s="1767"/>
      <c r="J57" s="1767"/>
      <c r="K57" s="1767"/>
      <c r="L57" s="1767"/>
      <c r="M57" s="1767"/>
      <c r="N57" s="1767"/>
      <c r="O57" s="1767"/>
      <c r="P57" s="1767"/>
      <c r="Q57" s="1767"/>
      <c r="R57" s="1767"/>
      <c r="S57" s="1767"/>
      <c r="T57" s="1767"/>
      <c r="U57" s="1767"/>
      <c r="V57" s="1767"/>
      <c r="W57" s="1767"/>
      <c r="X57" s="1767"/>
      <c r="Y57" s="1767"/>
      <c r="Z57" s="1767"/>
      <c r="AA57" s="1767"/>
      <c r="AB57" s="1767"/>
      <c r="AC57" s="1767"/>
      <c r="AD57" s="1767"/>
      <c r="AE57" s="1767"/>
      <c r="AF57" s="1767"/>
      <c r="AG57" s="1767"/>
      <c r="AH57" s="1767"/>
      <c r="AI57" s="1767"/>
      <c r="AJ57" s="1767"/>
      <c r="AK57" s="1767"/>
      <c r="AL57" s="1767"/>
      <c r="AM57" s="1767"/>
      <c r="AN57" s="1767"/>
      <c r="AO57" s="1767"/>
      <c r="AP57" s="1767"/>
      <c r="AQ57" s="1767"/>
      <c r="AR57" s="1767"/>
      <c r="AS57" s="1767"/>
      <c r="AT57" s="1767"/>
      <c r="AU57" s="1767"/>
      <c r="AV57" s="1767"/>
      <c r="AW57" s="1767"/>
      <c r="AX57" s="1767"/>
      <c r="AY57" s="1767"/>
      <c r="AZ57" s="1767"/>
      <c r="BA57" s="1767"/>
      <c r="BB57" s="1767"/>
      <c r="BC57" s="1767"/>
      <c r="BD57" s="1767"/>
      <c r="BE57" s="1767"/>
      <c r="BF57" s="1767"/>
      <c r="BG57" s="1767"/>
      <c r="BH57" s="1767"/>
      <c r="BI57" s="1767"/>
      <c r="BJ57" s="1767"/>
      <c r="BK57" s="1767"/>
      <c r="BL57" s="1767"/>
      <c r="BM57" s="1767"/>
      <c r="BN57" s="1767"/>
      <c r="BO57" s="1767"/>
      <c r="BP57" s="1767"/>
      <c r="BQ57" s="1767"/>
      <c r="BR57" s="1767"/>
      <c r="BS57" s="1767"/>
      <c r="BT57" s="1768"/>
    </row>
    <row r="58" spans="2:72" ht="15" customHeight="1" x14ac:dyDescent="0.2">
      <c r="B58" s="1766"/>
      <c r="C58" s="1767"/>
      <c r="D58" s="1767"/>
      <c r="E58" s="1767"/>
      <c r="F58" s="1767"/>
      <c r="G58" s="1767"/>
      <c r="H58" s="1767"/>
      <c r="I58" s="1767"/>
      <c r="J58" s="1767"/>
      <c r="K58" s="1767"/>
      <c r="L58" s="1767"/>
      <c r="M58" s="1767"/>
      <c r="N58" s="1767"/>
      <c r="O58" s="1767"/>
      <c r="P58" s="1767"/>
      <c r="Q58" s="1767"/>
      <c r="R58" s="1767"/>
      <c r="S58" s="1767"/>
      <c r="T58" s="1767"/>
      <c r="U58" s="1767"/>
      <c r="V58" s="1767"/>
      <c r="W58" s="1767"/>
      <c r="X58" s="1767"/>
      <c r="Y58" s="1767"/>
      <c r="Z58" s="1767"/>
      <c r="AA58" s="1767"/>
      <c r="AB58" s="1767"/>
      <c r="AC58" s="1767"/>
      <c r="AD58" s="1767"/>
      <c r="AE58" s="1767"/>
      <c r="AF58" s="1767"/>
      <c r="AG58" s="1767"/>
      <c r="AH58" s="1767"/>
      <c r="AI58" s="1767"/>
      <c r="AJ58" s="1767"/>
      <c r="AK58" s="1767"/>
      <c r="AL58" s="1767"/>
      <c r="AM58" s="1767"/>
      <c r="AN58" s="1767"/>
      <c r="AO58" s="1767"/>
      <c r="AP58" s="1767"/>
      <c r="AQ58" s="1767"/>
      <c r="AR58" s="1767"/>
      <c r="AS58" s="1767"/>
      <c r="AT58" s="1767"/>
      <c r="AU58" s="1767"/>
      <c r="AV58" s="1767"/>
      <c r="AW58" s="1767"/>
      <c r="AX58" s="1767"/>
      <c r="AY58" s="1767"/>
      <c r="AZ58" s="1767"/>
      <c r="BA58" s="1767"/>
      <c r="BB58" s="1767"/>
      <c r="BC58" s="1767"/>
      <c r="BD58" s="1767"/>
      <c r="BE58" s="1767"/>
      <c r="BF58" s="1767"/>
      <c r="BG58" s="1767"/>
      <c r="BH58" s="1767"/>
      <c r="BI58" s="1767"/>
      <c r="BJ58" s="1767"/>
      <c r="BK58" s="1767"/>
      <c r="BL58" s="1767"/>
      <c r="BM58" s="1767"/>
      <c r="BN58" s="1767"/>
      <c r="BO58" s="1767"/>
      <c r="BP58" s="1767"/>
      <c r="BQ58" s="1767"/>
      <c r="BR58" s="1767"/>
      <c r="BS58" s="1767"/>
      <c r="BT58" s="1768"/>
    </row>
    <row r="59" spans="2:72" ht="15" customHeight="1" x14ac:dyDescent="0.2">
      <c r="B59" s="1766"/>
      <c r="C59" s="1767"/>
      <c r="D59" s="1767"/>
      <c r="E59" s="1767"/>
      <c r="F59" s="1767"/>
      <c r="G59" s="1767"/>
      <c r="H59" s="1767"/>
      <c r="I59" s="1767"/>
      <c r="J59" s="1767"/>
      <c r="K59" s="1767"/>
      <c r="L59" s="1767"/>
      <c r="M59" s="1767"/>
      <c r="N59" s="1767"/>
      <c r="O59" s="1767"/>
      <c r="P59" s="1767"/>
      <c r="Q59" s="1767"/>
      <c r="R59" s="1767"/>
      <c r="S59" s="1767"/>
      <c r="T59" s="1767"/>
      <c r="U59" s="1767"/>
      <c r="V59" s="1767"/>
      <c r="W59" s="1767"/>
      <c r="X59" s="1767"/>
      <c r="Y59" s="1767"/>
      <c r="Z59" s="1767"/>
      <c r="AA59" s="1767"/>
      <c r="AB59" s="1767"/>
      <c r="AC59" s="1767"/>
      <c r="AD59" s="1767"/>
      <c r="AE59" s="1767"/>
      <c r="AF59" s="1767"/>
      <c r="AG59" s="1767"/>
      <c r="AH59" s="1767"/>
      <c r="AI59" s="1767"/>
      <c r="AJ59" s="1767"/>
      <c r="AK59" s="1767"/>
      <c r="AL59" s="1767"/>
      <c r="AM59" s="1767"/>
      <c r="AN59" s="1767"/>
      <c r="AO59" s="1767"/>
      <c r="AP59" s="1767"/>
      <c r="AQ59" s="1767"/>
      <c r="AR59" s="1767"/>
      <c r="AS59" s="1767"/>
      <c r="AT59" s="1767"/>
      <c r="AU59" s="1767"/>
      <c r="AV59" s="1767"/>
      <c r="AW59" s="1767"/>
      <c r="AX59" s="1767"/>
      <c r="AY59" s="1767"/>
      <c r="AZ59" s="1767"/>
      <c r="BA59" s="1767"/>
      <c r="BB59" s="1767"/>
      <c r="BC59" s="1767"/>
      <c r="BD59" s="1767"/>
      <c r="BE59" s="1767"/>
      <c r="BF59" s="1767"/>
      <c r="BG59" s="1767"/>
      <c r="BH59" s="1767"/>
      <c r="BI59" s="1767"/>
      <c r="BJ59" s="1767"/>
      <c r="BK59" s="1767"/>
      <c r="BL59" s="1767"/>
      <c r="BM59" s="1767"/>
      <c r="BN59" s="1767"/>
      <c r="BO59" s="1767"/>
      <c r="BP59" s="1767"/>
      <c r="BQ59" s="1767"/>
      <c r="BR59" s="1767"/>
      <c r="BS59" s="1767"/>
      <c r="BT59" s="1768"/>
    </row>
    <row r="60" spans="2:72" ht="15" customHeight="1" x14ac:dyDescent="0.2">
      <c r="B60" s="1766"/>
      <c r="C60" s="1767"/>
      <c r="D60" s="1767"/>
      <c r="E60" s="1767"/>
      <c r="F60" s="1767"/>
      <c r="G60" s="1767"/>
      <c r="H60" s="1767"/>
      <c r="I60" s="1767"/>
      <c r="J60" s="1767"/>
      <c r="K60" s="1767"/>
      <c r="L60" s="1767"/>
      <c r="M60" s="1767"/>
      <c r="N60" s="1767"/>
      <c r="O60" s="1767"/>
      <c r="P60" s="1767"/>
      <c r="Q60" s="1767"/>
      <c r="R60" s="1767"/>
      <c r="S60" s="1767"/>
      <c r="T60" s="1767"/>
      <c r="U60" s="1767"/>
      <c r="V60" s="1767"/>
      <c r="W60" s="1767"/>
      <c r="X60" s="1767"/>
      <c r="Y60" s="1767"/>
      <c r="Z60" s="1767"/>
      <c r="AA60" s="1767"/>
      <c r="AB60" s="1767"/>
      <c r="AC60" s="1767"/>
      <c r="AD60" s="1767"/>
      <c r="AE60" s="1767"/>
      <c r="AF60" s="1767"/>
      <c r="AG60" s="1767"/>
      <c r="AH60" s="1767"/>
      <c r="AI60" s="1767"/>
      <c r="AJ60" s="1767"/>
      <c r="AK60" s="1767"/>
      <c r="AL60" s="1767"/>
      <c r="AM60" s="1767"/>
      <c r="AN60" s="1767"/>
      <c r="AO60" s="1767"/>
      <c r="AP60" s="1767"/>
      <c r="AQ60" s="1767"/>
      <c r="AR60" s="1767"/>
      <c r="AS60" s="1767"/>
      <c r="AT60" s="1767"/>
      <c r="AU60" s="1767"/>
      <c r="AV60" s="1767"/>
      <c r="AW60" s="1767"/>
      <c r="AX60" s="1767"/>
      <c r="AY60" s="1767"/>
      <c r="AZ60" s="1767"/>
      <c r="BA60" s="1767"/>
      <c r="BB60" s="1767"/>
      <c r="BC60" s="1767"/>
      <c r="BD60" s="1767"/>
      <c r="BE60" s="1767"/>
      <c r="BF60" s="1767"/>
      <c r="BG60" s="1767"/>
      <c r="BH60" s="1767"/>
      <c r="BI60" s="1767"/>
      <c r="BJ60" s="1767"/>
      <c r="BK60" s="1767"/>
      <c r="BL60" s="1767"/>
      <c r="BM60" s="1767"/>
      <c r="BN60" s="1767"/>
      <c r="BO60" s="1767"/>
      <c r="BP60" s="1767"/>
      <c r="BQ60" s="1767"/>
      <c r="BR60" s="1767"/>
      <c r="BS60" s="1767"/>
      <c r="BT60" s="1768"/>
    </row>
    <row r="61" spans="2:72" ht="15" customHeight="1" x14ac:dyDescent="0.2">
      <c r="B61" s="1766"/>
      <c r="C61" s="1767"/>
      <c r="D61" s="1767"/>
      <c r="E61" s="1767"/>
      <c r="F61" s="1767"/>
      <c r="G61" s="1767"/>
      <c r="H61" s="1767"/>
      <c r="I61" s="1767"/>
      <c r="J61" s="1767"/>
      <c r="K61" s="1767"/>
      <c r="L61" s="1767"/>
      <c r="M61" s="1767"/>
      <c r="N61" s="1767"/>
      <c r="O61" s="1767"/>
      <c r="P61" s="1767"/>
      <c r="Q61" s="1767"/>
      <c r="R61" s="1767"/>
      <c r="S61" s="1767"/>
      <c r="T61" s="1767"/>
      <c r="U61" s="1767"/>
      <c r="V61" s="1767"/>
      <c r="W61" s="1767"/>
      <c r="X61" s="1767"/>
      <c r="Y61" s="1767"/>
      <c r="Z61" s="1767"/>
      <c r="AA61" s="1767"/>
      <c r="AB61" s="1767"/>
      <c r="AC61" s="1767"/>
      <c r="AD61" s="1767"/>
      <c r="AE61" s="1767"/>
      <c r="AF61" s="1767"/>
      <c r="AG61" s="1767"/>
      <c r="AH61" s="1767"/>
      <c r="AI61" s="1767"/>
      <c r="AJ61" s="1767"/>
      <c r="AK61" s="1767"/>
      <c r="AL61" s="1767"/>
      <c r="AM61" s="1767"/>
      <c r="AN61" s="1767"/>
      <c r="AO61" s="1767"/>
      <c r="AP61" s="1767"/>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N61" s="1767"/>
      <c r="BO61" s="1767"/>
      <c r="BP61" s="1767"/>
      <c r="BQ61" s="1767"/>
      <c r="BR61" s="1767"/>
      <c r="BS61" s="1767"/>
      <c r="BT61" s="1768"/>
    </row>
    <row r="62" spans="2:72" ht="15" customHeight="1" x14ac:dyDescent="0.2">
      <c r="B62" s="1766"/>
      <c r="C62" s="1767"/>
      <c r="D62" s="1767"/>
      <c r="E62" s="1767"/>
      <c r="F62" s="1767"/>
      <c r="G62" s="1767"/>
      <c r="H62" s="1767"/>
      <c r="I62" s="1767"/>
      <c r="J62" s="1767"/>
      <c r="K62" s="1767"/>
      <c r="L62" s="1767"/>
      <c r="M62" s="1767"/>
      <c r="N62" s="1767"/>
      <c r="O62" s="1767"/>
      <c r="P62" s="1767"/>
      <c r="Q62" s="1767"/>
      <c r="R62" s="1767"/>
      <c r="S62" s="1767"/>
      <c r="T62" s="1767"/>
      <c r="U62" s="1767"/>
      <c r="V62" s="1767"/>
      <c r="W62" s="1767"/>
      <c r="X62" s="1767"/>
      <c r="Y62" s="1767"/>
      <c r="Z62" s="1767"/>
      <c r="AA62" s="1767"/>
      <c r="AB62" s="1767"/>
      <c r="AC62" s="1767"/>
      <c r="AD62" s="1767"/>
      <c r="AE62" s="1767"/>
      <c r="AF62" s="1767"/>
      <c r="AG62" s="1767"/>
      <c r="AH62" s="1767"/>
      <c r="AI62" s="1767"/>
      <c r="AJ62" s="1767"/>
      <c r="AK62" s="1767"/>
      <c r="AL62" s="1767"/>
      <c r="AM62" s="1767"/>
      <c r="AN62" s="1767"/>
      <c r="AO62" s="1767"/>
      <c r="AP62" s="1767"/>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N62" s="1767"/>
      <c r="BO62" s="1767"/>
      <c r="BP62" s="1767"/>
      <c r="BQ62" s="1767"/>
      <c r="BR62" s="1767"/>
      <c r="BS62" s="1767"/>
      <c r="BT62" s="1768"/>
    </row>
    <row r="63" spans="2:72" ht="15" customHeight="1" x14ac:dyDescent="0.2">
      <c r="B63" s="1766"/>
      <c r="C63" s="1767"/>
      <c r="D63" s="1767"/>
      <c r="E63" s="1767"/>
      <c r="F63" s="1767"/>
      <c r="G63" s="1767"/>
      <c r="H63" s="1767"/>
      <c r="I63" s="1767"/>
      <c r="J63" s="1767"/>
      <c r="K63" s="1767"/>
      <c r="L63" s="1767"/>
      <c r="M63" s="1767"/>
      <c r="N63" s="1767"/>
      <c r="O63" s="1767"/>
      <c r="P63" s="1767"/>
      <c r="Q63" s="1767"/>
      <c r="R63" s="1767"/>
      <c r="S63" s="1767"/>
      <c r="T63" s="1767"/>
      <c r="U63" s="1767"/>
      <c r="V63" s="1767"/>
      <c r="W63" s="1767"/>
      <c r="X63" s="1767"/>
      <c r="Y63" s="1767"/>
      <c r="Z63" s="1767"/>
      <c r="AA63" s="1767"/>
      <c r="AB63" s="1767"/>
      <c r="AC63" s="1767"/>
      <c r="AD63" s="1767"/>
      <c r="AE63" s="1767"/>
      <c r="AF63" s="1767"/>
      <c r="AG63" s="1767"/>
      <c r="AH63" s="1767"/>
      <c r="AI63" s="1767"/>
      <c r="AJ63" s="1767"/>
      <c r="AK63" s="1767"/>
      <c r="AL63" s="1767"/>
      <c r="AM63" s="1767"/>
      <c r="AN63" s="1767"/>
      <c r="AO63" s="1767"/>
      <c r="AP63" s="1767"/>
      <c r="AQ63" s="1767"/>
      <c r="AR63" s="1767"/>
      <c r="AS63" s="1767"/>
      <c r="AT63" s="1767"/>
      <c r="AU63" s="1767"/>
      <c r="AV63" s="1767"/>
      <c r="AW63" s="1767"/>
      <c r="AX63" s="1767"/>
      <c r="AY63" s="1767"/>
      <c r="AZ63" s="1767"/>
      <c r="BA63" s="1767"/>
      <c r="BB63" s="1767"/>
      <c r="BC63" s="1767"/>
      <c r="BD63" s="1767"/>
      <c r="BE63" s="1767"/>
      <c r="BF63" s="1767"/>
      <c r="BG63" s="1767"/>
      <c r="BH63" s="1767"/>
      <c r="BI63" s="1767"/>
      <c r="BJ63" s="1767"/>
      <c r="BK63" s="1767"/>
      <c r="BL63" s="1767"/>
      <c r="BM63" s="1767"/>
      <c r="BN63" s="1767"/>
      <c r="BO63" s="1767"/>
      <c r="BP63" s="1767"/>
      <c r="BQ63" s="1767"/>
      <c r="BR63" s="1767"/>
      <c r="BS63" s="1767"/>
      <c r="BT63" s="1768"/>
    </row>
    <row r="64" spans="2:72" ht="15" customHeight="1" x14ac:dyDescent="0.2">
      <c r="B64" s="1766"/>
      <c r="C64" s="1767"/>
      <c r="D64" s="1767"/>
      <c r="E64" s="1767"/>
      <c r="F64" s="1767"/>
      <c r="G64" s="1767"/>
      <c r="H64" s="1767"/>
      <c r="I64" s="1767"/>
      <c r="J64" s="1767"/>
      <c r="K64" s="1767"/>
      <c r="L64" s="1767"/>
      <c r="M64" s="1767"/>
      <c r="N64" s="1767"/>
      <c r="O64" s="1767"/>
      <c r="P64" s="1767"/>
      <c r="Q64" s="1767"/>
      <c r="R64" s="1767"/>
      <c r="S64" s="1767"/>
      <c r="T64" s="1767"/>
      <c r="U64" s="1767"/>
      <c r="V64" s="1767"/>
      <c r="W64" s="1767"/>
      <c r="X64" s="1767"/>
      <c r="Y64" s="1767"/>
      <c r="Z64" s="1767"/>
      <c r="AA64" s="1767"/>
      <c r="AB64" s="1767"/>
      <c r="AC64" s="1767"/>
      <c r="AD64" s="1767"/>
      <c r="AE64" s="1767"/>
      <c r="AF64" s="1767"/>
      <c r="AG64" s="1767"/>
      <c r="AH64" s="1767"/>
      <c r="AI64" s="1767"/>
      <c r="AJ64" s="1767"/>
      <c r="AK64" s="1767"/>
      <c r="AL64" s="1767"/>
      <c r="AM64" s="1767"/>
      <c r="AN64" s="1767"/>
      <c r="AO64" s="1767"/>
      <c r="AP64" s="1767"/>
      <c r="AQ64" s="1767"/>
      <c r="AR64" s="1767"/>
      <c r="AS64" s="1767"/>
      <c r="AT64" s="1767"/>
      <c r="AU64" s="1767"/>
      <c r="AV64" s="1767"/>
      <c r="AW64" s="1767"/>
      <c r="AX64" s="1767"/>
      <c r="AY64" s="1767"/>
      <c r="AZ64" s="1767"/>
      <c r="BA64" s="1767"/>
      <c r="BB64" s="1767"/>
      <c r="BC64" s="1767"/>
      <c r="BD64" s="1767"/>
      <c r="BE64" s="1767"/>
      <c r="BF64" s="1767"/>
      <c r="BG64" s="1767"/>
      <c r="BH64" s="1767"/>
      <c r="BI64" s="1767"/>
      <c r="BJ64" s="1767"/>
      <c r="BK64" s="1767"/>
      <c r="BL64" s="1767"/>
      <c r="BM64" s="1767"/>
      <c r="BN64" s="1767"/>
      <c r="BO64" s="1767"/>
      <c r="BP64" s="1767"/>
      <c r="BQ64" s="1767"/>
      <c r="BR64" s="1767"/>
      <c r="BS64" s="1767"/>
      <c r="BT64" s="1768"/>
    </row>
    <row r="65" spans="2:72" ht="15" customHeight="1" x14ac:dyDescent="0.2">
      <c r="B65" s="1766"/>
      <c r="C65" s="1767"/>
      <c r="D65" s="1767"/>
      <c r="E65" s="1767"/>
      <c r="F65" s="1767"/>
      <c r="G65" s="1767"/>
      <c r="H65" s="1767"/>
      <c r="I65" s="1767"/>
      <c r="J65" s="1767"/>
      <c r="K65" s="1767"/>
      <c r="L65" s="1767"/>
      <c r="M65" s="1767"/>
      <c r="N65" s="1767"/>
      <c r="O65" s="1767"/>
      <c r="P65" s="1767"/>
      <c r="Q65" s="1767"/>
      <c r="R65" s="1767"/>
      <c r="S65" s="1767"/>
      <c r="T65" s="1767"/>
      <c r="U65" s="1767"/>
      <c r="V65" s="1767"/>
      <c r="W65" s="1767"/>
      <c r="X65" s="1767"/>
      <c r="Y65" s="1767"/>
      <c r="Z65" s="1767"/>
      <c r="AA65" s="1767"/>
      <c r="AB65" s="1767"/>
      <c r="AC65" s="1767"/>
      <c r="AD65" s="1767"/>
      <c r="AE65" s="1767"/>
      <c r="AF65" s="1767"/>
      <c r="AG65" s="1767"/>
      <c r="AH65" s="1767"/>
      <c r="AI65" s="1767"/>
      <c r="AJ65" s="1767"/>
      <c r="AK65" s="1767"/>
      <c r="AL65" s="1767"/>
      <c r="AM65" s="1767"/>
      <c r="AN65" s="1767"/>
      <c r="AO65" s="1767"/>
      <c r="AP65" s="1767"/>
      <c r="AQ65" s="1767"/>
      <c r="AR65" s="1767"/>
      <c r="AS65" s="1767"/>
      <c r="AT65" s="1767"/>
      <c r="AU65" s="1767"/>
      <c r="AV65" s="1767"/>
      <c r="AW65" s="1767"/>
      <c r="AX65" s="1767"/>
      <c r="AY65" s="1767"/>
      <c r="AZ65" s="1767"/>
      <c r="BA65" s="1767"/>
      <c r="BB65" s="1767"/>
      <c r="BC65" s="1767"/>
      <c r="BD65" s="1767"/>
      <c r="BE65" s="1767"/>
      <c r="BF65" s="1767"/>
      <c r="BG65" s="1767"/>
      <c r="BH65" s="1767"/>
      <c r="BI65" s="1767"/>
      <c r="BJ65" s="1767"/>
      <c r="BK65" s="1767"/>
      <c r="BL65" s="1767"/>
      <c r="BM65" s="1767"/>
      <c r="BN65" s="1767"/>
      <c r="BO65" s="1767"/>
      <c r="BP65" s="1767"/>
      <c r="BQ65" s="1767"/>
      <c r="BR65" s="1767"/>
      <c r="BS65" s="1767"/>
      <c r="BT65" s="1768"/>
    </row>
    <row r="66" spans="2:72" ht="15" customHeight="1" x14ac:dyDescent="0.2">
      <c r="B66" s="1766"/>
      <c r="C66" s="1767"/>
      <c r="D66" s="1767"/>
      <c r="E66" s="1767"/>
      <c r="F66" s="1767"/>
      <c r="G66" s="1767"/>
      <c r="H66" s="1767"/>
      <c r="I66" s="1767"/>
      <c r="J66" s="1767"/>
      <c r="K66" s="1767"/>
      <c r="L66" s="1767"/>
      <c r="M66" s="1767"/>
      <c r="N66" s="1767"/>
      <c r="O66" s="1767"/>
      <c r="P66" s="1767"/>
      <c r="Q66" s="1767"/>
      <c r="R66" s="1767"/>
      <c r="S66" s="1767"/>
      <c r="T66" s="1767"/>
      <c r="U66" s="1767"/>
      <c r="V66" s="1767"/>
      <c r="W66" s="1767"/>
      <c r="X66" s="1767"/>
      <c r="Y66" s="1767"/>
      <c r="Z66" s="1767"/>
      <c r="AA66" s="1767"/>
      <c r="AB66" s="1767"/>
      <c r="AC66" s="1767"/>
      <c r="AD66" s="1767"/>
      <c r="AE66" s="1767"/>
      <c r="AF66" s="1767"/>
      <c r="AG66" s="1767"/>
      <c r="AH66" s="1767"/>
      <c r="AI66" s="1767"/>
      <c r="AJ66" s="1767"/>
      <c r="AK66" s="1767"/>
      <c r="AL66" s="1767"/>
      <c r="AM66" s="1767"/>
      <c r="AN66" s="1767"/>
      <c r="AO66" s="1767"/>
      <c r="AP66" s="1767"/>
      <c r="AQ66" s="1767"/>
      <c r="AR66" s="1767"/>
      <c r="AS66" s="1767"/>
      <c r="AT66" s="1767"/>
      <c r="AU66" s="1767"/>
      <c r="AV66" s="1767"/>
      <c r="AW66" s="1767"/>
      <c r="AX66" s="1767"/>
      <c r="AY66" s="1767"/>
      <c r="AZ66" s="1767"/>
      <c r="BA66" s="1767"/>
      <c r="BB66" s="1767"/>
      <c r="BC66" s="1767"/>
      <c r="BD66" s="1767"/>
      <c r="BE66" s="1767"/>
      <c r="BF66" s="1767"/>
      <c r="BG66" s="1767"/>
      <c r="BH66" s="1767"/>
      <c r="BI66" s="1767"/>
      <c r="BJ66" s="1767"/>
      <c r="BK66" s="1767"/>
      <c r="BL66" s="1767"/>
      <c r="BM66" s="1767"/>
      <c r="BN66" s="1767"/>
      <c r="BO66" s="1767"/>
      <c r="BP66" s="1767"/>
      <c r="BQ66" s="1767"/>
      <c r="BR66" s="1767"/>
      <c r="BS66" s="1767"/>
      <c r="BT66" s="1768"/>
    </row>
    <row r="67" spans="2:72" ht="15" customHeight="1" x14ac:dyDescent="0.2">
      <c r="B67" s="1766"/>
      <c r="C67" s="1767"/>
      <c r="D67" s="1767"/>
      <c r="E67" s="1767"/>
      <c r="F67" s="1767"/>
      <c r="G67" s="1767"/>
      <c r="H67" s="1767"/>
      <c r="I67" s="1767"/>
      <c r="J67" s="1767"/>
      <c r="K67" s="1767"/>
      <c r="L67" s="1767"/>
      <c r="M67" s="1767"/>
      <c r="N67" s="1767"/>
      <c r="O67" s="1767"/>
      <c r="P67" s="1767"/>
      <c r="Q67" s="1767"/>
      <c r="R67" s="1767"/>
      <c r="S67" s="1767"/>
      <c r="T67" s="1767"/>
      <c r="U67" s="1767"/>
      <c r="V67" s="1767"/>
      <c r="W67" s="1767"/>
      <c r="X67" s="1767"/>
      <c r="Y67" s="1767"/>
      <c r="Z67" s="1767"/>
      <c r="AA67" s="1767"/>
      <c r="AB67" s="1767"/>
      <c r="AC67" s="1767"/>
      <c r="AD67" s="1767"/>
      <c r="AE67" s="1767"/>
      <c r="AF67" s="1767"/>
      <c r="AG67" s="1767"/>
      <c r="AH67" s="1767"/>
      <c r="AI67" s="1767"/>
      <c r="AJ67" s="1767"/>
      <c r="AK67" s="1767"/>
      <c r="AL67" s="1767"/>
      <c r="AM67" s="1767"/>
      <c r="AN67" s="1767"/>
      <c r="AO67" s="1767"/>
      <c r="AP67" s="1767"/>
      <c r="AQ67" s="1767"/>
      <c r="AR67" s="1767"/>
      <c r="AS67" s="1767"/>
      <c r="AT67" s="1767"/>
      <c r="AU67" s="1767"/>
      <c r="AV67" s="1767"/>
      <c r="AW67" s="1767"/>
      <c r="AX67" s="1767"/>
      <c r="AY67" s="1767"/>
      <c r="AZ67" s="1767"/>
      <c r="BA67" s="1767"/>
      <c r="BB67" s="1767"/>
      <c r="BC67" s="1767"/>
      <c r="BD67" s="1767"/>
      <c r="BE67" s="1767"/>
      <c r="BF67" s="1767"/>
      <c r="BG67" s="1767"/>
      <c r="BH67" s="1767"/>
      <c r="BI67" s="1767"/>
      <c r="BJ67" s="1767"/>
      <c r="BK67" s="1767"/>
      <c r="BL67" s="1767"/>
      <c r="BM67" s="1767"/>
      <c r="BN67" s="1767"/>
      <c r="BO67" s="1767"/>
      <c r="BP67" s="1767"/>
      <c r="BQ67" s="1767"/>
      <c r="BR67" s="1767"/>
      <c r="BS67" s="1767"/>
      <c r="BT67" s="1768"/>
    </row>
    <row r="68" spans="2:72" ht="15" customHeight="1" x14ac:dyDescent="0.2">
      <c r="B68" s="1766"/>
      <c r="C68" s="1767"/>
      <c r="D68" s="1767"/>
      <c r="E68" s="1767"/>
      <c r="F68" s="1767"/>
      <c r="G68" s="1767"/>
      <c r="H68" s="1767"/>
      <c r="I68" s="1767"/>
      <c r="J68" s="1767"/>
      <c r="K68" s="1767"/>
      <c r="L68" s="1767"/>
      <c r="M68" s="1767"/>
      <c r="N68" s="1767"/>
      <c r="O68" s="1767"/>
      <c r="P68" s="1767"/>
      <c r="Q68" s="1767"/>
      <c r="R68" s="1767"/>
      <c r="S68" s="1767"/>
      <c r="T68" s="1767"/>
      <c r="U68" s="1767"/>
      <c r="V68" s="1767"/>
      <c r="W68" s="1767"/>
      <c r="X68" s="1767"/>
      <c r="Y68" s="1767"/>
      <c r="Z68" s="1767"/>
      <c r="AA68" s="1767"/>
      <c r="AB68" s="1767"/>
      <c r="AC68" s="1767"/>
      <c r="AD68" s="1767"/>
      <c r="AE68" s="1767"/>
      <c r="AF68" s="1767"/>
      <c r="AG68" s="1767"/>
      <c r="AH68" s="1767"/>
      <c r="AI68" s="1767"/>
      <c r="AJ68" s="1767"/>
      <c r="AK68" s="1767"/>
      <c r="AL68" s="1767"/>
      <c r="AM68" s="1767"/>
      <c r="AN68" s="1767"/>
      <c r="AO68" s="1767"/>
      <c r="AP68" s="1767"/>
      <c r="AQ68" s="1767"/>
      <c r="AR68" s="1767"/>
      <c r="AS68" s="1767"/>
      <c r="AT68" s="1767"/>
      <c r="AU68" s="1767"/>
      <c r="AV68" s="1767"/>
      <c r="AW68" s="1767"/>
      <c r="AX68" s="1767"/>
      <c r="AY68" s="1767"/>
      <c r="AZ68" s="1767"/>
      <c r="BA68" s="1767"/>
      <c r="BB68" s="1767"/>
      <c r="BC68" s="1767"/>
      <c r="BD68" s="1767"/>
      <c r="BE68" s="1767"/>
      <c r="BF68" s="1767"/>
      <c r="BG68" s="1767"/>
      <c r="BH68" s="1767"/>
      <c r="BI68" s="1767"/>
      <c r="BJ68" s="1767"/>
      <c r="BK68" s="1767"/>
      <c r="BL68" s="1767"/>
      <c r="BM68" s="1767"/>
      <c r="BN68" s="1767"/>
      <c r="BO68" s="1767"/>
      <c r="BP68" s="1767"/>
      <c r="BQ68" s="1767"/>
      <c r="BR68" s="1767"/>
      <c r="BS68" s="1767"/>
      <c r="BT68" s="1768"/>
    </row>
    <row r="69" spans="2:72" ht="15" customHeight="1" x14ac:dyDescent="0.2">
      <c r="B69" s="1766"/>
      <c r="C69" s="1767"/>
      <c r="D69" s="1767"/>
      <c r="E69" s="1767"/>
      <c r="F69" s="1767"/>
      <c r="G69" s="1767"/>
      <c r="H69" s="1767"/>
      <c r="I69" s="1767"/>
      <c r="J69" s="1767"/>
      <c r="K69" s="1767"/>
      <c r="L69" s="1767"/>
      <c r="M69" s="1767"/>
      <c r="N69" s="1767"/>
      <c r="O69" s="1767"/>
      <c r="P69" s="1767"/>
      <c r="Q69" s="1767"/>
      <c r="R69" s="1767"/>
      <c r="S69" s="1767"/>
      <c r="T69" s="1767"/>
      <c r="U69" s="1767"/>
      <c r="V69" s="1767"/>
      <c r="W69" s="1767"/>
      <c r="X69" s="1767"/>
      <c r="Y69" s="1767"/>
      <c r="Z69" s="1767"/>
      <c r="AA69" s="1767"/>
      <c r="AB69" s="1767"/>
      <c r="AC69" s="1767"/>
      <c r="AD69" s="1767"/>
      <c r="AE69" s="1767"/>
      <c r="AF69" s="1767"/>
      <c r="AG69" s="1767"/>
      <c r="AH69" s="1767"/>
      <c r="AI69" s="1767"/>
      <c r="AJ69" s="1767"/>
      <c r="AK69" s="1767"/>
      <c r="AL69" s="1767"/>
      <c r="AM69" s="1767"/>
      <c r="AN69" s="1767"/>
      <c r="AO69" s="1767"/>
      <c r="AP69" s="1767"/>
      <c r="AQ69" s="1767"/>
      <c r="AR69" s="1767"/>
      <c r="AS69" s="1767"/>
      <c r="AT69" s="1767"/>
      <c r="AU69" s="1767"/>
      <c r="AV69" s="1767"/>
      <c r="AW69" s="1767"/>
      <c r="AX69" s="1767"/>
      <c r="AY69" s="1767"/>
      <c r="AZ69" s="1767"/>
      <c r="BA69" s="1767"/>
      <c r="BB69" s="1767"/>
      <c r="BC69" s="1767"/>
      <c r="BD69" s="1767"/>
      <c r="BE69" s="1767"/>
      <c r="BF69" s="1767"/>
      <c r="BG69" s="1767"/>
      <c r="BH69" s="1767"/>
      <c r="BI69" s="1767"/>
      <c r="BJ69" s="1767"/>
      <c r="BK69" s="1767"/>
      <c r="BL69" s="1767"/>
      <c r="BM69" s="1767"/>
      <c r="BN69" s="1767"/>
      <c r="BO69" s="1767"/>
      <c r="BP69" s="1767"/>
      <c r="BQ69" s="1767"/>
      <c r="BR69" s="1767"/>
      <c r="BS69" s="1767"/>
      <c r="BT69" s="1768"/>
    </row>
    <row r="70" spans="2:72" ht="15" customHeight="1" x14ac:dyDescent="0.2">
      <c r="B70" s="1766"/>
      <c r="C70" s="1767"/>
      <c r="D70" s="1767"/>
      <c r="E70" s="1767"/>
      <c r="F70" s="1767"/>
      <c r="G70" s="1767"/>
      <c r="H70" s="1767"/>
      <c r="I70" s="1767"/>
      <c r="J70" s="1767"/>
      <c r="K70" s="1767"/>
      <c r="L70" s="1767"/>
      <c r="M70" s="1767"/>
      <c r="N70" s="1767"/>
      <c r="O70" s="1767"/>
      <c r="P70" s="1767"/>
      <c r="Q70" s="1767"/>
      <c r="R70" s="1767"/>
      <c r="S70" s="1767"/>
      <c r="T70" s="1767"/>
      <c r="U70" s="1767"/>
      <c r="V70" s="1767"/>
      <c r="W70" s="1767"/>
      <c r="X70" s="1767"/>
      <c r="Y70" s="1767"/>
      <c r="Z70" s="1767"/>
      <c r="AA70" s="1767"/>
      <c r="AB70" s="1767"/>
      <c r="AC70" s="1767"/>
      <c r="AD70" s="1767"/>
      <c r="AE70" s="1767"/>
      <c r="AF70" s="1767"/>
      <c r="AG70" s="1767"/>
      <c r="AH70" s="1767"/>
      <c r="AI70" s="1767"/>
      <c r="AJ70" s="1767"/>
      <c r="AK70" s="1767"/>
      <c r="AL70" s="1767"/>
      <c r="AM70" s="1767"/>
      <c r="AN70" s="1767"/>
      <c r="AO70" s="1767"/>
      <c r="AP70" s="1767"/>
      <c r="AQ70" s="1767"/>
      <c r="AR70" s="1767"/>
      <c r="AS70" s="1767"/>
      <c r="AT70" s="1767"/>
      <c r="AU70" s="1767"/>
      <c r="AV70" s="1767"/>
      <c r="AW70" s="1767"/>
      <c r="AX70" s="1767"/>
      <c r="AY70" s="1767"/>
      <c r="AZ70" s="1767"/>
      <c r="BA70" s="1767"/>
      <c r="BB70" s="1767"/>
      <c r="BC70" s="1767"/>
      <c r="BD70" s="1767"/>
      <c r="BE70" s="1767"/>
      <c r="BF70" s="1767"/>
      <c r="BG70" s="1767"/>
      <c r="BH70" s="1767"/>
      <c r="BI70" s="1767"/>
      <c r="BJ70" s="1767"/>
      <c r="BK70" s="1767"/>
      <c r="BL70" s="1767"/>
      <c r="BM70" s="1767"/>
      <c r="BN70" s="1767"/>
      <c r="BO70" s="1767"/>
      <c r="BP70" s="1767"/>
      <c r="BQ70" s="1767"/>
      <c r="BR70" s="1767"/>
      <c r="BS70" s="1767"/>
      <c r="BT70" s="1768"/>
    </row>
    <row r="71" spans="2:72" ht="15" customHeight="1" x14ac:dyDescent="0.2">
      <c r="B71" s="1766"/>
      <c r="C71" s="1767"/>
      <c r="D71" s="1767"/>
      <c r="E71" s="1767"/>
      <c r="F71" s="1767"/>
      <c r="G71" s="1767"/>
      <c r="H71" s="1767"/>
      <c r="I71" s="1767"/>
      <c r="J71" s="1767"/>
      <c r="K71" s="1767"/>
      <c r="L71" s="1767"/>
      <c r="M71" s="1767"/>
      <c r="N71" s="1767"/>
      <c r="O71" s="1767"/>
      <c r="P71" s="1767"/>
      <c r="Q71" s="1767"/>
      <c r="R71" s="1767"/>
      <c r="S71" s="1767"/>
      <c r="T71" s="1767"/>
      <c r="U71" s="1767"/>
      <c r="V71" s="1767"/>
      <c r="W71" s="1767"/>
      <c r="X71" s="1767"/>
      <c r="Y71" s="1767"/>
      <c r="Z71" s="1767"/>
      <c r="AA71" s="1767"/>
      <c r="AB71" s="1767"/>
      <c r="AC71" s="1767"/>
      <c r="AD71" s="1767"/>
      <c r="AE71" s="1767"/>
      <c r="AF71" s="1767"/>
      <c r="AG71" s="1767"/>
      <c r="AH71" s="1767"/>
      <c r="AI71" s="1767"/>
      <c r="AJ71" s="1767"/>
      <c r="AK71" s="1767"/>
      <c r="AL71" s="1767"/>
      <c r="AM71" s="1767"/>
      <c r="AN71" s="1767"/>
      <c r="AO71" s="1767"/>
      <c r="AP71" s="1767"/>
      <c r="AQ71" s="1767"/>
      <c r="AR71" s="1767"/>
      <c r="AS71" s="1767"/>
      <c r="AT71" s="1767"/>
      <c r="AU71" s="1767"/>
      <c r="AV71" s="1767"/>
      <c r="AW71" s="1767"/>
      <c r="AX71" s="1767"/>
      <c r="AY71" s="1767"/>
      <c r="AZ71" s="1767"/>
      <c r="BA71" s="1767"/>
      <c r="BB71" s="1767"/>
      <c r="BC71" s="1767"/>
      <c r="BD71" s="1767"/>
      <c r="BE71" s="1767"/>
      <c r="BF71" s="1767"/>
      <c r="BG71" s="1767"/>
      <c r="BH71" s="1767"/>
      <c r="BI71" s="1767"/>
      <c r="BJ71" s="1767"/>
      <c r="BK71" s="1767"/>
      <c r="BL71" s="1767"/>
      <c r="BM71" s="1767"/>
      <c r="BN71" s="1767"/>
      <c r="BO71" s="1767"/>
      <c r="BP71" s="1767"/>
      <c r="BQ71" s="1767"/>
      <c r="BR71" s="1767"/>
      <c r="BS71" s="1767"/>
      <c r="BT71" s="1768"/>
    </row>
    <row r="72" spans="2:72" ht="15" customHeight="1" x14ac:dyDescent="0.2">
      <c r="B72" s="1766"/>
      <c r="C72" s="1767"/>
      <c r="D72" s="1767"/>
      <c r="E72" s="1767"/>
      <c r="F72" s="1767"/>
      <c r="G72" s="1767"/>
      <c r="H72" s="1767"/>
      <c r="I72" s="1767"/>
      <c r="J72" s="1767"/>
      <c r="K72" s="1767"/>
      <c r="L72" s="1767"/>
      <c r="M72" s="1767"/>
      <c r="N72" s="1767"/>
      <c r="O72" s="1767"/>
      <c r="P72" s="1767"/>
      <c r="Q72" s="1767"/>
      <c r="R72" s="1767"/>
      <c r="S72" s="1767"/>
      <c r="T72" s="1767"/>
      <c r="U72" s="1767"/>
      <c r="V72" s="1767"/>
      <c r="W72" s="1767"/>
      <c r="X72" s="1767"/>
      <c r="Y72" s="1767"/>
      <c r="Z72" s="1767"/>
      <c r="AA72" s="1767"/>
      <c r="AB72" s="1767"/>
      <c r="AC72" s="1767"/>
      <c r="AD72" s="1767"/>
      <c r="AE72" s="1767"/>
      <c r="AF72" s="1767"/>
      <c r="AG72" s="1767"/>
      <c r="AH72" s="1767"/>
      <c r="AI72" s="1767"/>
      <c r="AJ72" s="1767"/>
      <c r="AK72" s="1767"/>
      <c r="AL72" s="1767"/>
      <c r="AM72" s="1767"/>
      <c r="AN72" s="1767"/>
      <c r="AO72" s="1767"/>
      <c r="AP72" s="1767"/>
      <c r="AQ72" s="1767"/>
      <c r="AR72" s="1767"/>
      <c r="AS72" s="1767"/>
      <c r="AT72" s="1767"/>
      <c r="AU72" s="1767"/>
      <c r="AV72" s="1767"/>
      <c r="AW72" s="1767"/>
      <c r="AX72" s="1767"/>
      <c r="AY72" s="1767"/>
      <c r="AZ72" s="1767"/>
      <c r="BA72" s="1767"/>
      <c r="BB72" s="1767"/>
      <c r="BC72" s="1767"/>
      <c r="BD72" s="1767"/>
      <c r="BE72" s="1767"/>
      <c r="BF72" s="1767"/>
      <c r="BG72" s="1767"/>
      <c r="BH72" s="1767"/>
      <c r="BI72" s="1767"/>
      <c r="BJ72" s="1767"/>
      <c r="BK72" s="1767"/>
      <c r="BL72" s="1767"/>
      <c r="BM72" s="1767"/>
      <c r="BN72" s="1767"/>
      <c r="BO72" s="1767"/>
      <c r="BP72" s="1767"/>
      <c r="BQ72" s="1767"/>
      <c r="BR72" s="1767"/>
      <c r="BS72" s="1767"/>
      <c r="BT72" s="1768"/>
    </row>
    <row r="73" spans="2:72" ht="15" customHeight="1" x14ac:dyDescent="0.2">
      <c r="B73" s="1766"/>
      <c r="C73" s="1767"/>
      <c r="D73" s="1767"/>
      <c r="E73" s="1767"/>
      <c r="F73" s="1767"/>
      <c r="G73" s="1767"/>
      <c r="H73" s="1767"/>
      <c r="I73" s="1767"/>
      <c r="J73" s="1767"/>
      <c r="K73" s="1767"/>
      <c r="L73" s="1767"/>
      <c r="M73" s="1767"/>
      <c r="N73" s="1767"/>
      <c r="O73" s="1767"/>
      <c r="P73" s="1767"/>
      <c r="Q73" s="1767"/>
      <c r="R73" s="1767"/>
      <c r="S73" s="1767"/>
      <c r="T73" s="1767"/>
      <c r="U73" s="1767"/>
      <c r="V73" s="1767"/>
      <c r="W73" s="1767"/>
      <c r="X73" s="1767"/>
      <c r="Y73" s="1767"/>
      <c r="Z73" s="1767"/>
      <c r="AA73" s="1767"/>
      <c r="AB73" s="1767"/>
      <c r="AC73" s="1767"/>
      <c r="AD73" s="1767"/>
      <c r="AE73" s="1767"/>
      <c r="AF73" s="1767"/>
      <c r="AG73" s="1767"/>
      <c r="AH73" s="1767"/>
      <c r="AI73" s="1767"/>
      <c r="AJ73" s="1767"/>
      <c r="AK73" s="1767"/>
      <c r="AL73" s="1767"/>
      <c r="AM73" s="1767"/>
      <c r="AN73" s="1767"/>
      <c r="AO73" s="1767"/>
      <c r="AP73" s="1767"/>
      <c r="AQ73" s="1767"/>
      <c r="AR73" s="1767"/>
      <c r="AS73" s="1767"/>
      <c r="AT73" s="1767"/>
      <c r="AU73" s="1767"/>
      <c r="AV73" s="1767"/>
      <c r="AW73" s="1767"/>
      <c r="AX73" s="1767"/>
      <c r="AY73" s="1767"/>
      <c r="AZ73" s="1767"/>
      <c r="BA73" s="1767"/>
      <c r="BB73" s="1767"/>
      <c r="BC73" s="1767"/>
      <c r="BD73" s="1767"/>
      <c r="BE73" s="1767"/>
      <c r="BF73" s="1767"/>
      <c r="BG73" s="1767"/>
      <c r="BH73" s="1767"/>
      <c r="BI73" s="1767"/>
      <c r="BJ73" s="1767"/>
      <c r="BK73" s="1767"/>
      <c r="BL73" s="1767"/>
      <c r="BM73" s="1767"/>
      <c r="BN73" s="1767"/>
      <c r="BO73" s="1767"/>
      <c r="BP73" s="1767"/>
      <c r="BQ73" s="1767"/>
      <c r="BR73" s="1767"/>
      <c r="BS73" s="1767"/>
      <c r="BT73" s="1768"/>
    </row>
    <row r="74" spans="2:72" ht="15" customHeight="1" x14ac:dyDescent="0.2">
      <c r="B74" s="1766"/>
      <c r="C74" s="1767"/>
      <c r="D74" s="1767"/>
      <c r="E74" s="1767"/>
      <c r="F74" s="1767"/>
      <c r="G74" s="1767"/>
      <c r="H74" s="1767"/>
      <c r="I74" s="1767"/>
      <c r="J74" s="1767"/>
      <c r="K74" s="1767"/>
      <c r="L74" s="1767"/>
      <c r="M74" s="1767"/>
      <c r="N74" s="1767"/>
      <c r="O74" s="1767"/>
      <c r="P74" s="1767"/>
      <c r="Q74" s="1767"/>
      <c r="R74" s="1767"/>
      <c r="S74" s="1767"/>
      <c r="T74" s="1767"/>
      <c r="U74" s="1767"/>
      <c r="V74" s="1767"/>
      <c r="W74" s="1767"/>
      <c r="X74" s="1767"/>
      <c r="Y74" s="1767"/>
      <c r="Z74" s="1767"/>
      <c r="AA74" s="1767"/>
      <c r="AB74" s="1767"/>
      <c r="AC74" s="1767"/>
      <c r="AD74" s="1767"/>
      <c r="AE74" s="1767"/>
      <c r="AF74" s="1767"/>
      <c r="AG74" s="1767"/>
      <c r="AH74" s="1767"/>
      <c r="AI74" s="1767"/>
      <c r="AJ74" s="1767"/>
      <c r="AK74" s="1767"/>
      <c r="AL74" s="1767"/>
      <c r="AM74" s="1767"/>
      <c r="AN74" s="1767"/>
      <c r="AO74" s="1767"/>
      <c r="AP74" s="1767"/>
      <c r="AQ74" s="1767"/>
      <c r="AR74" s="1767"/>
      <c r="AS74" s="1767"/>
      <c r="AT74" s="1767"/>
      <c r="AU74" s="1767"/>
      <c r="AV74" s="1767"/>
      <c r="AW74" s="1767"/>
      <c r="AX74" s="1767"/>
      <c r="AY74" s="1767"/>
      <c r="AZ74" s="1767"/>
      <c r="BA74" s="1767"/>
      <c r="BB74" s="1767"/>
      <c r="BC74" s="1767"/>
      <c r="BD74" s="1767"/>
      <c r="BE74" s="1767"/>
      <c r="BF74" s="1767"/>
      <c r="BG74" s="1767"/>
      <c r="BH74" s="1767"/>
      <c r="BI74" s="1767"/>
      <c r="BJ74" s="1767"/>
      <c r="BK74" s="1767"/>
      <c r="BL74" s="1767"/>
      <c r="BM74" s="1767"/>
      <c r="BN74" s="1767"/>
      <c r="BO74" s="1767"/>
      <c r="BP74" s="1767"/>
      <c r="BQ74" s="1767"/>
      <c r="BR74" s="1767"/>
      <c r="BS74" s="1767"/>
      <c r="BT74" s="1768"/>
    </row>
    <row r="75" spans="2:72" ht="15" customHeight="1" x14ac:dyDescent="0.2">
      <c r="B75" s="1766"/>
      <c r="C75" s="1767"/>
      <c r="D75" s="1767"/>
      <c r="E75" s="1767"/>
      <c r="F75" s="1767"/>
      <c r="G75" s="1767"/>
      <c r="H75" s="1767"/>
      <c r="I75" s="1767"/>
      <c r="J75" s="1767"/>
      <c r="K75" s="1767"/>
      <c r="L75" s="1767"/>
      <c r="M75" s="1767"/>
      <c r="N75" s="1767"/>
      <c r="O75" s="1767"/>
      <c r="P75" s="1767"/>
      <c r="Q75" s="1767"/>
      <c r="R75" s="1767"/>
      <c r="S75" s="1767"/>
      <c r="T75" s="1767"/>
      <c r="U75" s="1767"/>
      <c r="V75" s="1767"/>
      <c r="W75" s="1767"/>
      <c r="X75" s="1767"/>
      <c r="Y75" s="1767"/>
      <c r="Z75" s="1767"/>
      <c r="AA75" s="1767"/>
      <c r="AB75" s="1767"/>
      <c r="AC75" s="1767"/>
      <c r="AD75" s="1767"/>
      <c r="AE75" s="1767"/>
      <c r="AF75" s="1767"/>
      <c r="AG75" s="1767"/>
      <c r="AH75" s="1767"/>
      <c r="AI75" s="1767"/>
      <c r="AJ75" s="1767"/>
      <c r="AK75" s="1767"/>
      <c r="AL75" s="1767"/>
      <c r="AM75" s="1767"/>
      <c r="AN75" s="1767"/>
      <c r="AO75" s="1767"/>
      <c r="AP75" s="1767"/>
      <c r="AQ75" s="1767"/>
      <c r="AR75" s="1767"/>
      <c r="AS75" s="1767"/>
      <c r="AT75" s="1767"/>
      <c r="AU75" s="1767"/>
      <c r="AV75" s="1767"/>
      <c r="AW75" s="1767"/>
      <c r="AX75" s="1767"/>
      <c r="AY75" s="1767"/>
      <c r="AZ75" s="1767"/>
      <c r="BA75" s="1767"/>
      <c r="BB75" s="1767"/>
      <c r="BC75" s="1767"/>
      <c r="BD75" s="1767"/>
      <c r="BE75" s="1767"/>
      <c r="BF75" s="1767"/>
      <c r="BG75" s="1767"/>
      <c r="BH75" s="1767"/>
      <c r="BI75" s="1767"/>
      <c r="BJ75" s="1767"/>
      <c r="BK75" s="1767"/>
      <c r="BL75" s="1767"/>
      <c r="BM75" s="1767"/>
      <c r="BN75" s="1767"/>
      <c r="BO75" s="1767"/>
      <c r="BP75" s="1767"/>
      <c r="BQ75" s="1767"/>
      <c r="BR75" s="1767"/>
      <c r="BS75" s="1767"/>
      <c r="BT75" s="1768"/>
    </row>
    <row r="76" spans="2:72" ht="15" customHeight="1" x14ac:dyDescent="0.2">
      <c r="B76" s="1766"/>
      <c r="C76" s="1767"/>
      <c r="D76" s="1767"/>
      <c r="E76" s="1767"/>
      <c r="F76" s="1767"/>
      <c r="G76" s="1767"/>
      <c r="H76" s="1767"/>
      <c r="I76" s="1767"/>
      <c r="J76" s="1767"/>
      <c r="K76" s="1767"/>
      <c r="L76" s="1767"/>
      <c r="M76" s="1767"/>
      <c r="N76" s="1767"/>
      <c r="O76" s="1767"/>
      <c r="P76" s="1767"/>
      <c r="Q76" s="1767"/>
      <c r="R76" s="1767"/>
      <c r="S76" s="1767"/>
      <c r="T76" s="1767"/>
      <c r="U76" s="1767"/>
      <c r="V76" s="1767"/>
      <c r="W76" s="1767"/>
      <c r="X76" s="1767"/>
      <c r="Y76" s="1767"/>
      <c r="Z76" s="1767"/>
      <c r="AA76" s="1767"/>
      <c r="AB76" s="1767"/>
      <c r="AC76" s="1767"/>
      <c r="AD76" s="1767"/>
      <c r="AE76" s="1767"/>
      <c r="AF76" s="1767"/>
      <c r="AG76" s="1767"/>
      <c r="AH76" s="1767"/>
      <c r="AI76" s="1767"/>
      <c r="AJ76" s="1767"/>
      <c r="AK76" s="1767"/>
      <c r="AL76" s="1767"/>
      <c r="AM76" s="1767"/>
      <c r="AN76" s="1767"/>
      <c r="AO76" s="1767"/>
      <c r="AP76" s="1767"/>
      <c r="AQ76" s="1767"/>
      <c r="AR76" s="1767"/>
      <c r="AS76" s="1767"/>
      <c r="AT76" s="1767"/>
      <c r="AU76" s="1767"/>
      <c r="AV76" s="1767"/>
      <c r="AW76" s="1767"/>
      <c r="AX76" s="1767"/>
      <c r="AY76" s="1767"/>
      <c r="AZ76" s="1767"/>
      <c r="BA76" s="1767"/>
      <c r="BB76" s="1767"/>
      <c r="BC76" s="1767"/>
      <c r="BD76" s="1767"/>
      <c r="BE76" s="1767"/>
      <c r="BF76" s="1767"/>
      <c r="BG76" s="1767"/>
      <c r="BH76" s="1767"/>
      <c r="BI76" s="1767"/>
      <c r="BJ76" s="1767"/>
      <c r="BK76" s="1767"/>
      <c r="BL76" s="1767"/>
      <c r="BM76" s="1767"/>
      <c r="BN76" s="1767"/>
      <c r="BO76" s="1767"/>
      <c r="BP76" s="1767"/>
      <c r="BQ76" s="1767"/>
      <c r="BR76" s="1767"/>
      <c r="BS76" s="1767"/>
      <c r="BT76" s="1768"/>
    </row>
    <row r="77" spans="2:72" ht="15" customHeight="1" x14ac:dyDescent="0.2">
      <c r="B77" s="1766"/>
      <c r="C77" s="1767"/>
      <c r="D77" s="1767"/>
      <c r="E77" s="1767"/>
      <c r="F77" s="1767"/>
      <c r="G77" s="1767"/>
      <c r="H77" s="1767"/>
      <c r="I77" s="1767"/>
      <c r="J77" s="1767"/>
      <c r="K77" s="1767"/>
      <c r="L77" s="1767"/>
      <c r="M77" s="1767"/>
      <c r="N77" s="1767"/>
      <c r="O77" s="1767"/>
      <c r="P77" s="1767"/>
      <c r="Q77" s="1767"/>
      <c r="R77" s="1767"/>
      <c r="S77" s="1767"/>
      <c r="T77" s="1767"/>
      <c r="U77" s="1767"/>
      <c r="V77" s="1767"/>
      <c r="W77" s="1767"/>
      <c r="X77" s="1767"/>
      <c r="Y77" s="1767"/>
      <c r="Z77" s="1767"/>
      <c r="AA77" s="1767"/>
      <c r="AB77" s="1767"/>
      <c r="AC77" s="1767"/>
      <c r="AD77" s="1767"/>
      <c r="AE77" s="1767"/>
      <c r="AF77" s="1767"/>
      <c r="AG77" s="1767"/>
      <c r="AH77" s="1767"/>
      <c r="AI77" s="1767"/>
      <c r="AJ77" s="1767"/>
      <c r="AK77" s="1767"/>
      <c r="AL77" s="1767"/>
      <c r="AM77" s="1767"/>
      <c r="AN77" s="1767"/>
      <c r="AO77" s="1767"/>
      <c r="AP77" s="1767"/>
      <c r="AQ77" s="1767"/>
      <c r="AR77" s="1767"/>
      <c r="AS77" s="1767"/>
      <c r="AT77" s="1767"/>
      <c r="AU77" s="1767"/>
      <c r="AV77" s="1767"/>
      <c r="AW77" s="1767"/>
      <c r="AX77" s="1767"/>
      <c r="AY77" s="1767"/>
      <c r="AZ77" s="1767"/>
      <c r="BA77" s="1767"/>
      <c r="BB77" s="1767"/>
      <c r="BC77" s="1767"/>
      <c r="BD77" s="1767"/>
      <c r="BE77" s="1767"/>
      <c r="BF77" s="1767"/>
      <c r="BG77" s="1767"/>
      <c r="BH77" s="1767"/>
      <c r="BI77" s="1767"/>
      <c r="BJ77" s="1767"/>
      <c r="BK77" s="1767"/>
      <c r="BL77" s="1767"/>
      <c r="BM77" s="1767"/>
      <c r="BN77" s="1767"/>
      <c r="BO77" s="1767"/>
      <c r="BP77" s="1767"/>
      <c r="BQ77" s="1767"/>
      <c r="BR77" s="1767"/>
      <c r="BS77" s="1767"/>
      <c r="BT77" s="1768"/>
    </row>
    <row r="78" spans="2:72" ht="15" customHeight="1" x14ac:dyDescent="0.2">
      <c r="B78" s="1766"/>
      <c r="C78" s="1767"/>
      <c r="D78" s="1767"/>
      <c r="E78" s="1767"/>
      <c r="F78" s="1767"/>
      <c r="G78" s="1767"/>
      <c r="H78" s="1767"/>
      <c r="I78" s="1767"/>
      <c r="J78" s="1767"/>
      <c r="K78" s="1767"/>
      <c r="L78" s="1767"/>
      <c r="M78" s="1767"/>
      <c r="N78" s="1767"/>
      <c r="O78" s="1767"/>
      <c r="P78" s="1767"/>
      <c r="Q78" s="1767"/>
      <c r="R78" s="1767"/>
      <c r="S78" s="1767"/>
      <c r="T78" s="1767"/>
      <c r="U78" s="1767"/>
      <c r="V78" s="1767"/>
      <c r="W78" s="1767"/>
      <c r="X78" s="1767"/>
      <c r="Y78" s="1767"/>
      <c r="Z78" s="1767"/>
      <c r="AA78" s="1767"/>
      <c r="AB78" s="1767"/>
      <c r="AC78" s="1767"/>
      <c r="AD78" s="1767"/>
      <c r="AE78" s="1767"/>
      <c r="AF78" s="1767"/>
      <c r="AG78" s="1767"/>
      <c r="AH78" s="1767"/>
      <c r="AI78" s="1767"/>
      <c r="AJ78" s="1767"/>
      <c r="AK78" s="1767"/>
      <c r="AL78" s="1767"/>
      <c r="AM78" s="1767"/>
      <c r="AN78" s="1767"/>
      <c r="AO78" s="1767"/>
      <c r="AP78" s="1767"/>
      <c r="AQ78" s="1767"/>
      <c r="AR78" s="1767"/>
      <c r="AS78" s="1767"/>
      <c r="AT78" s="1767"/>
      <c r="AU78" s="1767"/>
      <c r="AV78" s="1767"/>
      <c r="AW78" s="1767"/>
      <c r="AX78" s="1767"/>
      <c r="AY78" s="1767"/>
      <c r="AZ78" s="1767"/>
      <c r="BA78" s="1767"/>
      <c r="BB78" s="1767"/>
      <c r="BC78" s="1767"/>
      <c r="BD78" s="1767"/>
      <c r="BE78" s="1767"/>
      <c r="BF78" s="1767"/>
      <c r="BG78" s="1767"/>
      <c r="BH78" s="1767"/>
      <c r="BI78" s="1767"/>
      <c r="BJ78" s="1767"/>
      <c r="BK78" s="1767"/>
      <c r="BL78" s="1767"/>
      <c r="BM78" s="1767"/>
      <c r="BN78" s="1767"/>
      <c r="BO78" s="1767"/>
      <c r="BP78" s="1767"/>
      <c r="BQ78" s="1767"/>
      <c r="BR78" s="1767"/>
      <c r="BS78" s="1767"/>
      <c r="BT78" s="1768"/>
    </row>
    <row r="79" spans="2:72" ht="15" customHeight="1" x14ac:dyDescent="0.2">
      <c r="B79" s="1766"/>
      <c r="C79" s="1767"/>
      <c r="D79" s="1767"/>
      <c r="E79" s="1767"/>
      <c r="F79" s="1767"/>
      <c r="G79" s="1767"/>
      <c r="H79" s="1767"/>
      <c r="I79" s="1767"/>
      <c r="J79" s="1767"/>
      <c r="K79" s="1767"/>
      <c r="L79" s="1767"/>
      <c r="M79" s="1767"/>
      <c r="N79" s="1767"/>
      <c r="O79" s="1767"/>
      <c r="P79" s="1767"/>
      <c r="Q79" s="1767"/>
      <c r="R79" s="1767"/>
      <c r="S79" s="1767"/>
      <c r="T79" s="1767"/>
      <c r="U79" s="1767"/>
      <c r="V79" s="1767"/>
      <c r="W79" s="1767"/>
      <c r="X79" s="1767"/>
      <c r="Y79" s="1767"/>
      <c r="Z79" s="1767"/>
      <c r="AA79" s="1767"/>
      <c r="AB79" s="1767"/>
      <c r="AC79" s="1767"/>
      <c r="AD79" s="1767"/>
      <c r="AE79" s="1767"/>
      <c r="AF79" s="1767"/>
      <c r="AG79" s="1767"/>
      <c r="AH79" s="1767"/>
      <c r="AI79" s="1767"/>
      <c r="AJ79" s="1767"/>
      <c r="AK79" s="1767"/>
      <c r="AL79" s="1767"/>
      <c r="AM79" s="1767"/>
      <c r="AN79" s="1767"/>
      <c r="AO79" s="1767"/>
      <c r="AP79" s="1767"/>
      <c r="AQ79" s="1767"/>
      <c r="AR79" s="1767"/>
      <c r="AS79" s="1767"/>
      <c r="AT79" s="1767"/>
      <c r="AU79" s="1767"/>
      <c r="AV79" s="1767"/>
      <c r="AW79" s="1767"/>
      <c r="AX79" s="1767"/>
      <c r="AY79" s="1767"/>
      <c r="AZ79" s="1767"/>
      <c r="BA79" s="1767"/>
      <c r="BB79" s="1767"/>
      <c r="BC79" s="1767"/>
      <c r="BD79" s="1767"/>
      <c r="BE79" s="1767"/>
      <c r="BF79" s="1767"/>
      <c r="BG79" s="1767"/>
      <c r="BH79" s="1767"/>
      <c r="BI79" s="1767"/>
      <c r="BJ79" s="1767"/>
      <c r="BK79" s="1767"/>
      <c r="BL79" s="1767"/>
      <c r="BM79" s="1767"/>
      <c r="BN79" s="1767"/>
      <c r="BO79" s="1767"/>
      <c r="BP79" s="1767"/>
      <c r="BQ79" s="1767"/>
      <c r="BR79" s="1767"/>
      <c r="BS79" s="1767"/>
      <c r="BT79" s="1768"/>
    </row>
    <row r="80" spans="2:72" ht="15" customHeight="1" x14ac:dyDescent="0.2">
      <c r="B80" s="1766"/>
      <c r="C80" s="1767"/>
      <c r="D80" s="1767"/>
      <c r="E80" s="1767"/>
      <c r="F80" s="1767"/>
      <c r="G80" s="1767"/>
      <c r="H80" s="1767"/>
      <c r="I80" s="1767"/>
      <c r="J80" s="1767"/>
      <c r="K80" s="1767"/>
      <c r="L80" s="1767"/>
      <c r="M80" s="1767"/>
      <c r="N80" s="1767"/>
      <c r="O80" s="1767"/>
      <c r="P80" s="1767"/>
      <c r="Q80" s="1767"/>
      <c r="R80" s="1767"/>
      <c r="S80" s="1767"/>
      <c r="T80" s="1767"/>
      <c r="U80" s="1767"/>
      <c r="V80" s="1767"/>
      <c r="W80" s="1767"/>
      <c r="X80" s="1767"/>
      <c r="Y80" s="1767"/>
      <c r="Z80" s="1767"/>
      <c r="AA80" s="1767"/>
      <c r="AB80" s="1767"/>
      <c r="AC80" s="1767"/>
      <c r="AD80" s="1767"/>
      <c r="AE80" s="1767"/>
      <c r="AF80" s="1767"/>
      <c r="AG80" s="1767"/>
      <c r="AH80" s="1767"/>
      <c r="AI80" s="1767"/>
      <c r="AJ80" s="1767"/>
      <c r="AK80" s="1767"/>
      <c r="AL80" s="1767"/>
      <c r="AM80" s="1767"/>
      <c r="AN80" s="1767"/>
      <c r="AO80" s="1767"/>
      <c r="AP80" s="1767"/>
      <c r="AQ80" s="1767"/>
      <c r="AR80" s="1767"/>
      <c r="AS80" s="1767"/>
      <c r="AT80" s="1767"/>
      <c r="AU80" s="1767"/>
      <c r="AV80" s="1767"/>
      <c r="AW80" s="1767"/>
      <c r="AX80" s="1767"/>
      <c r="AY80" s="1767"/>
      <c r="AZ80" s="1767"/>
      <c r="BA80" s="1767"/>
      <c r="BB80" s="1767"/>
      <c r="BC80" s="1767"/>
      <c r="BD80" s="1767"/>
      <c r="BE80" s="1767"/>
      <c r="BF80" s="1767"/>
      <c r="BG80" s="1767"/>
      <c r="BH80" s="1767"/>
      <c r="BI80" s="1767"/>
      <c r="BJ80" s="1767"/>
      <c r="BK80" s="1767"/>
      <c r="BL80" s="1767"/>
      <c r="BM80" s="1767"/>
      <c r="BN80" s="1767"/>
      <c r="BO80" s="1767"/>
      <c r="BP80" s="1767"/>
      <c r="BQ80" s="1767"/>
      <c r="BR80" s="1767"/>
      <c r="BS80" s="1767"/>
      <c r="BT80" s="1768"/>
    </row>
    <row r="81" spans="2:72" ht="15" customHeight="1" x14ac:dyDescent="0.2">
      <c r="B81" s="1766"/>
      <c r="C81" s="1767"/>
      <c r="D81" s="1767"/>
      <c r="E81" s="1767"/>
      <c r="F81" s="1767"/>
      <c r="G81" s="1767"/>
      <c r="H81" s="1767"/>
      <c r="I81" s="1767"/>
      <c r="J81" s="1767"/>
      <c r="K81" s="1767"/>
      <c r="L81" s="1767"/>
      <c r="M81" s="1767"/>
      <c r="N81" s="1767"/>
      <c r="O81" s="1767"/>
      <c r="P81" s="1767"/>
      <c r="Q81" s="1767"/>
      <c r="R81" s="1767"/>
      <c r="S81" s="1767"/>
      <c r="T81" s="1767"/>
      <c r="U81" s="1767"/>
      <c r="V81" s="1767"/>
      <c r="W81" s="1767"/>
      <c r="X81" s="1767"/>
      <c r="Y81" s="1767"/>
      <c r="Z81" s="1767"/>
      <c r="AA81" s="1767"/>
      <c r="AB81" s="1767"/>
      <c r="AC81" s="1767"/>
      <c r="AD81" s="1767"/>
      <c r="AE81" s="1767"/>
      <c r="AF81" s="1767"/>
      <c r="AG81" s="1767"/>
      <c r="AH81" s="1767"/>
      <c r="AI81" s="1767"/>
      <c r="AJ81" s="1767"/>
      <c r="AK81" s="1767"/>
      <c r="AL81" s="1767"/>
      <c r="AM81" s="1767"/>
      <c r="AN81" s="1767"/>
      <c r="AO81" s="1767"/>
      <c r="AP81" s="1767"/>
      <c r="AQ81" s="1767"/>
      <c r="AR81" s="1767"/>
      <c r="AS81" s="1767"/>
      <c r="AT81" s="1767"/>
      <c r="AU81" s="1767"/>
      <c r="AV81" s="1767"/>
      <c r="AW81" s="1767"/>
      <c r="AX81" s="1767"/>
      <c r="AY81" s="1767"/>
      <c r="AZ81" s="1767"/>
      <c r="BA81" s="1767"/>
      <c r="BB81" s="1767"/>
      <c r="BC81" s="1767"/>
      <c r="BD81" s="1767"/>
      <c r="BE81" s="1767"/>
      <c r="BF81" s="1767"/>
      <c r="BG81" s="1767"/>
      <c r="BH81" s="1767"/>
      <c r="BI81" s="1767"/>
      <c r="BJ81" s="1767"/>
      <c r="BK81" s="1767"/>
      <c r="BL81" s="1767"/>
      <c r="BM81" s="1767"/>
      <c r="BN81" s="1767"/>
      <c r="BO81" s="1767"/>
      <c r="BP81" s="1767"/>
      <c r="BQ81" s="1767"/>
      <c r="BR81" s="1767"/>
      <c r="BS81" s="1767"/>
      <c r="BT81" s="1768"/>
    </row>
    <row r="82" spans="2:72" ht="15" customHeight="1" x14ac:dyDescent="0.2">
      <c r="B82" s="1766"/>
      <c r="C82" s="1767"/>
      <c r="D82" s="1767"/>
      <c r="E82" s="1767"/>
      <c r="F82" s="1767"/>
      <c r="G82" s="1767"/>
      <c r="H82" s="1767"/>
      <c r="I82" s="1767"/>
      <c r="J82" s="1767"/>
      <c r="K82" s="1767"/>
      <c r="L82" s="1767"/>
      <c r="M82" s="1767"/>
      <c r="N82" s="1767"/>
      <c r="O82" s="1767"/>
      <c r="P82" s="1767"/>
      <c r="Q82" s="1767"/>
      <c r="R82" s="1767"/>
      <c r="S82" s="1767"/>
      <c r="T82" s="1767"/>
      <c r="U82" s="1767"/>
      <c r="V82" s="1767"/>
      <c r="W82" s="1767"/>
      <c r="X82" s="1767"/>
      <c r="Y82" s="1767"/>
      <c r="Z82" s="1767"/>
      <c r="AA82" s="1767"/>
      <c r="AB82" s="1767"/>
      <c r="AC82" s="1767"/>
      <c r="AD82" s="1767"/>
      <c r="AE82" s="1767"/>
      <c r="AF82" s="1767"/>
      <c r="AG82" s="1767"/>
      <c r="AH82" s="1767"/>
      <c r="AI82" s="1767"/>
      <c r="AJ82" s="1767"/>
      <c r="AK82" s="1767"/>
      <c r="AL82" s="1767"/>
      <c r="AM82" s="1767"/>
      <c r="AN82" s="1767"/>
      <c r="AO82" s="1767"/>
      <c r="AP82" s="1767"/>
      <c r="AQ82" s="1767"/>
      <c r="AR82" s="1767"/>
      <c r="AS82" s="1767"/>
      <c r="AT82" s="1767"/>
      <c r="AU82" s="1767"/>
      <c r="AV82" s="1767"/>
      <c r="AW82" s="1767"/>
      <c r="AX82" s="1767"/>
      <c r="AY82" s="1767"/>
      <c r="AZ82" s="1767"/>
      <c r="BA82" s="1767"/>
      <c r="BB82" s="1767"/>
      <c r="BC82" s="1767"/>
      <c r="BD82" s="1767"/>
      <c r="BE82" s="1767"/>
      <c r="BF82" s="1767"/>
      <c r="BG82" s="1767"/>
      <c r="BH82" s="1767"/>
      <c r="BI82" s="1767"/>
      <c r="BJ82" s="1767"/>
      <c r="BK82" s="1767"/>
      <c r="BL82" s="1767"/>
      <c r="BM82" s="1767"/>
      <c r="BN82" s="1767"/>
      <c r="BO82" s="1767"/>
      <c r="BP82" s="1767"/>
      <c r="BQ82" s="1767"/>
      <c r="BR82" s="1767"/>
      <c r="BS82" s="1767"/>
      <c r="BT82" s="1768"/>
    </row>
    <row r="83" spans="2:72" ht="15" customHeight="1" thickBot="1" x14ac:dyDescent="0.25">
      <c r="B83" s="1769"/>
      <c r="C83" s="1770"/>
      <c r="D83" s="1770"/>
      <c r="E83" s="1770"/>
      <c r="F83" s="1770"/>
      <c r="G83" s="1770"/>
      <c r="H83" s="1770"/>
      <c r="I83" s="1770"/>
      <c r="J83" s="1770"/>
      <c r="K83" s="1770"/>
      <c r="L83" s="1770"/>
      <c r="M83" s="1770"/>
      <c r="N83" s="1770"/>
      <c r="O83" s="1770"/>
      <c r="P83" s="1770"/>
      <c r="Q83" s="1770"/>
      <c r="R83" s="1770"/>
      <c r="S83" s="1770"/>
      <c r="T83" s="1770"/>
      <c r="U83" s="1770"/>
      <c r="V83" s="1770"/>
      <c r="W83" s="1770"/>
      <c r="X83" s="1770"/>
      <c r="Y83" s="1770"/>
      <c r="Z83" s="1770"/>
      <c r="AA83" s="1770"/>
      <c r="AB83" s="1770"/>
      <c r="AC83" s="1770"/>
      <c r="AD83" s="1770"/>
      <c r="AE83" s="1770"/>
      <c r="AF83" s="1770"/>
      <c r="AG83" s="1770"/>
      <c r="AH83" s="1770"/>
      <c r="AI83" s="1770"/>
      <c r="AJ83" s="1770"/>
      <c r="AK83" s="1770"/>
      <c r="AL83" s="1770"/>
      <c r="AM83" s="1770"/>
      <c r="AN83" s="1770"/>
      <c r="AO83" s="1770"/>
      <c r="AP83" s="1770"/>
      <c r="AQ83" s="1770"/>
      <c r="AR83" s="1770"/>
      <c r="AS83" s="1770"/>
      <c r="AT83" s="1770"/>
      <c r="AU83" s="1770"/>
      <c r="AV83" s="1770"/>
      <c r="AW83" s="1770"/>
      <c r="AX83" s="1770"/>
      <c r="AY83" s="1770"/>
      <c r="AZ83" s="1770"/>
      <c r="BA83" s="1770"/>
      <c r="BB83" s="1770"/>
      <c r="BC83" s="1770"/>
      <c r="BD83" s="1770"/>
      <c r="BE83" s="1770"/>
      <c r="BF83" s="1770"/>
      <c r="BG83" s="1770"/>
      <c r="BH83" s="1770"/>
      <c r="BI83" s="1770"/>
      <c r="BJ83" s="1770"/>
      <c r="BK83" s="1770"/>
      <c r="BL83" s="1770"/>
      <c r="BM83" s="1770"/>
      <c r="BN83" s="1770"/>
      <c r="BO83" s="1770"/>
      <c r="BP83" s="1770"/>
      <c r="BQ83" s="1770"/>
      <c r="BR83" s="1770"/>
      <c r="BS83" s="1770"/>
      <c r="BT83" s="1771"/>
    </row>
  </sheetData>
  <dataConsolidate/>
  <mergeCells count="14">
    <mergeCell ref="AF2:AJ2"/>
    <mergeCell ref="E3:U3"/>
    <mergeCell ref="Y3:AB3"/>
    <mergeCell ref="E4:O4"/>
    <mergeCell ref="Q4:R4"/>
    <mergeCell ref="S4:U4"/>
    <mergeCell ref="V4:X4"/>
    <mergeCell ref="Y4:AF4"/>
    <mergeCell ref="B7:BT83"/>
    <mergeCell ref="B5:D5"/>
    <mergeCell ref="E5:L5"/>
    <mergeCell ref="O5:Q5"/>
    <mergeCell ref="R5:Y5"/>
    <mergeCell ref="Z5:AI5"/>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66675</xdr:colOff>
                    <xdr:row>7</xdr:row>
                    <xdr:rowOff>104775</xdr:rowOff>
                  </from>
                  <to>
                    <xdr:col>101</xdr:col>
                    <xdr:colOff>28575</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3" tint="0.39997558519241921"/>
    <pageSetUpPr fitToPage="1"/>
  </sheetPr>
  <dimension ref="B1:CM83"/>
  <sheetViews>
    <sheetView showGridLines="0" topLeftCell="A4" zoomScale="40" zoomScaleNormal="40" workbookViewId="0">
      <selection activeCell="B7" sqref="B7:BT83"/>
    </sheetView>
  </sheetViews>
  <sheetFormatPr baseColWidth="10" defaultColWidth="2.28515625" defaultRowHeight="15" customHeight="1" x14ac:dyDescent="0.2"/>
  <cols>
    <col min="1" max="1" width="5.85546875" customWidth="1"/>
  </cols>
  <sheetData>
    <row r="1" spans="2:80" ht="15" customHeight="1" x14ac:dyDescent="0.2">
      <c r="H1" s="288"/>
      <c r="P1" s="109"/>
      <c r="AA1" s="289"/>
      <c r="AE1" s="289"/>
      <c r="AF1" s="289"/>
      <c r="AG1" s="289"/>
      <c r="AH1" s="289"/>
      <c r="AI1" s="289"/>
      <c r="AJ1" s="289"/>
      <c r="AN1" s="290"/>
    </row>
    <row r="2" spans="2:80" s="291" customFormat="1" ht="15" customHeight="1" x14ac:dyDescent="0.3">
      <c r="I2" s="289"/>
      <c r="N2" s="292" t="s">
        <v>958</v>
      </c>
      <c r="AE2" s="293"/>
      <c r="AF2" s="1997"/>
      <c r="AG2" s="1997"/>
      <c r="AH2" s="1997"/>
      <c r="AI2" s="1997"/>
      <c r="AJ2" s="1997"/>
      <c r="AN2" s="294"/>
      <c r="AQ2" s="903" t="s">
        <v>1811</v>
      </c>
      <c r="AR2" s="904"/>
      <c r="AS2" s="904"/>
      <c r="AT2" s="904"/>
      <c r="AU2" s="904"/>
      <c r="AV2" s="904"/>
      <c r="AW2" s="904"/>
      <c r="AX2" s="905"/>
      <c r="AY2" s="905"/>
      <c r="AZ2" s="905"/>
      <c r="BA2" s="905"/>
      <c r="BB2" s="905"/>
      <c r="BC2" s="904"/>
      <c r="BD2" s="904"/>
      <c r="BE2" s="904"/>
      <c r="BF2" s="904"/>
      <c r="BG2" s="904"/>
      <c r="BH2" s="904"/>
      <c r="BI2" s="904"/>
      <c r="BJ2" s="904"/>
      <c r="BK2" s="904"/>
      <c r="BL2" s="904"/>
      <c r="BM2" s="906"/>
    </row>
    <row r="3" spans="2:80" ht="15" customHeight="1" x14ac:dyDescent="0.2">
      <c r="B3" s="296" t="s">
        <v>675</v>
      </c>
      <c r="C3" s="297"/>
      <c r="D3" s="297"/>
      <c r="E3" s="1981" t="str">
        <f>+Portada!F3</f>
        <v>Janeth Patricia Cando Arias</v>
      </c>
      <c r="F3" s="1981"/>
      <c r="G3" s="1981"/>
      <c r="H3" s="1981"/>
      <c r="I3" s="1981"/>
      <c r="J3" s="1981"/>
      <c r="K3" s="1981"/>
      <c r="L3" s="1981"/>
      <c r="M3" s="1981"/>
      <c r="N3" s="1981"/>
      <c r="O3" s="1981"/>
      <c r="P3" s="1981"/>
      <c r="Q3" s="1981"/>
      <c r="R3" s="1981"/>
      <c r="S3" s="1981"/>
      <c r="T3" s="1981"/>
      <c r="U3" s="1981"/>
      <c r="V3" s="297"/>
      <c r="W3" s="297" t="s">
        <v>456</v>
      </c>
      <c r="X3" s="297"/>
      <c r="Y3" s="1981" t="str">
        <f>+Portada!AE3</f>
        <v>22.959.221-1</v>
      </c>
      <c r="Z3" s="1981"/>
      <c r="AA3" s="1981"/>
      <c r="AB3" s="1981"/>
      <c r="AC3" s="297"/>
      <c r="AD3" s="297"/>
      <c r="AE3" s="297"/>
      <c r="AF3" s="297"/>
      <c r="AG3" s="297"/>
      <c r="AH3" s="298"/>
      <c r="AI3" s="297"/>
      <c r="AJ3" s="299"/>
      <c r="AN3" s="294"/>
      <c r="AQ3" s="907" t="s">
        <v>1529</v>
      </c>
      <c r="AR3" s="887"/>
      <c r="AS3" s="887"/>
      <c r="AT3" s="896"/>
      <c r="AU3" s="887"/>
      <c r="AV3" s="887"/>
      <c r="AW3" s="887"/>
      <c r="AX3" s="908"/>
      <c r="AY3" s="908"/>
      <c r="AZ3" s="908"/>
      <c r="BA3" s="887"/>
      <c r="BB3" s="887"/>
      <c r="BC3" s="908" t="s">
        <v>1532</v>
      </c>
      <c r="BD3" s="887"/>
      <c r="BE3" s="887"/>
      <c r="BF3" s="887"/>
      <c r="BG3" s="887"/>
      <c r="BH3" s="887"/>
      <c r="BI3" s="887"/>
      <c r="BJ3" s="887"/>
      <c r="BK3" s="887"/>
      <c r="BL3" s="887"/>
      <c r="BM3" s="909"/>
    </row>
    <row r="4" spans="2:80" ht="15" customHeight="1" x14ac:dyDescent="0.2">
      <c r="B4" s="300" t="s">
        <v>676</v>
      </c>
      <c r="C4" s="301"/>
      <c r="D4" s="301"/>
      <c r="E4" s="1978" t="str">
        <f>+Portada!AU4</f>
        <v>Coronel Souper N° 4060</v>
      </c>
      <c r="F4" s="1978"/>
      <c r="G4" s="1978"/>
      <c r="H4" s="1978"/>
      <c r="I4" s="1978"/>
      <c r="J4" s="1978"/>
      <c r="K4" s="1978"/>
      <c r="L4" s="1978"/>
      <c r="M4" s="1978"/>
      <c r="N4" s="1978"/>
      <c r="O4" s="1978"/>
      <c r="P4" s="302"/>
      <c r="Q4" s="1982"/>
      <c r="R4" s="1982"/>
      <c r="S4" s="1982" t="str">
        <f>+Portada!AP5</f>
        <v>Depto.</v>
      </c>
      <c r="T4" s="1982"/>
      <c r="U4" s="1982"/>
      <c r="V4" s="1978" t="str">
        <f>+Portada!AU5</f>
        <v>N°2502 B</v>
      </c>
      <c r="W4" s="1978"/>
      <c r="X4" s="1978"/>
      <c r="Y4" s="1978" t="str">
        <f>+Portada!AU6</f>
        <v>Mirador Souper</v>
      </c>
      <c r="Z4" s="1978"/>
      <c r="AA4" s="1978"/>
      <c r="AB4" s="1978"/>
      <c r="AC4" s="1978"/>
      <c r="AD4" s="1978"/>
      <c r="AE4" s="1978"/>
      <c r="AF4" s="1978"/>
      <c r="AG4" s="301"/>
      <c r="AH4" s="303"/>
      <c r="AI4" s="301"/>
      <c r="AJ4" s="304"/>
      <c r="AN4" s="294"/>
      <c r="AQ4" s="907" t="s">
        <v>1530</v>
      </c>
      <c r="AR4" s="887"/>
      <c r="AS4" s="887"/>
      <c r="AT4" s="896"/>
      <c r="AU4" s="887"/>
      <c r="AV4" s="887"/>
      <c r="AW4" s="887"/>
      <c r="AX4" s="908"/>
      <c r="AY4" s="908"/>
      <c r="AZ4" s="908"/>
      <c r="BA4" s="908"/>
      <c r="BB4" s="908"/>
      <c r="BC4" s="887"/>
      <c r="BD4" s="887"/>
      <c r="BE4" s="887"/>
      <c r="BF4" s="887"/>
      <c r="BG4" s="887"/>
      <c r="BH4" s="887"/>
      <c r="BI4" s="887"/>
      <c r="BJ4" s="887"/>
      <c r="BK4" s="887"/>
      <c r="BL4" s="887"/>
      <c r="BM4" s="909"/>
    </row>
    <row r="5" spans="2:80" ht="15" customHeight="1" x14ac:dyDescent="0.2">
      <c r="B5" s="1977" t="s">
        <v>457</v>
      </c>
      <c r="C5" s="1977"/>
      <c r="D5" s="1977"/>
      <c r="E5" s="1978" t="str">
        <f>+Portada!AU8</f>
        <v>Estación Central</v>
      </c>
      <c r="F5" s="1978"/>
      <c r="G5" s="1978"/>
      <c r="H5" s="1978"/>
      <c r="I5" s="1978"/>
      <c r="J5" s="1978"/>
      <c r="K5" s="1978"/>
      <c r="L5" s="1978"/>
      <c r="M5" s="301"/>
      <c r="N5" s="301"/>
      <c r="O5" s="1979" t="s">
        <v>677</v>
      </c>
      <c r="P5" s="1979"/>
      <c r="Q5" s="1979"/>
      <c r="R5" s="1979" t="str">
        <f>+Portada!AU7</f>
        <v>Metropolitana de Santiago</v>
      </c>
      <c r="S5" s="1979"/>
      <c r="T5" s="1979"/>
      <c r="U5" s="1979"/>
      <c r="V5" s="1979"/>
      <c r="W5" s="1979"/>
      <c r="X5" s="1979"/>
      <c r="Y5" s="1979"/>
      <c r="Z5" s="1978"/>
      <c r="AA5" s="1978"/>
      <c r="AB5" s="1978"/>
      <c r="AC5" s="1978"/>
      <c r="AD5" s="1978"/>
      <c r="AE5" s="1978"/>
      <c r="AF5" s="1978"/>
      <c r="AG5" s="1978"/>
      <c r="AH5" s="1978"/>
      <c r="AI5" s="1978"/>
      <c r="AJ5" s="304"/>
      <c r="AN5" s="294"/>
      <c r="AQ5" s="907" t="s">
        <v>1531</v>
      </c>
      <c r="AR5" s="887"/>
      <c r="AS5" s="887"/>
      <c r="AT5" s="896"/>
      <c r="AU5" s="887"/>
      <c r="AV5" s="887"/>
      <c r="AW5" s="887"/>
      <c r="AX5" s="908"/>
      <c r="AY5" s="908"/>
      <c r="AZ5" s="908"/>
      <c r="BA5" s="908"/>
      <c r="BB5" s="908"/>
      <c r="BC5" s="887"/>
      <c r="BD5" s="887"/>
      <c r="BE5" s="887"/>
      <c r="BF5" s="887"/>
      <c r="BG5" s="887"/>
      <c r="BH5" s="887"/>
      <c r="BI5" s="887"/>
      <c r="BJ5" s="887"/>
      <c r="BK5" s="887"/>
      <c r="BL5" s="887"/>
      <c r="BM5" s="909"/>
    </row>
    <row r="6" spans="2:80" ht="15" customHeight="1" thickBot="1" x14ac:dyDescent="0.35">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c r="AN6" s="294"/>
      <c r="AQ6" s="910" t="s">
        <v>1812</v>
      </c>
      <c r="AR6" s="911"/>
      <c r="AS6" s="911"/>
      <c r="AT6" s="912"/>
      <c r="AU6" s="911"/>
      <c r="AV6" s="911"/>
      <c r="AW6" s="911"/>
      <c r="AX6" s="913"/>
      <c r="AY6" s="913"/>
      <c r="AZ6" s="913"/>
      <c r="BA6" s="913"/>
      <c r="BB6" s="913"/>
      <c r="BC6" s="911"/>
      <c r="BD6" s="911"/>
      <c r="BE6" s="911"/>
      <c r="BF6" s="911"/>
      <c r="BG6" s="911"/>
      <c r="BH6" s="911"/>
      <c r="BI6" s="911"/>
      <c r="BJ6" s="911"/>
      <c r="BK6" s="911"/>
      <c r="BL6" s="911"/>
      <c r="BM6" s="914"/>
    </row>
    <row r="7" spans="2:80" ht="15" customHeight="1" x14ac:dyDescent="0.2">
      <c r="B7" s="1763"/>
      <c r="C7" s="1764"/>
      <c r="D7" s="1764"/>
      <c r="E7" s="1764"/>
      <c r="F7" s="1764"/>
      <c r="G7" s="1764"/>
      <c r="H7" s="1764"/>
      <c r="I7" s="1764"/>
      <c r="J7" s="1764"/>
      <c r="K7" s="1764"/>
      <c r="L7" s="1764"/>
      <c r="M7" s="1764"/>
      <c r="N7" s="1764"/>
      <c r="O7" s="1764"/>
      <c r="P7" s="1764"/>
      <c r="Q7" s="1764"/>
      <c r="R7" s="1764"/>
      <c r="S7" s="1764"/>
      <c r="T7" s="1764"/>
      <c r="U7" s="1764"/>
      <c r="V7" s="1764"/>
      <c r="W7" s="1764"/>
      <c r="X7" s="1764"/>
      <c r="Y7" s="1764"/>
      <c r="Z7" s="1764"/>
      <c r="AA7" s="1764"/>
      <c r="AB7" s="1764"/>
      <c r="AC7" s="1764"/>
      <c r="AD7" s="1764"/>
      <c r="AE7" s="1764"/>
      <c r="AF7" s="1764"/>
      <c r="AG7" s="1764"/>
      <c r="AH7" s="1764"/>
      <c r="AI7" s="1764"/>
      <c r="AJ7" s="1764"/>
      <c r="AK7" s="1764"/>
      <c r="AL7" s="1764"/>
      <c r="AM7" s="1764"/>
      <c r="AN7" s="1764"/>
      <c r="AO7" s="1764"/>
      <c r="AP7" s="1764"/>
      <c r="AQ7" s="1767"/>
      <c r="AR7" s="1767"/>
      <c r="AS7" s="1767"/>
      <c r="AT7" s="1767"/>
      <c r="AU7" s="1767"/>
      <c r="AV7" s="1767"/>
      <c r="AW7" s="1767"/>
      <c r="AX7" s="1767"/>
      <c r="AY7" s="1767"/>
      <c r="AZ7" s="1767"/>
      <c r="BA7" s="1767"/>
      <c r="BB7" s="1767"/>
      <c r="BC7" s="1767"/>
      <c r="BD7" s="1767"/>
      <c r="BE7" s="1767"/>
      <c r="BF7" s="1767"/>
      <c r="BG7" s="1767"/>
      <c r="BH7" s="1767"/>
      <c r="BI7" s="1767"/>
      <c r="BJ7" s="1767"/>
      <c r="BK7" s="1767"/>
      <c r="BL7" s="1767"/>
      <c r="BM7" s="1767"/>
      <c r="BN7" s="1764"/>
      <c r="BO7" s="1764"/>
      <c r="BP7" s="1764"/>
      <c r="BQ7" s="1764"/>
      <c r="BR7" s="1764"/>
      <c r="BS7" s="1764"/>
      <c r="BT7" s="1765"/>
      <c r="BV7" s="916" t="s">
        <v>1881</v>
      </c>
      <c r="BW7" s="916"/>
      <c r="BX7" s="916"/>
      <c r="BY7" s="916"/>
      <c r="BZ7" s="916"/>
      <c r="CA7" s="916"/>
      <c r="CB7" s="887"/>
    </row>
    <row r="8" spans="2:80" ht="15" customHeight="1" x14ac:dyDescent="0.2">
      <c r="B8" s="1766"/>
      <c r="C8" s="1767"/>
      <c r="D8" s="1767"/>
      <c r="E8" s="1767"/>
      <c r="F8" s="1767"/>
      <c r="G8" s="1767"/>
      <c r="H8" s="1767"/>
      <c r="I8" s="1767"/>
      <c r="J8" s="1767"/>
      <c r="K8" s="1767"/>
      <c r="L8" s="1767"/>
      <c r="M8" s="1767"/>
      <c r="N8" s="1767"/>
      <c r="O8" s="1767"/>
      <c r="P8" s="1767"/>
      <c r="Q8" s="1767"/>
      <c r="R8" s="1767"/>
      <c r="S8" s="1767"/>
      <c r="T8" s="1767"/>
      <c r="U8" s="1767"/>
      <c r="V8" s="1767"/>
      <c r="W8" s="1767"/>
      <c r="X8" s="1767"/>
      <c r="Y8" s="1767"/>
      <c r="Z8" s="1767"/>
      <c r="AA8" s="1767"/>
      <c r="AB8" s="1767"/>
      <c r="AC8" s="1767"/>
      <c r="AD8" s="1767"/>
      <c r="AE8" s="1767"/>
      <c r="AF8" s="1767"/>
      <c r="AG8" s="1767"/>
      <c r="AH8" s="1767"/>
      <c r="AI8" s="1767"/>
      <c r="AJ8" s="1767"/>
      <c r="AK8" s="1767"/>
      <c r="AL8" s="1767"/>
      <c r="AM8" s="1767"/>
      <c r="AN8" s="1767"/>
      <c r="AO8" s="1767"/>
      <c r="AP8" s="1767"/>
      <c r="AQ8" s="1767"/>
      <c r="AR8" s="1767"/>
      <c r="AS8" s="1767"/>
      <c r="AT8" s="1767"/>
      <c r="AU8" s="1767"/>
      <c r="AV8" s="1767"/>
      <c r="AW8" s="1767"/>
      <c r="AX8" s="1767"/>
      <c r="AY8" s="1767"/>
      <c r="AZ8" s="1767"/>
      <c r="BA8" s="1767"/>
      <c r="BB8" s="1767"/>
      <c r="BC8" s="1767"/>
      <c r="BD8" s="1767"/>
      <c r="BE8" s="1767"/>
      <c r="BF8" s="1767"/>
      <c r="BG8" s="1767"/>
      <c r="BH8" s="1767"/>
      <c r="BI8" s="1767"/>
      <c r="BJ8" s="1767"/>
      <c r="BK8" s="1767"/>
      <c r="BL8" s="1767"/>
      <c r="BM8" s="1767"/>
      <c r="BN8" s="1767"/>
      <c r="BO8" s="1767"/>
      <c r="BP8" s="1767"/>
      <c r="BQ8" s="1767"/>
      <c r="BR8" s="1767"/>
      <c r="BS8" s="1767"/>
      <c r="BT8" s="1768"/>
      <c r="BV8" s="916" t="s">
        <v>1877</v>
      </c>
      <c r="BW8" s="916"/>
      <c r="BX8" s="916"/>
      <c r="BY8" s="916"/>
      <c r="BZ8" s="916"/>
      <c r="CA8" s="916"/>
      <c r="CB8" s="887"/>
    </row>
    <row r="9" spans="2:80" ht="15" customHeight="1" x14ac:dyDescent="0.2">
      <c r="B9" s="1766"/>
      <c r="C9" s="1767"/>
      <c r="D9" s="1767"/>
      <c r="E9" s="1767"/>
      <c r="F9" s="1767"/>
      <c r="G9" s="1767"/>
      <c r="H9" s="1767"/>
      <c r="I9" s="1767"/>
      <c r="J9" s="1767"/>
      <c r="K9" s="1767"/>
      <c r="L9" s="1767"/>
      <c r="M9" s="1767"/>
      <c r="N9" s="1767"/>
      <c r="O9" s="1767"/>
      <c r="P9" s="1767"/>
      <c r="Q9" s="1767"/>
      <c r="R9" s="1767"/>
      <c r="S9" s="1767"/>
      <c r="T9" s="1767"/>
      <c r="U9" s="1767"/>
      <c r="V9" s="1767"/>
      <c r="W9" s="1767"/>
      <c r="X9" s="1767"/>
      <c r="Y9" s="1767"/>
      <c r="Z9" s="1767"/>
      <c r="AA9" s="1767"/>
      <c r="AB9" s="1767"/>
      <c r="AC9" s="1767"/>
      <c r="AD9" s="1767"/>
      <c r="AE9" s="1767"/>
      <c r="AF9" s="1767"/>
      <c r="AG9" s="1767"/>
      <c r="AH9" s="1767"/>
      <c r="AI9" s="1767"/>
      <c r="AJ9" s="1767"/>
      <c r="AK9" s="1767"/>
      <c r="AL9" s="1767"/>
      <c r="AM9" s="1767"/>
      <c r="AN9" s="1767"/>
      <c r="AO9" s="1767"/>
      <c r="AP9" s="1767"/>
      <c r="AQ9" s="1767"/>
      <c r="AR9" s="1767"/>
      <c r="AS9" s="1767"/>
      <c r="AT9" s="1767"/>
      <c r="AU9" s="1767"/>
      <c r="AV9" s="1767"/>
      <c r="AW9" s="1767"/>
      <c r="AX9" s="1767"/>
      <c r="AY9" s="1767"/>
      <c r="AZ9" s="1767"/>
      <c r="BA9" s="1767"/>
      <c r="BB9" s="1767"/>
      <c r="BC9" s="1767"/>
      <c r="BD9" s="1767"/>
      <c r="BE9" s="1767"/>
      <c r="BF9" s="1767"/>
      <c r="BG9" s="1767"/>
      <c r="BH9" s="1767"/>
      <c r="BI9" s="1767"/>
      <c r="BJ9" s="1767"/>
      <c r="BK9" s="1767"/>
      <c r="BL9" s="1767"/>
      <c r="BM9" s="1767"/>
      <c r="BN9" s="1767"/>
      <c r="BO9" s="1767"/>
      <c r="BP9" s="1767"/>
      <c r="BQ9" s="1767"/>
      <c r="BR9" s="1767"/>
      <c r="BS9" s="1767"/>
      <c r="BT9" s="1768"/>
      <c r="BV9" s="916" t="s">
        <v>1878</v>
      </c>
      <c r="BW9" s="916"/>
      <c r="BX9" s="916"/>
      <c r="BY9" s="916"/>
      <c r="BZ9" s="916"/>
      <c r="CA9" s="916"/>
      <c r="CB9" s="887"/>
    </row>
    <row r="10" spans="2:80" ht="15" customHeight="1" x14ac:dyDescent="0.2">
      <c r="B10" s="1766"/>
      <c r="C10" s="1767"/>
      <c r="D10" s="1767"/>
      <c r="E10" s="1767"/>
      <c r="F10" s="1767"/>
      <c r="G10" s="1767"/>
      <c r="H10" s="1767"/>
      <c r="I10" s="1767"/>
      <c r="J10" s="1767"/>
      <c r="K10" s="1767"/>
      <c r="L10" s="1767"/>
      <c r="M10" s="1767"/>
      <c r="N10" s="1767"/>
      <c r="O10" s="1767"/>
      <c r="P10" s="1767"/>
      <c r="Q10" s="1767"/>
      <c r="R10" s="1767"/>
      <c r="S10" s="1767"/>
      <c r="T10" s="1767"/>
      <c r="U10" s="1767"/>
      <c r="V10" s="1767"/>
      <c r="W10" s="1767"/>
      <c r="X10" s="1767"/>
      <c r="Y10" s="1767"/>
      <c r="Z10" s="1767"/>
      <c r="AA10" s="1767"/>
      <c r="AB10" s="1767"/>
      <c r="AC10" s="1767"/>
      <c r="AD10" s="1767"/>
      <c r="AE10" s="1767"/>
      <c r="AF10" s="1767"/>
      <c r="AG10" s="1767"/>
      <c r="AH10" s="1767"/>
      <c r="AI10" s="1767"/>
      <c r="AJ10" s="1767"/>
      <c r="AK10" s="1767"/>
      <c r="AL10" s="1767"/>
      <c r="AM10" s="1767"/>
      <c r="AN10" s="1767"/>
      <c r="AO10" s="1767"/>
      <c r="AP10" s="1767"/>
      <c r="AQ10" s="1767"/>
      <c r="AR10" s="1767"/>
      <c r="AS10" s="1767"/>
      <c r="AT10" s="1767"/>
      <c r="AU10" s="1767"/>
      <c r="AV10" s="1767"/>
      <c r="AW10" s="1767"/>
      <c r="AX10" s="1767"/>
      <c r="AY10" s="1767"/>
      <c r="AZ10" s="1767"/>
      <c r="BA10" s="1767"/>
      <c r="BB10" s="1767"/>
      <c r="BC10" s="1767"/>
      <c r="BD10" s="1767"/>
      <c r="BE10" s="1767"/>
      <c r="BF10" s="1767"/>
      <c r="BG10" s="1767"/>
      <c r="BH10" s="1767"/>
      <c r="BI10" s="1767"/>
      <c r="BJ10" s="1767"/>
      <c r="BK10" s="1767"/>
      <c r="BL10" s="1767"/>
      <c r="BM10" s="1767"/>
      <c r="BN10" s="1767"/>
      <c r="BO10" s="1767"/>
      <c r="BP10" s="1767"/>
      <c r="BQ10" s="1767"/>
      <c r="BR10" s="1767"/>
      <c r="BS10" s="1767"/>
      <c r="BT10" s="1768"/>
      <c r="BV10" s="916" t="s">
        <v>1879</v>
      </c>
      <c r="BW10" s="916"/>
      <c r="BX10" s="916"/>
      <c r="BY10" s="916"/>
      <c r="BZ10" s="916"/>
      <c r="CA10" s="916"/>
      <c r="CB10" s="887"/>
    </row>
    <row r="11" spans="2:80" ht="15" customHeight="1" x14ac:dyDescent="0.2">
      <c r="B11" s="1766"/>
      <c r="C11" s="1767"/>
      <c r="D11" s="1767"/>
      <c r="E11" s="1767"/>
      <c r="F11" s="1767"/>
      <c r="G11" s="1767"/>
      <c r="H11" s="1767"/>
      <c r="I11" s="1767"/>
      <c r="J11" s="1767"/>
      <c r="K11" s="1767"/>
      <c r="L11" s="1767"/>
      <c r="M11" s="1767"/>
      <c r="N11" s="1767"/>
      <c r="O11" s="1767"/>
      <c r="P11" s="1767"/>
      <c r="Q11" s="1767"/>
      <c r="R11" s="1767"/>
      <c r="S11" s="1767"/>
      <c r="T11" s="1767"/>
      <c r="U11" s="1767"/>
      <c r="V11" s="1767"/>
      <c r="W11" s="1767"/>
      <c r="X11" s="1767"/>
      <c r="Y11" s="1767"/>
      <c r="Z11" s="1767"/>
      <c r="AA11" s="1767"/>
      <c r="AB11" s="1767"/>
      <c r="AC11" s="1767"/>
      <c r="AD11" s="1767"/>
      <c r="AE11" s="1767"/>
      <c r="AF11" s="1767"/>
      <c r="AG11" s="1767"/>
      <c r="AH11" s="1767"/>
      <c r="AI11" s="1767"/>
      <c r="AJ11" s="1767"/>
      <c r="AK11" s="1767"/>
      <c r="AL11" s="1767"/>
      <c r="AM11" s="1767"/>
      <c r="AN11" s="1767"/>
      <c r="AO11" s="1767"/>
      <c r="AP11" s="1767"/>
      <c r="AQ11" s="1767"/>
      <c r="AR11" s="1767"/>
      <c r="AS11" s="1767"/>
      <c r="AT11" s="1767"/>
      <c r="AU11" s="1767"/>
      <c r="AV11" s="1767"/>
      <c r="AW11" s="1767"/>
      <c r="AX11" s="1767"/>
      <c r="AY11" s="1767"/>
      <c r="AZ11" s="1767"/>
      <c r="BA11" s="1767"/>
      <c r="BB11" s="1767"/>
      <c r="BC11" s="1767"/>
      <c r="BD11" s="1767"/>
      <c r="BE11" s="1767"/>
      <c r="BF11" s="1767"/>
      <c r="BG11" s="1767"/>
      <c r="BH11" s="1767"/>
      <c r="BI11" s="1767"/>
      <c r="BJ11" s="1767"/>
      <c r="BK11" s="1767"/>
      <c r="BL11" s="1767"/>
      <c r="BM11" s="1767"/>
      <c r="BN11" s="1767"/>
      <c r="BO11" s="1767"/>
      <c r="BP11" s="1767"/>
      <c r="BQ11" s="1767"/>
      <c r="BR11" s="1767"/>
      <c r="BS11" s="1767"/>
      <c r="BT11" s="1768"/>
      <c r="BV11" s="916" t="s">
        <v>1880</v>
      </c>
      <c r="BW11" s="916"/>
      <c r="BX11" s="916"/>
      <c r="BY11" s="916"/>
      <c r="BZ11" s="916"/>
      <c r="CA11" s="916"/>
      <c r="CB11" s="887"/>
    </row>
    <row r="12" spans="2:80" ht="15" customHeight="1" x14ac:dyDescent="0.2">
      <c r="B12" s="1766"/>
      <c r="C12" s="1767"/>
      <c r="D12" s="1767"/>
      <c r="E12" s="1767"/>
      <c r="F12" s="1767"/>
      <c r="G12" s="1767"/>
      <c r="H12" s="1767"/>
      <c r="I12" s="1767"/>
      <c r="J12" s="1767"/>
      <c r="K12" s="1767"/>
      <c r="L12" s="1767"/>
      <c r="M12" s="1767"/>
      <c r="N12" s="1767"/>
      <c r="O12" s="1767"/>
      <c r="P12" s="1767"/>
      <c r="Q12" s="1767"/>
      <c r="R12" s="1767"/>
      <c r="S12" s="1767"/>
      <c r="T12" s="1767"/>
      <c r="U12" s="1767"/>
      <c r="V12" s="1767"/>
      <c r="W12" s="1767"/>
      <c r="X12" s="1767"/>
      <c r="Y12" s="1767"/>
      <c r="Z12" s="1767"/>
      <c r="AA12" s="1767"/>
      <c r="AB12" s="1767"/>
      <c r="AC12" s="1767"/>
      <c r="AD12" s="1767"/>
      <c r="AE12" s="1767"/>
      <c r="AF12" s="1767"/>
      <c r="AG12" s="1767"/>
      <c r="AH12" s="1767"/>
      <c r="AI12" s="1767"/>
      <c r="AJ12" s="1767"/>
      <c r="AK12" s="1767"/>
      <c r="AL12" s="1767"/>
      <c r="AM12" s="1767"/>
      <c r="AN12" s="1767"/>
      <c r="AO12" s="1767"/>
      <c r="AP12" s="1767"/>
      <c r="AQ12" s="1767"/>
      <c r="AR12" s="1767"/>
      <c r="AS12" s="1767"/>
      <c r="AT12" s="1767"/>
      <c r="AU12" s="1767"/>
      <c r="AV12" s="1767"/>
      <c r="AW12" s="1767"/>
      <c r="AX12" s="1767"/>
      <c r="AY12" s="1767"/>
      <c r="AZ12" s="1767"/>
      <c r="BA12" s="1767"/>
      <c r="BB12" s="1767"/>
      <c r="BC12" s="1767"/>
      <c r="BD12" s="1767"/>
      <c r="BE12" s="1767"/>
      <c r="BF12" s="1767"/>
      <c r="BG12" s="1767"/>
      <c r="BH12" s="1767"/>
      <c r="BI12" s="1767"/>
      <c r="BJ12" s="1767"/>
      <c r="BK12" s="1767"/>
      <c r="BL12" s="1767"/>
      <c r="BM12" s="1767"/>
      <c r="BN12" s="1767"/>
      <c r="BO12" s="1767"/>
      <c r="BP12" s="1767"/>
      <c r="BQ12" s="1767"/>
      <c r="BR12" s="1767"/>
      <c r="BS12" s="1767"/>
      <c r="BT12" s="1768"/>
    </row>
    <row r="13" spans="2:80" ht="15" customHeight="1" x14ac:dyDescent="0.2">
      <c r="B13" s="1766"/>
      <c r="C13" s="1767"/>
      <c r="D13" s="1767"/>
      <c r="E13" s="1767"/>
      <c r="F13" s="1767"/>
      <c r="G13" s="1767"/>
      <c r="H13" s="1767"/>
      <c r="I13" s="1767"/>
      <c r="J13" s="1767"/>
      <c r="K13" s="1767"/>
      <c r="L13" s="1767"/>
      <c r="M13" s="1767"/>
      <c r="N13" s="1767"/>
      <c r="O13" s="1767"/>
      <c r="P13" s="1767"/>
      <c r="Q13" s="1767"/>
      <c r="R13" s="1767"/>
      <c r="S13" s="1767"/>
      <c r="T13" s="1767"/>
      <c r="U13" s="1767"/>
      <c r="V13" s="1767"/>
      <c r="W13" s="1767"/>
      <c r="X13" s="1767"/>
      <c r="Y13" s="1767"/>
      <c r="Z13" s="1767"/>
      <c r="AA13" s="1767"/>
      <c r="AB13" s="1767"/>
      <c r="AC13" s="1767"/>
      <c r="AD13" s="1767"/>
      <c r="AE13" s="1767"/>
      <c r="AF13" s="1767"/>
      <c r="AG13" s="1767"/>
      <c r="AH13" s="1767"/>
      <c r="AI13" s="1767"/>
      <c r="AJ13" s="1767"/>
      <c r="AK13" s="1767"/>
      <c r="AL13" s="1767"/>
      <c r="AM13" s="1767"/>
      <c r="AN13" s="1767"/>
      <c r="AO13" s="1767"/>
      <c r="AP13" s="1767"/>
      <c r="AQ13" s="1767"/>
      <c r="AR13" s="1767"/>
      <c r="AS13" s="1767"/>
      <c r="AT13" s="1767"/>
      <c r="AU13" s="1767"/>
      <c r="AV13" s="1767"/>
      <c r="AW13" s="1767"/>
      <c r="AX13" s="1767"/>
      <c r="AY13" s="1767"/>
      <c r="AZ13" s="1767"/>
      <c r="BA13" s="1767"/>
      <c r="BB13" s="1767"/>
      <c r="BC13" s="1767"/>
      <c r="BD13" s="1767"/>
      <c r="BE13" s="1767"/>
      <c r="BF13" s="1767"/>
      <c r="BG13" s="1767"/>
      <c r="BH13" s="1767"/>
      <c r="BI13" s="1767"/>
      <c r="BJ13" s="1767"/>
      <c r="BK13" s="1767"/>
      <c r="BL13" s="1767"/>
      <c r="BM13" s="1767"/>
      <c r="BN13" s="1767"/>
      <c r="BO13" s="1767"/>
      <c r="BP13" s="1767"/>
      <c r="BQ13" s="1767"/>
      <c r="BR13" s="1767"/>
      <c r="BS13" s="1767"/>
      <c r="BT13" s="1768"/>
    </row>
    <row r="14" spans="2:80" ht="15" customHeight="1" x14ac:dyDescent="0.2">
      <c r="B14" s="1766"/>
      <c r="C14" s="1767"/>
      <c r="D14" s="1767"/>
      <c r="E14" s="1767"/>
      <c r="F14" s="1767"/>
      <c r="G14" s="1767"/>
      <c r="H14" s="1767"/>
      <c r="I14" s="1767"/>
      <c r="J14" s="1767"/>
      <c r="K14" s="1767"/>
      <c r="L14" s="1767"/>
      <c r="M14" s="1767"/>
      <c r="N14" s="1767"/>
      <c r="O14" s="1767"/>
      <c r="P14" s="1767"/>
      <c r="Q14" s="1767"/>
      <c r="R14" s="1767"/>
      <c r="S14" s="1767"/>
      <c r="T14" s="1767"/>
      <c r="U14" s="1767"/>
      <c r="V14" s="1767"/>
      <c r="W14" s="1767"/>
      <c r="X14" s="1767"/>
      <c r="Y14" s="1767"/>
      <c r="Z14" s="1767"/>
      <c r="AA14" s="1767"/>
      <c r="AB14" s="1767"/>
      <c r="AC14" s="1767"/>
      <c r="AD14" s="1767"/>
      <c r="AE14" s="1767"/>
      <c r="AF14" s="1767"/>
      <c r="AG14" s="1767"/>
      <c r="AH14" s="1767"/>
      <c r="AI14" s="1767"/>
      <c r="AJ14" s="1767"/>
      <c r="AK14" s="1767"/>
      <c r="AL14" s="1767"/>
      <c r="AM14" s="1767"/>
      <c r="AN14" s="1767"/>
      <c r="AO14" s="1767"/>
      <c r="AP14" s="1767"/>
      <c r="AQ14" s="1767"/>
      <c r="AR14" s="1767"/>
      <c r="AS14" s="1767"/>
      <c r="AT14" s="1767"/>
      <c r="AU14" s="1767"/>
      <c r="AV14" s="1767"/>
      <c r="AW14" s="1767"/>
      <c r="AX14" s="1767"/>
      <c r="AY14" s="1767"/>
      <c r="AZ14" s="1767"/>
      <c r="BA14" s="1767"/>
      <c r="BB14" s="1767"/>
      <c r="BC14" s="1767"/>
      <c r="BD14" s="1767"/>
      <c r="BE14" s="1767"/>
      <c r="BF14" s="1767"/>
      <c r="BG14" s="1767"/>
      <c r="BH14" s="1767"/>
      <c r="BI14" s="1767"/>
      <c r="BJ14" s="1767"/>
      <c r="BK14" s="1767"/>
      <c r="BL14" s="1767"/>
      <c r="BM14" s="1767"/>
      <c r="BN14" s="1767"/>
      <c r="BO14" s="1767"/>
      <c r="BP14" s="1767"/>
      <c r="BQ14" s="1767"/>
      <c r="BR14" s="1767"/>
      <c r="BS14" s="1767"/>
      <c r="BT14" s="1768"/>
    </row>
    <row r="15" spans="2:80" ht="15" customHeight="1" x14ac:dyDescent="0.2">
      <c r="B15" s="1766"/>
      <c r="C15" s="1767"/>
      <c r="D15" s="1767"/>
      <c r="E15" s="1767"/>
      <c r="F15" s="1767"/>
      <c r="G15" s="1767"/>
      <c r="H15" s="1767"/>
      <c r="I15" s="1767"/>
      <c r="J15" s="1767"/>
      <c r="K15" s="1767"/>
      <c r="L15" s="1767"/>
      <c r="M15" s="1767"/>
      <c r="N15" s="1767"/>
      <c r="O15" s="1767"/>
      <c r="P15" s="1767"/>
      <c r="Q15" s="1767"/>
      <c r="R15" s="1767"/>
      <c r="S15" s="1767"/>
      <c r="T15" s="1767"/>
      <c r="U15" s="1767"/>
      <c r="V15" s="1767"/>
      <c r="W15" s="1767"/>
      <c r="X15" s="1767"/>
      <c r="Y15" s="1767"/>
      <c r="Z15" s="1767"/>
      <c r="AA15" s="1767"/>
      <c r="AB15" s="1767"/>
      <c r="AC15" s="1767"/>
      <c r="AD15" s="1767"/>
      <c r="AE15" s="1767"/>
      <c r="AF15" s="1767"/>
      <c r="AG15" s="1767"/>
      <c r="AH15" s="1767"/>
      <c r="AI15" s="1767"/>
      <c r="AJ15" s="1767"/>
      <c r="AK15" s="1767"/>
      <c r="AL15" s="1767"/>
      <c r="AM15" s="1767"/>
      <c r="AN15" s="1767"/>
      <c r="AO15" s="1767"/>
      <c r="AP15" s="1767"/>
      <c r="AQ15" s="1767"/>
      <c r="AR15" s="1767"/>
      <c r="AS15" s="1767"/>
      <c r="AT15" s="1767"/>
      <c r="AU15" s="1767"/>
      <c r="AV15" s="1767"/>
      <c r="AW15" s="1767"/>
      <c r="AX15" s="1767"/>
      <c r="AY15" s="1767"/>
      <c r="AZ15" s="1767"/>
      <c r="BA15" s="1767"/>
      <c r="BB15" s="1767"/>
      <c r="BC15" s="1767"/>
      <c r="BD15" s="1767"/>
      <c r="BE15" s="1767"/>
      <c r="BF15" s="1767"/>
      <c r="BG15" s="1767"/>
      <c r="BH15" s="1767"/>
      <c r="BI15" s="1767"/>
      <c r="BJ15" s="1767"/>
      <c r="BK15" s="1767"/>
      <c r="BL15" s="1767"/>
      <c r="BM15" s="1767"/>
      <c r="BN15" s="1767"/>
      <c r="BO15" s="1767"/>
      <c r="BP15" s="1767"/>
      <c r="BQ15" s="1767"/>
      <c r="BR15" s="1767"/>
      <c r="BS15" s="1767"/>
      <c r="BT15" s="1768"/>
    </row>
    <row r="16" spans="2:80" ht="15" customHeight="1" x14ac:dyDescent="0.2">
      <c r="B16" s="1766"/>
      <c r="C16" s="1767"/>
      <c r="D16" s="1767"/>
      <c r="E16" s="1767"/>
      <c r="F16" s="1767"/>
      <c r="G16" s="1767"/>
      <c r="H16" s="1767"/>
      <c r="I16" s="1767"/>
      <c r="J16" s="1767"/>
      <c r="K16" s="1767"/>
      <c r="L16" s="1767"/>
      <c r="M16" s="1767"/>
      <c r="N16" s="1767"/>
      <c r="O16" s="1767"/>
      <c r="P16" s="1767"/>
      <c r="Q16" s="1767"/>
      <c r="R16" s="1767"/>
      <c r="S16" s="1767"/>
      <c r="T16" s="1767"/>
      <c r="U16" s="1767"/>
      <c r="V16" s="1767"/>
      <c r="W16" s="1767"/>
      <c r="X16" s="1767"/>
      <c r="Y16" s="1767"/>
      <c r="Z16" s="1767"/>
      <c r="AA16" s="1767"/>
      <c r="AB16" s="1767"/>
      <c r="AC16" s="1767"/>
      <c r="AD16" s="1767"/>
      <c r="AE16" s="1767"/>
      <c r="AF16" s="1767"/>
      <c r="AG16" s="1767"/>
      <c r="AH16" s="1767"/>
      <c r="AI16" s="1767"/>
      <c r="AJ16" s="1767"/>
      <c r="AK16" s="1767"/>
      <c r="AL16" s="1767"/>
      <c r="AM16" s="1767"/>
      <c r="AN16" s="1767"/>
      <c r="AO16" s="1767"/>
      <c r="AP16" s="1767"/>
      <c r="AQ16" s="1767"/>
      <c r="AR16" s="1767"/>
      <c r="AS16" s="1767"/>
      <c r="AT16" s="1767"/>
      <c r="AU16" s="1767"/>
      <c r="AV16" s="1767"/>
      <c r="AW16" s="1767"/>
      <c r="AX16" s="1767"/>
      <c r="AY16" s="1767"/>
      <c r="AZ16" s="1767"/>
      <c r="BA16" s="1767"/>
      <c r="BB16" s="1767"/>
      <c r="BC16" s="1767"/>
      <c r="BD16" s="1767"/>
      <c r="BE16" s="1767"/>
      <c r="BF16" s="1767"/>
      <c r="BG16" s="1767"/>
      <c r="BH16" s="1767"/>
      <c r="BI16" s="1767"/>
      <c r="BJ16" s="1767"/>
      <c r="BK16" s="1767"/>
      <c r="BL16" s="1767"/>
      <c r="BM16" s="1767"/>
      <c r="BN16" s="1767"/>
      <c r="BO16" s="1767"/>
      <c r="BP16" s="1767"/>
      <c r="BQ16" s="1767"/>
      <c r="BR16" s="1767"/>
      <c r="BS16" s="1767"/>
      <c r="BT16" s="1768"/>
    </row>
    <row r="17" spans="2:91" ht="15" customHeight="1" x14ac:dyDescent="0.2">
      <c r="B17" s="1766"/>
      <c r="C17" s="1767"/>
      <c r="D17" s="1767"/>
      <c r="E17" s="1767"/>
      <c r="F17" s="1767"/>
      <c r="G17" s="1767"/>
      <c r="H17" s="1767"/>
      <c r="I17" s="1767"/>
      <c r="J17" s="1767"/>
      <c r="K17" s="1767"/>
      <c r="L17" s="1767"/>
      <c r="M17" s="1767"/>
      <c r="N17" s="1767"/>
      <c r="O17" s="1767"/>
      <c r="P17" s="1767"/>
      <c r="Q17" s="1767"/>
      <c r="R17" s="1767"/>
      <c r="S17" s="1767"/>
      <c r="T17" s="1767"/>
      <c r="U17" s="1767"/>
      <c r="V17" s="1767"/>
      <c r="W17" s="1767"/>
      <c r="X17" s="1767"/>
      <c r="Y17" s="1767"/>
      <c r="Z17" s="1767"/>
      <c r="AA17" s="1767"/>
      <c r="AB17" s="1767"/>
      <c r="AC17" s="1767"/>
      <c r="AD17" s="1767"/>
      <c r="AE17" s="1767"/>
      <c r="AF17" s="1767"/>
      <c r="AG17" s="1767"/>
      <c r="AH17" s="1767"/>
      <c r="AI17" s="1767"/>
      <c r="AJ17" s="1767"/>
      <c r="AK17" s="1767"/>
      <c r="AL17" s="1767"/>
      <c r="AM17" s="1767"/>
      <c r="AN17" s="1767"/>
      <c r="AO17" s="1767"/>
      <c r="AP17" s="1767"/>
      <c r="AQ17" s="1767"/>
      <c r="AR17" s="1767"/>
      <c r="AS17" s="1767"/>
      <c r="AT17" s="1767"/>
      <c r="AU17" s="1767"/>
      <c r="AV17" s="1767"/>
      <c r="AW17" s="1767"/>
      <c r="AX17" s="1767"/>
      <c r="AY17" s="1767"/>
      <c r="AZ17" s="1767"/>
      <c r="BA17" s="1767"/>
      <c r="BB17" s="1767"/>
      <c r="BC17" s="1767"/>
      <c r="BD17" s="1767"/>
      <c r="BE17" s="1767"/>
      <c r="BF17" s="1767"/>
      <c r="BG17" s="1767"/>
      <c r="BH17" s="1767"/>
      <c r="BI17" s="1767"/>
      <c r="BJ17" s="1767"/>
      <c r="BK17" s="1767"/>
      <c r="BL17" s="1767"/>
      <c r="BM17" s="1767"/>
      <c r="BN17" s="1767"/>
      <c r="BO17" s="1767"/>
      <c r="BP17" s="1767"/>
      <c r="BQ17" s="1767"/>
      <c r="BR17" s="1767"/>
      <c r="BS17" s="1767"/>
      <c r="BT17" s="1768"/>
    </row>
    <row r="18" spans="2:91" ht="15" customHeight="1" x14ac:dyDescent="0.2">
      <c r="B18" s="1766"/>
      <c r="C18" s="1767"/>
      <c r="D18" s="1767"/>
      <c r="E18" s="1767"/>
      <c r="F18" s="1767"/>
      <c r="G18" s="1767"/>
      <c r="H18" s="1767"/>
      <c r="I18" s="1767"/>
      <c r="J18" s="1767"/>
      <c r="K18" s="1767"/>
      <c r="L18" s="1767"/>
      <c r="M18" s="1767"/>
      <c r="N18" s="1767"/>
      <c r="O18" s="1767"/>
      <c r="P18" s="1767"/>
      <c r="Q18" s="1767"/>
      <c r="R18" s="1767"/>
      <c r="S18" s="1767"/>
      <c r="T18" s="1767"/>
      <c r="U18" s="1767"/>
      <c r="V18" s="1767"/>
      <c r="W18" s="1767"/>
      <c r="X18" s="1767"/>
      <c r="Y18" s="1767"/>
      <c r="Z18" s="1767"/>
      <c r="AA18" s="1767"/>
      <c r="AB18" s="1767"/>
      <c r="AC18" s="1767"/>
      <c r="AD18" s="1767"/>
      <c r="AE18" s="1767"/>
      <c r="AF18" s="1767"/>
      <c r="AG18" s="1767"/>
      <c r="AH18" s="1767"/>
      <c r="AI18" s="1767"/>
      <c r="AJ18" s="1767"/>
      <c r="AK18" s="1767"/>
      <c r="AL18" s="1767"/>
      <c r="AM18" s="1767"/>
      <c r="AN18" s="1767"/>
      <c r="AO18" s="1767"/>
      <c r="AP18" s="1767"/>
      <c r="AQ18" s="1767"/>
      <c r="AR18" s="1767"/>
      <c r="AS18" s="1767"/>
      <c r="AT18" s="1767"/>
      <c r="AU18" s="1767"/>
      <c r="AV18" s="1767"/>
      <c r="AW18" s="1767"/>
      <c r="AX18" s="1767"/>
      <c r="AY18" s="1767"/>
      <c r="AZ18" s="1767"/>
      <c r="BA18" s="1767"/>
      <c r="BB18" s="1767"/>
      <c r="BC18" s="1767"/>
      <c r="BD18" s="1767"/>
      <c r="BE18" s="1767"/>
      <c r="BF18" s="1767"/>
      <c r="BG18" s="1767"/>
      <c r="BH18" s="1767"/>
      <c r="BI18" s="1767"/>
      <c r="BJ18" s="1767"/>
      <c r="BK18" s="1767"/>
      <c r="BL18" s="1767"/>
      <c r="BM18" s="1767"/>
      <c r="BN18" s="1767"/>
      <c r="BO18" s="1767"/>
      <c r="BP18" s="1767"/>
      <c r="BQ18" s="1767"/>
      <c r="BR18" s="1767"/>
      <c r="BS18" s="1767"/>
      <c r="BT18" s="1768"/>
    </row>
    <row r="19" spans="2:91" ht="15" customHeight="1" x14ac:dyDescent="0.2">
      <c r="B19" s="1766"/>
      <c r="C19" s="1767"/>
      <c r="D19" s="1767"/>
      <c r="E19" s="1767"/>
      <c r="F19" s="1767"/>
      <c r="G19" s="1767"/>
      <c r="H19" s="1767"/>
      <c r="I19" s="1767"/>
      <c r="J19" s="1767"/>
      <c r="K19" s="1767"/>
      <c r="L19" s="1767"/>
      <c r="M19" s="1767"/>
      <c r="N19" s="1767"/>
      <c r="O19" s="1767"/>
      <c r="P19" s="1767"/>
      <c r="Q19" s="1767"/>
      <c r="R19" s="1767"/>
      <c r="S19" s="1767"/>
      <c r="T19" s="1767"/>
      <c r="U19" s="1767"/>
      <c r="V19" s="1767"/>
      <c r="W19" s="1767"/>
      <c r="X19" s="1767"/>
      <c r="Y19" s="1767"/>
      <c r="Z19" s="1767"/>
      <c r="AA19" s="1767"/>
      <c r="AB19" s="1767"/>
      <c r="AC19" s="1767"/>
      <c r="AD19" s="1767"/>
      <c r="AE19" s="1767"/>
      <c r="AF19" s="1767"/>
      <c r="AG19" s="1767"/>
      <c r="AH19" s="1767"/>
      <c r="AI19" s="1767"/>
      <c r="AJ19" s="1767"/>
      <c r="AK19" s="1767"/>
      <c r="AL19" s="1767"/>
      <c r="AM19" s="1767"/>
      <c r="AN19" s="1767"/>
      <c r="AO19" s="1767"/>
      <c r="AP19" s="1767"/>
      <c r="AQ19" s="1767"/>
      <c r="AR19" s="1767"/>
      <c r="AS19" s="1767"/>
      <c r="AT19" s="1767"/>
      <c r="AU19" s="1767"/>
      <c r="AV19" s="1767"/>
      <c r="AW19" s="1767"/>
      <c r="AX19" s="1767"/>
      <c r="AY19" s="1767"/>
      <c r="AZ19" s="1767"/>
      <c r="BA19" s="1767"/>
      <c r="BB19" s="1767"/>
      <c r="BC19" s="1767"/>
      <c r="BD19" s="1767"/>
      <c r="BE19" s="1767"/>
      <c r="BF19" s="1767"/>
      <c r="BG19" s="1767"/>
      <c r="BH19" s="1767"/>
      <c r="BI19" s="1767"/>
      <c r="BJ19" s="1767"/>
      <c r="BK19" s="1767"/>
      <c r="BL19" s="1767"/>
      <c r="BM19" s="1767"/>
      <c r="BN19" s="1767"/>
      <c r="BO19" s="1767"/>
      <c r="BP19" s="1767"/>
      <c r="BQ19" s="1767"/>
      <c r="BR19" s="1767"/>
      <c r="BS19" s="1767"/>
      <c r="BT19" s="1768"/>
    </row>
    <row r="20" spans="2:91" ht="15" customHeight="1" x14ac:dyDescent="0.2">
      <c r="B20" s="1766"/>
      <c r="C20" s="1767"/>
      <c r="D20" s="1767"/>
      <c r="E20" s="1767"/>
      <c r="F20" s="1767"/>
      <c r="G20" s="1767"/>
      <c r="H20" s="1767"/>
      <c r="I20" s="1767"/>
      <c r="J20" s="1767"/>
      <c r="K20" s="1767"/>
      <c r="L20" s="1767"/>
      <c r="M20" s="1767"/>
      <c r="N20" s="1767"/>
      <c r="O20" s="1767"/>
      <c r="P20" s="1767"/>
      <c r="Q20" s="1767"/>
      <c r="R20" s="1767"/>
      <c r="S20" s="1767"/>
      <c r="T20" s="1767"/>
      <c r="U20" s="1767"/>
      <c r="V20" s="1767"/>
      <c r="W20" s="1767"/>
      <c r="X20" s="1767"/>
      <c r="Y20" s="1767"/>
      <c r="Z20" s="1767"/>
      <c r="AA20" s="1767"/>
      <c r="AB20" s="1767"/>
      <c r="AC20" s="1767"/>
      <c r="AD20" s="1767"/>
      <c r="AE20" s="1767"/>
      <c r="AF20" s="1767"/>
      <c r="AG20" s="1767"/>
      <c r="AH20" s="1767"/>
      <c r="AI20" s="1767"/>
      <c r="AJ20" s="1767"/>
      <c r="AK20" s="1767"/>
      <c r="AL20" s="1767"/>
      <c r="AM20" s="1767"/>
      <c r="AN20" s="1767"/>
      <c r="AO20" s="1767"/>
      <c r="AP20" s="1767"/>
      <c r="AQ20" s="1767"/>
      <c r="AR20" s="1767"/>
      <c r="AS20" s="1767"/>
      <c r="AT20" s="1767"/>
      <c r="AU20" s="1767"/>
      <c r="AV20" s="1767"/>
      <c r="AW20" s="1767"/>
      <c r="AX20" s="1767"/>
      <c r="AY20" s="1767"/>
      <c r="AZ20" s="1767"/>
      <c r="BA20" s="1767"/>
      <c r="BB20" s="1767"/>
      <c r="BC20" s="1767"/>
      <c r="BD20" s="1767"/>
      <c r="BE20" s="1767"/>
      <c r="BF20" s="1767"/>
      <c r="BG20" s="1767"/>
      <c r="BH20" s="1767"/>
      <c r="BI20" s="1767"/>
      <c r="BJ20" s="1767"/>
      <c r="BK20" s="1767"/>
      <c r="BL20" s="1767"/>
      <c r="BM20" s="1767"/>
      <c r="BN20" s="1767"/>
      <c r="BO20" s="1767"/>
      <c r="BP20" s="1767"/>
      <c r="BQ20" s="1767"/>
      <c r="BR20" s="1767"/>
      <c r="BS20" s="1767"/>
      <c r="BT20" s="1768"/>
    </row>
    <row r="21" spans="2:91" ht="15" customHeight="1" x14ac:dyDescent="0.2">
      <c r="B21" s="1766"/>
      <c r="C21" s="1767"/>
      <c r="D21" s="1767"/>
      <c r="E21" s="1767"/>
      <c r="F21" s="1767"/>
      <c r="G21" s="1767"/>
      <c r="H21" s="1767"/>
      <c r="I21" s="1767"/>
      <c r="J21" s="1767"/>
      <c r="K21" s="1767"/>
      <c r="L21" s="1767"/>
      <c r="M21" s="1767"/>
      <c r="N21" s="1767"/>
      <c r="O21" s="1767"/>
      <c r="P21" s="1767"/>
      <c r="Q21" s="1767"/>
      <c r="R21" s="1767"/>
      <c r="S21" s="1767"/>
      <c r="T21" s="1767"/>
      <c r="U21" s="1767"/>
      <c r="V21" s="1767"/>
      <c r="W21" s="1767"/>
      <c r="X21" s="1767"/>
      <c r="Y21" s="1767"/>
      <c r="Z21" s="1767"/>
      <c r="AA21" s="1767"/>
      <c r="AB21" s="1767"/>
      <c r="AC21" s="1767"/>
      <c r="AD21" s="1767"/>
      <c r="AE21" s="1767"/>
      <c r="AF21" s="1767"/>
      <c r="AG21" s="1767"/>
      <c r="AH21" s="1767"/>
      <c r="AI21" s="1767"/>
      <c r="AJ21" s="1767"/>
      <c r="AK21" s="1767"/>
      <c r="AL21" s="1767"/>
      <c r="AM21" s="1767"/>
      <c r="AN21" s="1767"/>
      <c r="AO21" s="1767"/>
      <c r="AP21" s="1767"/>
      <c r="AQ21" s="1767"/>
      <c r="AR21" s="1767"/>
      <c r="AS21" s="1767"/>
      <c r="AT21" s="1767"/>
      <c r="AU21" s="1767"/>
      <c r="AV21" s="1767"/>
      <c r="AW21" s="1767"/>
      <c r="AX21" s="1767"/>
      <c r="AY21" s="1767"/>
      <c r="AZ21" s="1767"/>
      <c r="BA21" s="1767"/>
      <c r="BB21" s="1767"/>
      <c r="BC21" s="1767"/>
      <c r="BD21" s="1767"/>
      <c r="BE21" s="1767"/>
      <c r="BF21" s="1767"/>
      <c r="BG21" s="1767"/>
      <c r="BH21" s="1767"/>
      <c r="BI21" s="1767"/>
      <c r="BJ21" s="1767"/>
      <c r="BK21" s="1767"/>
      <c r="BL21" s="1767"/>
      <c r="BM21" s="1767"/>
      <c r="BN21" s="1767"/>
      <c r="BO21" s="1767"/>
      <c r="BP21" s="1767"/>
      <c r="BQ21" s="1767"/>
      <c r="BR21" s="1767"/>
      <c r="BS21" s="1767"/>
      <c r="BT21" s="1768"/>
      <c r="BV21" s="1024" t="s">
        <v>1881</v>
      </c>
      <c r="BW21" s="1024"/>
      <c r="BX21" s="1024"/>
      <c r="BY21" s="1024"/>
      <c r="BZ21" s="1024"/>
      <c r="CA21" s="1024"/>
      <c r="CB21" s="1025"/>
    </row>
    <row r="22" spans="2:91" ht="15" customHeight="1" x14ac:dyDescent="0.2">
      <c r="B22" s="1766"/>
      <c r="C22" s="1767"/>
      <c r="D22" s="1767"/>
      <c r="E22" s="1767"/>
      <c r="F22" s="1767"/>
      <c r="G22" s="1767"/>
      <c r="H22" s="1767"/>
      <c r="I22" s="1767"/>
      <c r="J22" s="1767"/>
      <c r="K22" s="1767"/>
      <c r="L22" s="1767"/>
      <c r="M22" s="1767"/>
      <c r="N22" s="1767"/>
      <c r="O22" s="1767"/>
      <c r="P22" s="1767"/>
      <c r="Q22" s="1767"/>
      <c r="R22" s="1767"/>
      <c r="S22" s="1767"/>
      <c r="T22" s="1767"/>
      <c r="U22" s="1767"/>
      <c r="V22" s="1767"/>
      <c r="W22" s="1767"/>
      <c r="X22" s="1767"/>
      <c r="Y22" s="1767"/>
      <c r="Z22" s="1767"/>
      <c r="AA22" s="1767"/>
      <c r="AB22" s="1767"/>
      <c r="AC22" s="1767"/>
      <c r="AD22" s="1767"/>
      <c r="AE22" s="1767"/>
      <c r="AF22" s="1767"/>
      <c r="AG22" s="1767"/>
      <c r="AH22" s="1767"/>
      <c r="AI22" s="1767"/>
      <c r="AJ22" s="1767"/>
      <c r="AK22" s="1767"/>
      <c r="AL22" s="1767"/>
      <c r="AM22" s="1767"/>
      <c r="AN22" s="1767"/>
      <c r="AO22" s="1767"/>
      <c r="AP22" s="1767"/>
      <c r="AQ22" s="1767"/>
      <c r="AR22" s="1767"/>
      <c r="AS22" s="1767"/>
      <c r="AT22" s="1767"/>
      <c r="AU22" s="1767"/>
      <c r="AV22" s="1767"/>
      <c r="AW22" s="1767"/>
      <c r="AX22" s="1767"/>
      <c r="AY22" s="1767"/>
      <c r="AZ22" s="1767"/>
      <c r="BA22" s="1767"/>
      <c r="BB22" s="1767"/>
      <c r="BC22" s="1767"/>
      <c r="BD22" s="1767"/>
      <c r="BE22" s="1767"/>
      <c r="BF22" s="1767"/>
      <c r="BG22" s="1767"/>
      <c r="BH22" s="1767"/>
      <c r="BI22" s="1767"/>
      <c r="BJ22" s="1767"/>
      <c r="BK22" s="1767"/>
      <c r="BL22" s="1767"/>
      <c r="BM22" s="1767"/>
      <c r="BN22" s="1767"/>
      <c r="BO22" s="1767"/>
      <c r="BP22" s="1767"/>
      <c r="BQ22" s="1767"/>
      <c r="BR22" s="1767"/>
      <c r="BS22" s="1767"/>
      <c r="BT22" s="1768"/>
      <c r="BV22" s="1024" t="s">
        <v>2640</v>
      </c>
      <c r="BW22" s="1024"/>
      <c r="BX22" s="1024"/>
      <c r="BY22" s="1024"/>
      <c r="BZ22" s="1024"/>
      <c r="CA22" s="1024"/>
      <c r="CB22" s="1025"/>
    </row>
    <row r="23" spans="2:91" ht="15" customHeight="1" x14ac:dyDescent="0.2">
      <c r="B23" s="1766"/>
      <c r="C23" s="1767"/>
      <c r="D23" s="1767"/>
      <c r="E23" s="1767"/>
      <c r="F23" s="1767"/>
      <c r="G23" s="1767"/>
      <c r="H23" s="1767"/>
      <c r="I23" s="1767"/>
      <c r="J23" s="1767"/>
      <c r="K23" s="1767"/>
      <c r="L23" s="1767"/>
      <c r="M23" s="1767"/>
      <c r="N23" s="1767"/>
      <c r="O23" s="1767"/>
      <c r="P23" s="1767"/>
      <c r="Q23" s="1767"/>
      <c r="R23" s="1767"/>
      <c r="S23" s="1767"/>
      <c r="T23" s="1767"/>
      <c r="U23" s="1767"/>
      <c r="V23" s="1767"/>
      <c r="W23" s="1767"/>
      <c r="X23" s="1767"/>
      <c r="Y23" s="1767"/>
      <c r="Z23" s="1767"/>
      <c r="AA23" s="1767"/>
      <c r="AB23" s="1767"/>
      <c r="AC23" s="1767"/>
      <c r="AD23" s="1767"/>
      <c r="AE23" s="1767"/>
      <c r="AF23" s="1767"/>
      <c r="AG23" s="1767"/>
      <c r="AH23" s="1767"/>
      <c r="AI23" s="1767"/>
      <c r="AJ23" s="1767"/>
      <c r="AK23" s="1767"/>
      <c r="AL23" s="1767"/>
      <c r="AM23" s="1767"/>
      <c r="AN23" s="1767"/>
      <c r="AO23" s="1767"/>
      <c r="AP23" s="1767"/>
      <c r="AQ23" s="1767"/>
      <c r="AR23" s="1767"/>
      <c r="AS23" s="1767"/>
      <c r="AT23" s="1767"/>
      <c r="AU23" s="1767"/>
      <c r="AV23" s="1767"/>
      <c r="AW23" s="1767"/>
      <c r="AX23" s="1767"/>
      <c r="AY23" s="1767"/>
      <c r="AZ23" s="1767"/>
      <c r="BA23" s="1767"/>
      <c r="BB23" s="1767"/>
      <c r="BC23" s="1767"/>
      <c r="BD23" s="1767"/>
      <c r="BE23" s="1767"/>
      <c r="BF23" s="1767"/>
      <c r="BG23" s="1767"/>
      <c r="BH23" s="1767"/>
      <c r="BI23" s="1767"/>
      <c r="BJ23" s="1767"/>
      <c r="BK23" s="1767"/>
      <c r="BL23" s="1767"/>
      <c r="BM23" s="1767"/>
      <c r="BN23" s="1767"/>
      <c r="BO23" s="1767"/>
      <c r="BP23" s="1767"/>
      <c r="BQ23" s="1767"/>
      <c r="BR23" s="1767"/>
      <c r="BS23" s="1767"/>
      <c r="BT23" s="1768"/>
      <c r="BV23" s="1024" t="s">
        <v>2641</v>
      </c>
      <c r="BW23" s="1024"/>
      <c r="BX23" s="1024"/>
      <c r="BY23" s="1024"/>
      <c r="BZ23" s="1024"/>
      <c r="CA23" s="1024"/>
      <c r="CB23" s="1025"/>
    </row>
    <row r="24" spans="2:91" ht="15" customHeight="1" x14ac:dyDescent="0.2">
      <c r="B24" s="1766"/>
      <c r="C24" s="1767"/>
      <c r="D24" s="1767"/>
      <c r="E24" s="1767"/>
      <c r="F24" s="1767"/>
      <c r="G24" s="1767"/>
      <c r="H24" s="1767"/>
      <c r="I24" s="1767"/>
      <c r="J24" s="1767"/>
      <c r="K24" s="1767"/>
      <c r="L24" s="1767"/>
      <c r="M24" s="1767"/>
      <c r="N24" s="1767"/>
      <c r="O24" s="1767"/>
      <c r="P24" s="1767"/>
      <c r="Q24" s="1767"/>
      <c r="R24" s="1767"/>
      <c r="S24" s="1767"/>
      <c r="T24" s="1767"/>
      <c r="U24" s="1767"/>
      <c r="V24" s="1767"/>
      <c r="W24" s="1767"/>
      <c r="X24" s="1767"/>
      <c r="Y24" s="1767"/>
      <c r="Z24" s="1767"/>
      <c r="AA24" s="1767"/>
      <c r="AB24" s="1767"/>
      <c r="AC24" s="1767"/>
      <c r="AD24" s="1767"/>
      <c r="AE24" s="1767"/>
      <c r="AF24" s="1767"/>
      <c r="AG24" s="1767"/>
      <c r="AH24" s="1767"/>
      <c r="AI24" s="1767"/>
      <c r="AJ24" s="1767"/>
      <c r="AK24" s="1767"/>
      <c r="AL24" s="1767"/>
      <c r="AM24" s="1767"/>
      <c r="AN24" s="1767"/>
      <c r="AO24" s="1767"/>
      <c r="AP24" s="1767"/>
      <c r="AQ24" s="1767"/>
      <c r="AR24" s="1767"/>
      <c r="AS24" s="1767"/>
      <c r="AT24" s="1767"/>
      <c r="AU24" s="1767"/>
      <c r="AV24" s="1767"/>
      <c r="AW24" s="1767"/>
      <c r="AX24" s="1767"/>
      <c r="AY24" s="1767"/>
      <c r="AZ24" s="1767"/>
      <c r="BA24" s="1767"/>
      <c r="BB24" s="1767"/>
      <c r="BC24" s="1767"/>
      <c r="BD24" s="1767"/>
      <c r="BE24" s="1767"/>
      <c r="BF24" s="1767"/>
      <c r="BG24" s="1767"/>
      <c r="BH24" s="1767"/>
      <c r="BI24" s="1767"/>
      <c r="BJ24" s="1767"/>
      <c r="BK24" s="1767"/>
      <c r="BL24" s="1767"/>
      <c r="BM24" s="1767"/>
      <c r="BN24" s="1767"/>
      <c r="BO24" s="1767"/>
      <c r="BP24" s="1767"/>
      <c r="BQ24" s="1767"/>
      <c r="BR24" s="1767"/>
      <c r="BS24" s="1767"/>
      <c r="BT24" s="1768"/>
      <c r="BV24" s="1024" t="s">
        <v>2644</v>
      </c>
      <c r="BW24" s="1024"/>
      <c r="BX24" s="1024"/>
      <c r="BY24" s="1024"/>
      <c r="BZ24" s="1024"/>
      <c r="CA24" s="1024"/>
      <c r="CB24" s="1025"/>
      <c r="CJ24" s="1024" t="s">
        <v>2643</v>
      </c>
      <c r="CK24" s="1024"/>
      <c r="CL24" s="1024"/>
      <c r="CM24" s="1024"/>
    </row>
    <row r="25" spans="2:91" ht="15" customHeight="1" x14ac:dyDescent="0.2">
      <c r="B25" s="1766"/>
      <c r="C25" s="1767"/>
      <c r="D25" s="1767"/>
      <c r="E25" s="1767"/>
      <c r="F25" s="1767"/>
      <c r="G25" s="1767"/>
      <c r="H25" s="1767"/>
      <c r="I25" s="1767"/>
      <c r="J25" s="1767"/>
      <c r="K25" s="1767"/>
      <c r="L25" s="1767"/>
      <c r="M25" s="1767"/>
      <c r="N25" s="1767"/>
      <c r="O25" s="1767"/>
      <c r="P25" s="1767"/>
      <c r="Q25" s="1767"/>
      <c r="R25" s="1767"/>
      <c r="S25" s="1767"/>
      <c r="T25" s="1767"/>
      <c r="U25" s="1767"/>
      <c r="V25" s="1767"/>
      <c r="W25" s="1767"/>
      <c r="X25" s="1767"/>
      <c r="Y25" s="1767"/>
      <c r="Z25" s="1767"/>
      <c r="AA25" s="1767"/>
      <c r="AB25" s="1767"/>
      <c r="AC25" s="1767"/>
      <c r="AD25" s="1767"/>
      <c r="AE25" s="1767"/>
      <c r="AF25" s="1767"/>
      <c r="AG25" s="1767"/>
      <c r="AH25" s="1767"/>
      <c r="AI25" s="1767"/>
      <c r="AJ25" s="1767"/>
      <c r="AK25" s="1767"/>
      <c r="AL25" s="1767"/>
      <c r="AM25" s="1767"/>
      <c r="AN25" s="1767"/>
      <c r="AO25" s="1767"/>
      <c r="AP25" s="1767"/>
      <c r="AQ25" s="1767"/>
      <c r="AR25" s="1767"/>
      <c r="AS25" s="1767"/>
      <c r="AT25" s="1767"/>
      <c r="AU25" s="1767"/>
      <c r="AV25" s="1767"/>
      <c r="AW25" s="1767"/>
      <c r="AX25" s="1767"/>
      <c r="AY25" s="1767"/>
      <c r="AZ25" s="1767"/>
      <c r="BA25" s="1767"/>
      <c r="BB25" s="1767"/>
      <c r="BC25" s="1767"/>
      <c r="BD25" s="1767"/>
      <c r="BE25" s="1767"/>
      <c r="BF25" s="1767"/>
      <c r="BG25" s="1767"/>
      <c r="BH25" s="1767"/>
      <c r="BI25" s="1767"/>
      <c r="BJ25" s="1767"/>
      <c r="BK25" s="1767"/>
      <c r="BL25" s="1767"/>
      <c r="BM25" s="1767"/>
      <c r="BN25" s="1767"/>
      <c r="BO25" s="1767"/>
      <c r="BP25" s="1767"/>
      <c r="BQ25" s="1767"/>
      <c r="BR25" s="1767"/>
      <c r="BS25" s="1767"/>
      <c r="BT25" s="1768"/>
      <c r="BV25" s="1024" t="s">
        <v>2645</v>
      </c>
      <c r="BW25" s="1024"/>
      <c r="BX25" s="1024"/>
      <c r="BY25" s="1024"/>
      <c r="BZ25" s="1024"/>
      <c r="CA25" s="1024"/>
      <c r="CB25" s="1025"/>
    </row>
    <row r="26" spans="2:91" ht="15" customHeight="1" x14ac:dyDescent="0.25">
      <c r="B26" s="1766"/>
      <c r="C26" s="1767"/>
      <c r="D26" s="1767"/>
      <c r="E26" s="1767"/>
      <c r="F26" s="1767"/>
      <c r="G26" s="1767"/>
      <c r="H26" s="1767"/>
      <c r="I26" s="1767"/>
      <c r="J26" s="1767"/>
      <c r="K26" s="1767"/>
      <c r="L26" s="1767"/>
      <c r="M26" s="1767"/>
      <c r="N26" s="1767"/>
      <c r="O26" s="1767"/>
      <c r="P26" s="1767"/>
      <c r="Q26" s="1767"/>
      <c r="R26" s="1767"/>
      <c r="S26" s="1767"/>
      <c r="T26" s="1767"/>
      <c r="U26" s="1767"/>
      <c r="V26" s="1767"/>
      <c r="W26" s="1767"/>
      <c r="X26" s="1767"/>
      <c r="Y26" s="1767"/>
      <c r="Z26" s="1767"/>
      <c r="AA26" s="1767"/>
      <c r="AB26" s="1767"/>
      <c r="AC26" s="1767"/>
      <c r="AD26" s="1767"/>
      <c r="AE26" s="1767"/>
      <c r="AF26" s="1767"/>
      <c r="AG26" s="1767"/>
      <c r="AH26" s="1767"/>
      <c r="AI26" s="1767"/>
      <c r="AJ26" s="1767"/>
      <c r="AK26" s="1767"/>
      <c r="AL26" s="1767"/>
      <c r="AM26" s="1767"/>
      <c r="AN26" s="1767"/>
      <c r="AO26" s="1767"/>
      <c r="AP26" s="1767"/>
      <c r="AQ26" s="1767"/>
      <c r="AR26" s="1767"/>
      <c r="AS26" s="1767"/>
      <c r="AT26" s="1767"/>
      <c r="AU26" s="1767"/>
      <c r="AV26" s="1767"/>
      <c r="AW26" s="1767"/>
      <c r="AX26" s="1767"/>
      <c r="AY26" s="1767"/>
      <c r="AZ26" s="1767"/>
      <c r="BA26" s="1767"/>
      <c r="BB26" s="1767"/>
      <c r="BC26" s="1767"/>
      <c r="BD26" s="1767"/>
      <c r="BE26" s="1767"/>
      <c r="BF26" s="1767"/>
      <c r="BG26" s="1767"/>
      <c r="BH26" s="1767"/>
      <c r="BI26" s="1767"/>
      <c r="BJ26" s="1767"/>
      <c r="BK26" s="1767"/>
      <c r="BL26" s="1767"/>
      <c r="BM26" s="1767"/>
      <c r="BN26" s="1767"/>
      <c r="BO26" s="1767"/>
      <c r="BP26" s="1767"/>
      <c r="BQ26" s="1767"/>
      <c r="BR26" s="1767"/>
      <c r="BS26" s="1767"/>
      <c r="BT26" s="1768"/>
      <c r="BV26" s="1026" t="s">
        <v>2642</v>
      </c>
      <c r="BW26" s="1026"/>
      <c r="BX26" s="1026"/>
      <c r="BY26" s="1026"/>
      <c r="BZ26" s="1026"/>
      <c r="CA26" s="1026"/>
      <c r="CB26" s="1026"/>
      <c r="CC26" s="1026"/>
      <c r="CD26" s="1026"/>
      <c r="CE26" s="1026"/>
    </row>
    <row r="27" spans="2:91" ht="15" customHeight="1" x14ac:dyDescent="0.2">
      <c r="B27" s="1766"/>
      <c r="C27" s="1767"/>
      <c r="D27" s="1767"/>
      <c r="E27" s="1767"/>
      <c r="F27" s="1767"/>
      <c r="G27" s="1767"/>
      <c r="H27" s="1767"/>
      <c r="I27" s="1767"/>
      <c r="J27" s="1767"/>
      <c r="K27" s="1767"/>
      <c r="L27" s="1767"/>
      <c r="M27" s="1767"/>
      <c r="N27" s="1767"/>
      <c r="O27" s="1767"/>
      <c r="P27" s="1767"/>
      <c r="Q27" s="1767"/>
      <c r="R27" s="1767"/>
      <c r="S27" s="1767"/>
      <c r="T27" s="1767"/>
      <c r="U27" s="1767"/>
      <c r="V27" s="1767"/>
      <c r="W27" s="1767"/>
      <c r="X27" s="1767"/>
      <c r="Y27" s="1767"/>
      <c r="Z27" s="1767"/>
      <c r="AA27" s="1767"/>
      <c r="AB27" s="1767"/>
      <c r="AC27" s="1767"/>
      <c r="AD27" s="1767"/>
      <c r="AE27" s="1767"/>
      <c r="AF27" s="1767"/>
      <c r="AG27" s="1767"/>
      <c r="AH27" s="1767"/>
      <c r="AI27" s="1767"/>
      <c r="AJ27" s="1767"/>
      <c r="AK27" s="1767"/>
      <c r="AL27" s="1767"/>
      <c r="AM27" s="1767"/>
      <c r="AN27" s="1767"/>
      <c r="AO27" s="1767"/>
      <c r="AP27" s="1767"/>
      <c r="AQ27" s="1767"/>
      <c r="AR27" s="1767"/>
      <c r="AS27" s="1767"/>
      <c r="AT27" s="1767"/>
      <c r="AU27" s="1767"/>
      <c r="AV27" s="1767"/>
      <c r="AW27" s="1767"/>
      <c r="AX27" s="1767"/>
      <c r="AY27" s="1767"/>
      <c r="AZ27" s="1767"/>
      <c r="BA27" s="1767"/>
      <c r="BB27" s="1767"/>
      <c r="BC27" s="1767"/>
      <c r="BD27" s="1767"/>
      <c r="BE27" s="1767"/>
      <c r="BF27" s="1767"/>
      <c r="BG27" s="1767"/>
      <c r="BH27" s="1767"/>
      <c r="BI27" s="1767"/>
      <c r="BJ27" s="1767"/>
      <c r="BK27" s="1767"/>
      <c r="BL27" s="1767"/>
      <c r="BM27" s="1767"/>
      <c r="BN27" s="1767"/>
      <c r="BO27" s="1767"/>
      <c r="BP27" s="1767"/>
      <c r="BQ27" s="1767"/>
      <c r="BR27" s="1767"/>
      <c r="BS27" s="1767"/>
      <c r="BT27" s="1768"/>
    </row>
    <row r="28" spans="2:91" ht="15" customHeight="1" x14ac:dyDescent="0.2">
      <c r="B28" s="1766"/>
      <c r="C28" s="1767"/>
      <c r="D28" s="1767"/>
      <c r="E28" s="1767"/>
      <c r="F28" s="1767"/>
      <c r="G28" s="1767"/>
      <c r="H28" s="1767"/>
      <c r="I28" s="1767"/>
      <c r="J28" s="1767"/>
      <c r="K28" s="1767"/>
      <c r="L28" s="1767"/>
      <c r="M28" s="1767"/>
      <c r="N28" s="1767"/>
      <c r="O28" s="1767"/>
      <c r="P28" s="1767"/>
      <c r="Q28" s="1767"/>
      <c r="R28" s="1767"/>
      <c r="S28" s="1767"/>
      <c r="T28" s="1767"/>
      <c r="U28" s="1767"/>
      <c r="V28" s="1767"/>
      <c r="W28" s="1767"/>
      <c r="X28" s="1767"/>
      <c r="Y28" s="1767"/>
      <c r="Z28" s="1767"/>
      <c r="AA28" s="1767"/>
      <c r="AB28" s="1767"/>
      <c r="AC28" s="1767"/>
      <c r="AD28" s="1767"/>
      <c r="AE28" s="1767"/>
      <c r="AF28" s="1767"/>
      <c r="AG28" s="1767"/>
      <c r="AH28" s="1767"/>
      <c r="AI28" s="1767"/>
      <c r="AJ28" s="1767"/>
      <c r="AK28" s="1767"/>
      <c r="AL28" s="1767"/>
      <c r="AM28" s="1767"/>
      <c r="AN28" s="1767"/>
      <c r="AO28" s="1767"/>
      <c r="AP28" s="1767"/>
      <c r="AQ28" s="1767"/>
      <c r="AR28" s="1767"/>
      <c r="AS28" s="1767"/>
      <c r="AT28" s="1767"/>
      <c r="AU28" s="1767"/>
      <c r="AV28" s="1767"/>
      <c r="AW28" s="1767"/>
      <c r="AX28" s="1767"/>
      <c r="AY28" s="1767"/>
      <c r="AZ28" s="1767"/>
      <c r="BA28" s="1767"/>
      <c r="BB28" s="1767"/>
      <c r="BC28" s="1767"/>
      <c r="BD28" s="1767"/>
      <c r="BE28" s="1767"/>
      <c r="BF28" s="1767"/>
      <c r="BG28" s="1767"/>
      <c r="BH28" s="1767"/>
      <c r="BI28" s="1767"/>
      <c r="BJ28" s="1767"/>
      <c r="BK28" s="1767"/>
      <c r="BL28" s="1767"/>
      <c r="BM28" s="1767"/>
      <c r="BN28" s="1767"/>
      <c r="BO28" s="1767"/>
      <c r="BP28" s="1767"/>
      <c r="BQ28" s="1767"/>
      <c r="BR28" s="1767"/>
      <c r="BS28" s="1767"/>
      <c r="BT28" s="1768"/>
    </row>
    <row r="29" spans="2:91" ht="15" customHeight="1" x14ac:dyDescent="0.2">
      <c r="B29" s="1766"/>
      <c r="C29" s="1767"/>
      <c r="D29" s="1767"/>
      <c r="E29" s="1767"/>
      <c r="F29" s="1767"/>
      <c r="G29" s="1767"/>
      <c r="H29" s="1767"/>
      <c r="I29" s="1767"/>
      <c r="J29" s="1767"/>
      <c r="K29" s="1767"/>
      <c r="L29" s="1767"/>
      <c r="M29" s="1767"/>
      <c r="N29" s="1767"/>
      <c r="O29" s="1767"/>
      <c r="P29" s="1767"/>
      <c r="Q29" s="1767"/>
      <c r="R29" s="1767"/>
      <c r="S29" s="1767"/>
      <c r="T29" s="1767"/>
      <c r="U29" s="1767"/>
      <c r="V29" s="1767"/>
      <c r="W29" s="1767"/>
      <c r="X29" s="1767"/>
      <c r="Y29" s="1767"/>
      <c r="Z29" s="1767"/>
      <c r="AA29" s="1767"/>
      <c r="AB29" s="1767"/>
      <c r="AC29" s="1767"/>
      <c r="AD29" s="1767"/>
      <c r="AE29" s="1767"/>
      <c r="AF29" s="1767"/>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767"/>
      <c r="BG29" s="1767"/>
      <c r="BH29" s="1767"/>
      <c r="BI29" s="1767"/>
      <c r="BJ29" s="1767"/>
      <c r="BK29" s="1767"/>
      <c r="BL29" s="1767"/>
      <c r="BM29" s="1767"/>
      <c r="BN29" s="1767"/>
      <c r="BO29" s="1767"/>
      <c r="BP29" s="1767"/>
      <c r="BQ29" s="1767"/>
      <c r="BR29" s="1767"/>
      <c r="BS29" s="1767"/>
      <c r="BT29" s="1768"/>
    </row>
    <row r="30" spans="2:91" ht="15" customHeight="1" x14ac:dyDescent="0.2">
      <c r="B30" s="1766"/>
      <c r="C30" s="1767"/>
      <c r="D30" s="1767"/>
      <c r="E30" s="1767"/>
      <c r="F30" s="1767"/>
      <c r="G30" s="1767"/>
      <c r="H30" s="1767"/>
      <c r="I30" s="1767"/>
      <c r="J30" s="1767"/>
      <c r="K30" s="1767"/>
      <c r="L30" s="1767"/>
      <c r="M30" s="1767"/>
      <c r="N30" s="1767"/>
      <c r="O30" s="1767"/>
      <c r="P30" s="1767"/>
      <c r="Q30" s="1767"/>
      <c r="R30" s="1767"/>
      <c r="S30" s="1767"/>
      <c r="T30" s="1767"/>
      <c r="U30" s="1767"/>
      <c r="V30" s="1767"/>
      <c r="W30" s="1767"/>
      <c r="X30" s="1767"/>
      <c r="Y30" s="1767"/>
      <c r="Z30" s="1767"/>
      <c r="AA30" s="1767"/>
      <c r="AB30" s="1767"/>
      <c r="AC30" s="1767"/>
      <c r="AD30" s="1767"/>
      <c r="AE30" s="1767"/>
      <c r="AF30" s="1767"/>
      <c r="AG30" s="1767"/>
      <c r="AH30" s="1767"/>
      <c r="AI30" s="1767"/>
      <c r="AJ30" s="1767"/>
      <c r="AK30" s="1767"/>
      <c r="AL30" s="1767"/>
      <c r="AM30" s="1767"/>
      <c r="AN30" s="1767"/>
      <c r="AO30" s="1767"/>
      <c r="AP30" s="1767"/>
      <c r="AQ30" s="1767"/>
      <c r="AR30" s="1767"/>
      <c r="AS30" s="1767"/>
      <c r="AT30" s="1767"/>
      <c r="AU30" s="1767"/>
      <c r="AV30" s="1767"/>
      <c r="AW30" s="1767"/>
      <c r="AX30" s="1767"/>
      <c r="AY30" s="1767"/>
      <c r="AZ30" s="1767"/>
      <c r="BA30" s="1767"/>
      <c r="BB30" s="1767"/>
      <c r="BC30" s="1767"/>
      <c r="BD30" s="1767"/>
      <c r="BE30" s="1767"/>
      <c r="BF30" s="1767"/>
      <c r="BG30" s="1767"/>
      <c r="BH30" s="1767"/>
      <c r="BI30" s="1767"/>
      <c r="BJ30" s="1767"/>
      <c r="BK30" s="1767"/>
      <c r="BL30" s="1767"/>
      <c r="BM30" s="1767"/>
      <c r="BN30" s="1767"/>
      <c r="BO30" s="1767"/>
      <c r="BP30" s="1767"/>
      <c r="BQ30" s="1767"/>
      <c r="BR30" s="1767"/>
      <c r="BS30" s="1767"/>
      <c r="BT30" s="1768"/>
    </row>
    <row r="31" spans="2:91" ht="15" customHeight="1" x14ac:dyDescent="0.2">
      <c r="B31" s="1766"/>
      <c r="C31" s="1767"/>
      <c r="D31" s="1767"/>
      <c r="E31" s="1767"/>
      <c r="F31" s="1767"/>
      <c r="G31" s="1767"/>
      <c r="H31" s="1767"/>
      <c r="I31" s="1767"/>
      <c r="J31" s="1767"/>
      <c r="K31" s="1767"/>
      <c r="L31" s="1767"/>
      <c r="M31" s="1767"/>
      <c r="N31" s="1767"/>
      <c r="O31" s="1767"/>
      <c r="P31" s="1767"/>
      <c r="Q31" s="1767"/>
      <c r="R31" s="1767"/>
      <c r="S31" s="1767"/>
      <c r="T31" s="1767"/>
      <c r="U31" s="1767"/>
      <c r="V31" s="1767"/>
      <c r="W31" s="1767"/>
      <c r="X31" s="1767"/>
      <c r="Y31" s="1767"/>
      <c r="Z31" s="1767"/>
      <c r="AA31" s="1767"/>
      <c r="AB31" s="1767"/>
      <c r="AC31" s="1767"/>
      <c r="AD31" s="1767"/>
      <c r="AE31" s="1767"/>
      <c r="AF31" s="1767"/>
      <c r="AG31" s="1767"/>
      <c r="AH31" s="1767"/>
      <c r="AI31" s="1767"/>
      <c r="AJ31" s="1767"/>
      <c r="AK31" s="1767"/>
      <c r="AL31" s="1767"/>
      <c r="AM31" s="1767"/>
      <c r="AN31" s="1767"/>
      <c r="AO31" s="1767"/>
      <c r="AP31" s="1767"/>
      <c r="AQ31" s="1767"/>
      <c r="AR31" s="1767"/>
      <c r="AS31" s="1767"/>
      <c r="AT31" s="1767"/>
      <c r="AU31" s="1767"/>
      <c r="AV31" s="1767"/>
      <c r="AW31" s="1767"/>
      <c r="AX31" s="1767"/>
      <c r="AY31" s="1767"/>
      <c r="AZ31" s="1767"/>
      <c r="BA31" s="1767"/>
      <c r="BB31" s="1767"/>
      <c r="BC31" s="1767"/>
      <c r="BD31" s="1767"/>
      <c r="BE31" s="1767"/>
      <c r="BF31" s="1767"/>
      <c r="BG31" s="1767"/>
      <c r="BH31" s="1767"/>
      <c r="BI31" s="1767"/>
      <c r="BJ31" s="1767"/>
      <c r="BK31" s="1767"/>
      <c r="BL31" s="1767"/>
      <c r="BM31" s="1767"/>
      <c r="BN31" s="1767"/>
      <c r="BO31" s="1767"/>
      <c r="BP31" s="1767"/>
      <c r="BQ31" s="1767"/>
      <c r="BR31" s="1767"/>
      <c r="BS31" s="1767"/>
      <c r="BT31" s="1768"/>
    </row>
    <row r="32" spans="2:91" ht="15" customHeight="1" x14ac:dyDescent="0.2">
      <c r="B32" s="1766"/>
      <c r="C32" s="1767"/>
      <c r="D32" s="1767"/>
      <c r="E32" s="1767"/>
      <c r="F32" s="1767"/>
      <c r="G32" s="1767"/>
      <c r="H32" s="1767"/>
      <c r="I32" s="1767"/>
      <c r="J32" s="1767"/>
      <c r="K32" s="1767"/>
      <c r="L32" s="1767"/>
      <c r="M32" s="1767"/>
      <c r="N32" s="1767"/>
      <c r="O32" s="1767"/>
      <c r="P32" s="1767"/>
      <c r="Q32" s="1767"/>
      <c r="R32" s="1767"/>
      <c r="S32" s="1767"/>
      <c r="T32" s="1767"/>
      <c r="U32" s="1767"/>
      <c r="V32" s="1767"/>
      <c r="W32" s="1767"/>
      <c r="X32" s="1767"/>
      <c r="Y32" s="1767"/>
      <c r="Z32" s="1767"/>
      <c r="AA32" s="1767"/>
      <c r="AB32" s="1767"/>
      <c r="AC32" s="1767"/>
      <c r="AD32" s="1767"/>
      <c r="AE32" s="1767"/>
      <c r="AF32" s="1767"/>
      <c r="AG32" s="1767"/>
      <c r="AH32" s="1767"/>
      <c r="AI32" s="1767"/>
      <c r="AJ32" s="1767"/>
      <c r="AK32" s="1767"/>
      <c r="AL32" s="1767"/>
      <c r="AM32" s="1767"/>
      <c r="AN32" s="1767"/>
      <c r="AO32" s="1767"/>
      <c r="AP32" s="1767"/>
      <c r="AQ32" s="1767"/>
      <c r="AR32" s="1767"/>
      <c r="AS32" s="1767"/>
      <c r="AT32" s="1767"/>
      <c r="AU32" s="1767"/>
      <c r="AV32" s="1767"/>
      <c r="AW32" s="1767"/>
      <c r="AX32" s="1767"/>
      <c r="AY32" s="1767"/>
      <c r="AZ32" s="1767"/>
      <c r="BA32" s="1767"/>
      <c r="BB32" s="1767"/>
      <c r="BC32" s="1767"/>
      <c r="BD32" s="1767"/>
      <c r="BE32" s="1767"/>
      <c r="BF32" s="1767"/>
      <c r="BG32" s="1767"/>
      <c r="BH32" s="1767"/>
      <c r="BI32" s="1767"/>
      <c r="BJ32" s="1767"/>
      <c r="BK32" s="1767"/>
      <c r="BL32" s="1767"/>
      <c r="BM32" s="1767"/>
      <c r="BN32" s="1767"/>
      <c r="BO32" s="1767"/>
      <c r="BP32" s="1767"/>
      <c r="BQ32" s="1767"/>
      <c r="BR32" s="1767"/>
      <c r="BS32" s="1767"/>
      <c r="BT32" s="1768"/>
    </row>
    <row r="33" spans="2:81" ht="15" customHeight="1" x14ac:dyDescent="0.2">
      <c r="B33" s="1766"/>
      <c r="C33" s="1767"/>
      <c r="D33" s="1767"/>
      <c r="E33" s="1767"/>
      <c r="F33" s="1767"/>
      <c r="G33" s="1767"/>
      <c r="H33" s="1767"/>
      <c r="I33" s="1767"/>
      <c r="J33" s="1767"/>
      <c r="K33" s="1767"/>
      <c r="L33" s="1767"/>
      <c r="M33" s="1767"/>
      <c r="N33" s="1767"/>
      <c r="O33" s="1767"/>
      <c r="P33" s="1767"/>
      <c r="Q33" s="1767"/>
      <c r="R33" s="1767"/>
      <c r="S33" s="1767"/>
      <c r="T33" s="1767"/>
      <c r="U33" s="1767"/>
      <c r="V33" s="1767"/>
      <c r="W33" s="1767"/>
      <c r="X33" s="1767"/>
      <c r="Y33" s="1767"/>
      <c r="Z33" s="1767"/>
      <c r="AA33" s="1767"/>
      <c r="AB33" s="1767"/>
      <c r="AC33" s="1767"/>
      <c r="AD33" s="1767"/>
      <c r="AE33" s="1767"/>
      <c r="AF33" s="1767"/>
      <c r="AG33" s="1767"/>
      <c r="AH33" s="1767"/>
      <c r="AI33" s="1767"/>
      <c r="AJ33" s="1767"/>
      <c r="AK33" s="1767"/>
      <c r="AL33" s="1767"/>
      <c r="AM33" s="1767"/>
      <c r="AN33" s="1767"/>
      <c r="AO33" s="1767"/>
      <c r="AP33" s="1767"/>
      <c r="AQ33" s="1767"/>
      <c r="AR33" s="1767"/>
      <c r="AS33" s="1767"/>
      <c r="AT33" s="1767"/>
      <c r="AU33" s="1767"/>
      <c r="AV33" s="1767"/>
      <c r="AW33" s="1767"/>
      <c r="AX33" s="1767"/>
      <c r="AY33" s="1767"/>
      <c r="AZ33" s="1767"/>
      <c r="BA33" s="1767"/>
      <c r="BB33" s="1767"/>
      <c r="BC33" s="1767"/>
      <c r="BD33" s="1767"/>
      <c r="BE33" s="1767"/>
      <c r="BF33" s="1767"/>
      <c r="BG33" s="1767"/>
      <c r="BH33" s="1767"/>
      <c r="BI33" s="1767"/>
      <c r="BJ33" s="1767"/>
      <c r="BK33" s="1767"/>
      <c r="BL33" s="1767"/>
      <c r="BM33" s="1767"/>
      <c r="BN33" s="1767"/>
      <c r="BO33" s="1767"/>
      <c r="BP33" s="1767"/>
      <c r="BQ33" s="1767"/>
      <c r="BR33" s="1767"/>
      <c r="BS33" s="1767"/>
      <c r="BT33" s="1768"/>
    </row>
    <row r="34" spans="2:81" ht="15" customHeight="1" x14ac:dyDescent="0.2">
      <c r="B34" s="1766"/>
      <c r="C34" s="1767"/>
      <c r="D34" s="1767"/>
      <c r="E34" s="1767"/>
      <c r="F34" s="1767"/>
      <c r="G34" s="1767"/>
      <c r="H34" s="1767"/>
      <c r="I34" s="1767"/>
      <c r="J34" s="1767"/>
      <c r="K34" s="1767"/>
      <c r="L34" s="1767"/>
      <c r="M34" s="1767"/>
      <c r="N34" s="1767"/>
      <c r="O34" s="1767"/>
      <c r="P34" s="1767"/>
      <c r="Q34" s="1767"/>
      <c r="R34" s="1767"/>
      <c r="S34" s="1767"/>
      <c r="T34" s="1767"/>
      <c r="U34" s="1767"/>
      <c r="V34" s="1767"/>
      <c r="W34" s="1767"/>
      <c r="X34" s="1767"/>
      <c r="Y34" s="1767"/>
      <c r="Z34" s="1767"/>
      <c r="AA34" s="1767"/>
      <c r="AB34" s="1767"/>
      <c r="AC34" s="1767"/>
      <c r="AD34" s="1767"/>
      <c r="AE34" s="1767"/>
      <c r="AF34" s="1767"/>
      <c r="AG34" s="1767"/>
      <c r="AH34" s="1767"/>
      <c r="AI34" s="1767"/>
      <c r="AJ34" s="1767"/>
      <c r="AK34" s="1767"/>
      <c r="AL34" s="1767"/>
      <c r="AM34" s="1767"/>
      <c r="AN34" s="1767"/>
      <c r="AO34" s="1767"/>
      <c r="AP34" s="1767"/>
      <c r="AQ34" s="1767"/>
      <c r="AR34" s="1767"/>
      <c r="AS34" s="1767"/>
      <c r="AT34" s="1767"/>
      <c r="AU34" s="1767"/>
      <c r="AV34" s="1767"/>
      <c r="AW34" s="1767"/>
      <c r="AX34" s="1767"/>
      <c r="AY34" s="1767"/>
      <c r="AZ34" s="1767"/>
      <c r="BA34" s="1767"/>
      <c r="BB34" s="1767"/>
      <c r="BC34" s="1767"/>
      <c r="BD34" s="1767"/>
      <c r="BE34" s="1767"/>
      <c r="BF34" s="1767"/>
      <c r="BG34" s="1767"/>
      <c r="BH34" s="1767"/>
      <c r="BI34" s="1767"/>
      <c r="BJ34" s="1767"/>
      <c r="BK34" s="1767"/>
      <c r="BL34" s="1767"/>
      <c r="BM34" s="1767"/>
      <c r="BN34" s="1767"/>
      <c r="BO34" s="1767"/>
      <c r="BP34" s="1767"/>
      <c r="BQ34" s="1767"/>
      <c r="BR34" s="1767"/>
      <c r="BS34" s="1767"/>
      <c r="BT34" s="1768"/>
    </row>
    <row r="35" spans="2:81" ht="15" customHeight="1" x14ac:dyDescent="0.2">
      <c r="B35" s="1766"/>
      <c r="C35" s="1767"/>
      <c r="D35" s="1767"/>
      <c r="E35" s="1767"/>
      <c r="F35" s="1767"/>
      <c r="G35" s="1767"/>
      <c r="H35" s="1767"/>
      <c r="I35" s="1767"/>
      <c r="J35" s="1767"/>
      <c r="K35" s="1767"/>
      <c r="L35" s="1767"/>
      <c r="M35" s="1767"/>
      <c r="N35" s="1767"/>
      <c r="O35" s="1767"/>
      <c r="P35" s="1767"/>
      <c r="Q35" s="1767"/>
      <c r="R35" s="1767"/>
      <c r="S35" s="1767"/>
      <c r="T35" s="1767"/>
      <c r="U35" s="1767"/>
      <c r="V35" s="1767"/>
      <c r="W35" s="1767"/>
      <c r="X35" s="1767"/>
      <c r="Y35" s="1767"/>
      <c r="Z35" s="1767"/>
      <c r="AA35" s="1767"/>
      <c r="AB35" s="1767"/>
      <c r="AC35" s="1767"/>
      <c r="AD35" s="1767"/>
      <c r="AE35" s="1767"/>
      <c r="AF35" s="1767"/>
      <c r="AG35" s="1767"/>
      <c r="AH35" s="1767"/>
      <c r="AI35" s="1767"/>
      <c r="AJ35" s="1767"/>
      <c r="AK35" s="1767"/>
      <c r="AL35" s="1767"/>
      <c r="AM35" s="1767"/>
      <c r="AN35" s="1767"/>
      <c r="AO35" s="1767"/>
      <c r="AP35" s="1767"/>
      <c r="AQ35" s="1767"/>
      <c r="AR35" s="1767"/>
      <c r="AS35" s="1767"/>
      <c r="AT35" s="1767"/>
      <c r="AU35" s="1767"/>
      <c r="AV35" s="1767"/>
      <c r="AW35" s="1767"/>
      <c r="AX35" s="1767"/>
      <c r="AY35" s="1767"/>
      <c r="AZ35" s="1767"/>
      <c r="BA35" s="1767"/>
      <c r="BB35" s="1767"/>
      <c r="BC35" s="1767"/>
      <c r="BD35" s="1767"/>
      <c r="BE35" s="1767"/>
      <c r="BF35" s="1767"/>
      <c r="BG35" s="1767"/>
      <c r="BH35" s="1767"/>
      <c r="BI35" s="1767"/>
      <c r="BJ35" s="1767"/>
      <c r="BK35" s="1767"/>
      <c r="BL35" s="1767"/>
      <c r="BM35" s="1767"/>
      <c r="BN35" s="1767"/>
      <c r="BO35" s="1767"/>
      <c r="BP35" s="1767"/>
      <c r="BQ35" s="1767"/>
      <c r="BR35" s="1767"/>
      <c r="BS35" s="1767"/>
      <c r="BT35" s="1768"/>
    </row>
    <row r="36" spans="2:81" ht="15" customHeight="1" x14ac:dyDescent="0.2">
      <c r="B36" s="1766"/>
      <c r="C36" s="1767"/>
      <c r="D36" s="1767"/>
      <c r="E36" s="1767"/>
      <c r="F36" s="1767"/>
      <c r="G36" s="1767"/>
      <c r="H36" s="1767"/>
      <c r="I36" s="1767"/>
      <c r="J36" s="1767"/>
      <c r="K36" s="1767"/>
      <c r="L36" s="1767"/>
      <c r="M36" s="1767"/>
      <c r="N36" s="1767"/>
      <c r="O36" s="1767"/>
      <c r="P36" s="1767"/>
      <c r="Q36" s="1767"/>
      <c r="R36" s="1767"/>
      <c r="S36" s="1767"/>
      <c r="T36" s="1767"/>
      <c r="U36" s="1767"/>
      <c r="V36" s="1767"/>
      <c r="W36" s="1767"/>
      <c r="X36" s="1767"/>
      <c r="Y36" s="1767"/>
      <c r="Z36" s="1767"/>
      <c r="AA36" s="1767"/>
      <c r="AB36" s="1767"/>
      <c r="AC36" s="1767"/>
      <c r="AD36" s="1767"/>
      <c r="AE36" s="1767"/>
      <c r="AF36" s="1767"/>
      <c r="AG36" s="1767"/>
      <c r="AH36" s="1767"/>
      <c r="AI36" s="1767"/>
      <c r="AJ36" s="1767"/>
      <c r="AK36" s="1767"/>
      <c r="AL36" s="1767"/>
      <c r="AM36" s="1767"/>
      <c r="AN36" s="1767"/>
      <c r="AO36" s="1767"/>
      <c r="AP36" s="1767"/>
      <c r="AQ36" s="1767"/>
      <c r="AR36" s="1767"/>
      <c r="AS36" s="1767"/>
      <c r="AT36" s="1767"/>
      <c r="AU36" s="1767"/>
      <c r="AV36" s="1767"/>
      <c r="AW36" s="1767"/>
      <c r="AX36" s="1767"/>
      <c r="AY36" s="1767"/>
      <c r="AZ36" s="1767"/>
      <c r="BA36" s="1767"/>
      <c r="BB36" s="1767"/>
      <c r="BC36" s="1767"/>
      <c r="BD36" s="1767"/>
      <c r="BE36" s="1767"/>
      <c r="BF36" s="1767"/>
      <c r="BG36" s="1767"/>
      <c r="BH36" s="1767"/>
      <c r="BI36" s="1767"/>
      <c r="BJ36" s="1767"/>
      <c r="BK36" s="1767"/>
      <c r="BL36" s="1767"/>
      <c r="BM36" s="1767"/>
      <c r="BN36" s="1767"/>
      <c r="BO36" s="1767"/>
      <c r="BP36" s="1767"/>
      <c r="BQ36" s="1767"/>
      <c r="BR36" s="1767"/>
      <c r="BS36" s="1767"/>
      <c r="BT36" s="1768"/>
    </row>
    <row r="37" spans="2:81" ht="15" customHeight="1" x14ac:dyDescent="0.2">
      <c r="B37" s="1766"/>
      <c r="C37" s="1767"/>
      <c r="D37" s="1767"/>
      <c r="E37" s="1767"/>
      <c r="F37" s="1767"/>
      <c r="G37" s="1767"/>
      <c r="H37" s="1767"/>
      <c r="I37" s="1767"/>
      <c r="J37" s="1767"/>
      <c r="K37" s="1767"/>
      <c r="L37" s="1767"/>
      <c r="M37" s="1767"/>
      <c r="N37" s="1767"/>
      <c r="O37" s="1767"/>
      <c r="P37" s="1767"/>
      <c r="Q37" s="1767"/>
      <c r="R37" s="1767"/>
      <c r="S37" s="1767"/>
      <c r="T37" s="1767"/>
      <c r="U37" s="1767"/>
      <c r="V37" s="1767"/>
      <c r="W37" s="1767"/>
      <c r="X37" s="1767"/>
      <c r="Y37" s="1767"/>
      <c r="Z37" s="1767"/>
      <c r="AA37" s="1767"/>
      <c r="AB37" s="1767"/>
      <c r="AC37" s="1767"/>
      <c r="AD37" s="1767"/>
      <c r="AE37" s="1767"/>
      <c r="AF37" s="1767"/>
      <c r="AG37" s="1767"/>
      <c r="AH37" s="1767"/>
      <c r="AI37" s="1767"/>
      <c r="AJ37" s="1767"/>
      <c r="AK37" s="1767"/>
      <c r="AL37" s="1767"/>
      <c r="AM37" s="1767"/>
      <c r="AN37" s="1767"/>
      <c r="AO37" s="1767"/>
      <c r="AP37" s="1767"/>
      <c r="AQ37" s="1767"/>
      <c r="AR37" s="1767"/>
      <c r="AS37" s="1767"/>
      <c r="AT37" s="1767"/>
      <c r="AU37" s="1767"/>
      <c r="AV37" s="1767"/>
      <c r="AW37" s="1767"/>
      <c r="AX37" s="1767"/>
      <c r="AY37" s="1767"/>
      <c r="AZ37" s="1767"/>
      <c r="BA37" s="1767"/>
      <c r="BB37" s="1767"/>
      <c r="BC37" s="1767"/>
      <c r="BD37" s="1767"/>
      <c r="BE37" s="1767"/>
      <c r="BF37" s="1767"/>
      <c r="BG37" s="1767"/>
      <c r="BH37" s="1767"/>
      <c r="BI37" s="1767"/>
      <c r="BJ37" s="1767"/>
      <c r="BK37" s="1767"/>
      <c r="BL37" s="1767"/>
      <c r="BM37" s="1767"/>
      <c r="BN37" s="1767"/>
      <c r="BO37" s="1767"/>
      <c r="BP37" s="1767"/>
      <c r="BQ37" s="1767"/>
      <c r="BR37" s="1767"/>
      <c r="BS37" s="1767"/>
      <c r="BT37" s="1768"/>
      <c r="BV37" s="917" t="s">
        <v>1868</v>
      </c>
      <c r="BW37" s="918"/>
      <c r="BX37" s="918"/>
      <c r="BY37" s="918"/>
      <c r="BZ37" s="918"/>
      <c r="CA37" s="918"/>
      <c r="CB37" s="918"/>
      <c r="CC37" s="887"/>
    </row>
    <row r="38" spans="2:81" ht="15" customHeight="1" x14ac:dyDescent="0.2">
      <c r="B38" s="1766"/>
      <c r="C38" s="1767"/>
      <c r="D38" s="1767"/>
      <c r="E38" s="1767"/>
      <c r="F38" s="1767"/>
      <c r="G38" s="1767"/>
      <c r="H38" s="1767"/>
      <c r="I38" s="1767"/>
      <c r="J38" s="1767"/>
      <c r="K38" s="1767"/>
      <c r="L38" s="1767"/>
      <c r="M38" s="1767"/>
      <c r="N38" s="1767"/>
      <c r="O38" s="1767"/>
      <c r="P38" s="1767"/>
      <c r="Q38" s="1767"/>
      <c r="R38" s="1767"/>
      <c r="S38" s="1767"/>
      <c r="T38" s="1767"/>
      <c r="U38" s="1767"/>
      <c r="V38" s="1767"/>
      <c r="W38" s="1767"/>
      <c r="X38" s="1767"/>
      <c r="Y38" s="1767"/>
      <c r="Z38" s="1767"/>
      <c r="AA38" s="1767"/>
      <c r="AB38" s="1767"/>
      <c r="AC38" s="1767"/>
      <c r="AD38" s="1767"/>
      <c r="AE38" s="1767"/>
      <c r="AF38" s="1767"/>
      <c r="AG38" s="1767"/>
      <c r="AH38" s="1767"/>
      <c r="AI38" s="1767"/>
      <c r="AJ38" s="1767"/>
      <c r="AK38" s="1767"/>
      <c r="AL38" s="1767"/>
      <c r="AM38" s="1767"/>
      <c r="AN38" s="1767"/>
      <c r="AO38" s="1767"/>
      <c r="AP38" s="1767"/>
      <c r="AQ38" s="1767"/>
      <c r="AR38" s="1767"/>
      <c r="AS38" s="1767"/>
      <c r="AT38" s="1767"/>
      <c r="AU38" s="1767"/>
      <c r="AV38" s="1767"/>
      <c r="AW38" s="1767"/>
      <c r="AX38" s="1767"/>
      <c r="AY38" s="1767"/>
      <c r="AZ38" s="1767"/>
      <c r="BA38" s="1767"/>
      <c r="BB38" s="1767"/>
      <c r="BC38" s="1767"/>
      <c r="BD38" s="1767"/>
      <c r="BE38" s="1767"/>
      <c r="BF38" s="1767"/>
      <c r="BG38" s="1767"/>
      <c r="BH38" s="1767"/>
      <c r="BI38" s="1767"/>
      <c r="BJ38" s="1767"/>
      <c r="BK38" s="1767"/>
      <c r="BL38" s="1767"/>
      <c r="BM38" s="1767"/>
      <c r="BN38" s="1767"/>
      <c r="BO38" s="1767"/>
      <c r="BP38" s="1767"/>
      <c r="BQ38" s="1767"/>
      <c r="BR38" s="1767"/>
      <c r="BS38" s="1767"/>
      <c r="BT38" s="1768"/>
      <c r="BV38" s="917" t="s">
        <v>1869</v>
      </c>
      <c r="BW38" s="918"/>
      <c r="BX38" s="918"/>
      <c r="BY38" s="918"/>
      <c r="BZ38" s="918"/>
      <c r="CA38" s="918"/>
      <c r="CB38" s="918"/>
      <c r="CC38" s="887"/>
    </row>
    <row r="39" spans="2:81" ht="15" customHeight="1" x14ac:dyDescent="0.2">
      <c r="B39" s="1766"/>
      <c r="C39" s="1767"/>
      <c r="D39" s="1767"/>
      <c r="E39" s="1767"/>
      <c r="F39" s="1767"/>
      <c r="G39" s="1767"/>
      <c r="H39" s="1767"/>
      <c r="I39" s="1767"/>
      <c r="J39" s="1767"/>
      <c r="K39" s="1767"/>
      <c r="L39" s="1767"/>
      <c r="M39" s="1767"/>
      <c r="N39" s="1767"/>
      <c r="O39" s="1767"/>
      <c r="P39" s="1767"/>
      <c r="Q39" s="1767"/>
      <c r="R39" s="1767"/>
      <c r="S39" s="1767"/>
      <c r="T39" s="1767"/>
      <c r="U39" s="1767"/>
      <c r="V39" s="1767"/>
      <c r="W39" s="1767"/>
      <c r="X39" s="1767"/>
      <c r="Y39" s="1767"/>
      <c r="Z39" s="1767"/>
      <c r="AA39" s="1767"/>
      <c r="AB39" s="1767"/>
      <c r="AC39" s="1767"/>
      <c r="AD39" s="1767"/>
      <c r="AE39" s="1767"/>
      <c r="AF39" s="1767"/>
      <c r="AG39" s="1767"/>
      <c r="AH39" s="1767"/>
      <c r="AI39" s="1767"/>
      <c r="AJ39" s="1767"/>
      <c r="AK39" s="1767"/>
      <c r="AL39" s="1767"/>
      <c r="AM39" s="1767"/>
      <c r="AN39" s="1767"/>
      <c r="AO39" s="1767"/>
      <c r="AP39" s="1767"/>
      <c r="AQ39" s="1767"/>
      <c r="AR39" s="1767"/>
      <c r="AS39" s="1767"/>
      <c r="AT39" s="1767"/>
      <c r="AU39" s="1767"/>
      <c r="AV39" s="1767"/>
      <c r="AW39" s="1767"/>
      <c r="AX39" s="1767"/>
      <c r="AY39" s="1767"/>
      <c r="AZ39" s="1767"/>
      <c r="BA39" s="1767"/>
      <c r="BB39" s="1767"/>
      <c r="BC39" s="1767"/>
      <c r="BD39" s="1767"/>
      <c r="BE39" s="1767"/>
      <c r="BF39" s="1767"/>
      <c r="BG39" s="1767"/>
      <c r="BH39" s="1767"/>
      <c r="BI39" s="1767"/>
      <c r="BJ39" s="1767"/>
      <c r="BK39" s="1767"/>
      <c r="BL39" s="1767"/>
      <c r="BM39" s="1767"/>
      <c r="BN39" s="1767"/>
      <c r="BO39" s="1767"/>
      <c r="BP39" s="1767"/>
      <c r="BQ39" s="1767"/>
      <c r="BR39" s="1767"/>
      <c r="BS39" s="1767"/>
      <c r="BT39" s="1768"/>
      <c r="BV39" s="917" t="s">
        <v>1870</v>
      </c>
      <c r="BW39" s="918"/>
      <c r="BX39" s="918"/>
      <c r="BY39" s="918"/>
      <c r="BZ39" s="918"/>
      <c r="CA39" s="918"/>
      <c r="CB39" s="918"/>
      <c r="CC39" s="887"/>
    </row>
    <row r="40" spans="2:81" ht="15" customHeight="1" x14ac:dyDescent="0.2">
      <c r="B40" s="1766"/>
      <c r="C40" s="1767"/>
      <c r="D40" s="1767"/>
      <c r="E40" s="1767"/>
      <c r="F40" s="1767"/>
      <c r="G40" s="1767"/>
      <c r="H40" s="1767"/>
      <c r="I40" s="1767"/>
      <c r="J40" s="1767"/>
      <c r="K40" s="1767"/>
      <c r="L40" s="1767"/>
      <c r="M40" s="1767"/>
      <c r="N40" s="1767"/>
      <c r="O40" s="1767"/>
      <c r="P40" s="1767"/>
      <c r="Q40" s="1767"/>
      <c r="R40" s="1767"/>
      <c r="S40" s="1767"/>
      <c r="T40" s="1767"/>
      <c r="U40" s="1767"/>
      <c r="V40" s="1767"/>
      <c r="W40" s="1767"/>
      <c r="X40" s="1767"/>
      <c r="Y40" s="1767"/>
      <c r="Z40" s="1767"/>
      <c r="AA40" s="1767"/>
      <c r="AB40" s="1767"/>
      <c r="AC40" s="1767"/>
      <c r="AD40" s="1767"/>
      <c r="AE40" s="1767"/>
      <c r="AF40" s="1767"/>
      <c r="AG40" s="1767"/>
      <c r="AH40" s="1767"/>
      <c r="AI40" s="1767"/>
      <c r="AJ40" s="1767"/>
      <c r="AK40" s="1767"/>
      <c r="AL40" s="1767"/>
      <c r="AM40" s="1767"/>
      <c r="AN40" s="1767"/>
      <c r="AO40" s="1767"/>
      <c r="AP40" s="1767"/>
      <c r="AQ40" s="1767"/>
      <c r="AR40" s="1767"/>
      <c r="AS40" s="1767"/>
      <c r="AT40" s="1767"/>
      <c r="AU40" s="1767"/>
      <c r="AV40" s="1767"/>
      <c r="AW40" s="1767"/>
      <c r="AX40" s="1767"/>
      <c r="AY40" s="1767"/>
      <c r="AZ40" s="1767"/>
      <c r="BA40" s="1767"/>
      <c r="BB40" s="1767"/>
      <c r="BC40" s="1767"/>
      <c r="BD40" s="1767"/>
      <c r="BE40" s="1767"/>
      <c r="BF40" s="1767"/>
      <c r="BG40" s="1767"/>
      <c r="BH40" s="1767"/>
      <c r="BI40" s="1767"/>
      <c r="BJ40" s="1767"/>
      <c r="BK40" s="1767"/>
      <c r="BL40" s="1767"/>
      <c r="BM40" s="1767"/>
      <c r="BN40" s="1767"/>
      <c r="BO40" s="1767"/>
      <c r="BP40" s="1767"/>
      <c r="BQ40" s="1767"/>
      <c r="BR40" s="1767"/>
      <c r="BS40" s="1767"/>
      <c r="BT40" s="1768"/>
    </row>
    <row r="41" spans="2:81" ht="15" customHeight="1" x14ac:dyDescent="0.2">
      <c r="B41" s="1766"/>
      <c r="C41" s="1767"/>
      <c r="D41" s="1767"/>
      <c r="E41" s="1767"/>
      <c r="F41" s="1767"/>
      <c r="G41" s="1767"/>
      <c r="H41" s="1767"/>
      <c r="I41" s="1767"/>
      <c r="J41" s="1767"/>
      <c r="K41" s="1767"/>
      <c r="L41" s="1767"/>
      <c r="M41" s="1767"/>
      <c r="N41" s="1767"/>
      <c r="O41" s="1767"/>
      <c r="P41" s="1767"/>
      <c r="Q41" s="1767"/>
      <c r="R41" s="1767"/>
      <c r="S41" s="1767"/>
      <c r="T41" s="1767"/>
      <c r="U41" s="1767"/>
      <c r="V41" s="1767"/>
      <c r="W41" s="1767"/>
      <c r="X41" s="1767"/>
      <c r="Y41" s="1767"/>
      <c r="Z41" s="1767"/>
      <c r="AA41" s="1767"/>
      <c r="AB41" s="1767"/>
      <c r="AC41" s="1767"/>
      <c r="AD41" s="1767"/>
      <c r="AE41" s="1767"/>
      <c r="AF41" s="1767"/>
      <c r="AG41" s="1767"/>
      <c r="AH41" s="1767"/>
      <c r="AI41" s="1767"/>
      <c r="AJ41" s="1767"/>
      <c r="AK41" s="1767"/>
      <c r="AL41" s="1767"/>
      <c r="AM41" s="1767"/>
      <c r="AN41" s="1767"/>
      <c r="AO41" s="1767"/>
      <c r="AP41" s="1767"/>
      <c r="AQ41" s="1767"/>
      <c r="AR41" s="1767"/>
      <c r="AS41" s="1767"/>
      <c r="AT41" s="1767"/>
      <c r="AU41" s="1767"/>
      <c r="AV41" s="1767"/>
      <c r="AW41" s="1767"/>
      <c r="AX41" s="1767"/>
      <c r="AY41" s="1767"/>
      <c r="AZ41" s="1767"/>
      <c r="BA41" s="1767"/>
      <c r="BB41" s="1767"/>
      <c r="BC41" s="1767"/>
      <c r="BD41" s="1767"/>
      <c r="BE41" s="1767"/>
      <c r="BF41" s="1767"/>
      <c r="BG41" s="1767"/>
      <c r="BH41" s="1767"/>
      <c r="BI41" s="1767"/>
      <c r="BJ41" s="1767"/>
      <c r="BK41" s="1767"/>
      <c r="BL41" s="1767"/>
      <c r="BM41" s="1767"/>
      <c r="BN41" s="1767"/>
      <c r="BO41" s="1767"/>
      <c r="BP41" s="1767"/>
      <c r="BQ41" s="1767"/>
      <c r="BR41" s="1767"/>
      <c r="BS41" s="1767"/>
      <c r="BT41" s="1768"/>
    </row>
    <row r="42" spans="2:81" ht="15" customHeight="1" x14ac:dyDescent="0.2">
      <c r="B42" s="1766"/>
      <c r="C42" s="1767"/>
      <c r="D42" s="1767"/>
      <c r="E42" s="1767"/>
      <c r="F42" s="1767"/>
      <c r="G42" s="1767"/>
      <c r="H42" s="1767"/>
      <c r="I42" s="1767"/>
      <c r="J42" s="1767"/>
      <c r="K42" s="1767"/>
      <c r="L42" s="1767"/>
      <c r="M42" s="1767"/>
      <c r="N42" s="1767"/>
      <c r="O42" s="1767"/>
      <c r="P42" s="1767"/>
      <c r="Q42" s="1767"/>
      <c r="R42" s="1767"/>
      <c r="S42" s="1767"/>
      <c r="T42" s="1767"/>
      <c r="U42" s="1767"/>
      <c r="V42" s="1767"/>
      <c r="W42" s="1767"/>
      <c r="X42" s="1767"/>
      <c r="Y42" s="1767"/>
      <c r="Z42" s="1767"/>
      <c r="AA42" s="1767"/>
      <c r="AB42" s="1767"/>
      <c r="AC42" s="1767"/>
      <c r="AD42" s="1767"/>
      <c r="AE42" s="1767"/>
      <c r="AF42" s="1767"/>
      <c r="AG42" s="1767"/>
      <c r="AH42" s="1767"/>
      <c r="AI42" s="1767"/>
      <c r="AJ42" s="1767"/>
      <c r="AK42" s="1767"/>
      <c r="AL42" s="1767"/>
      <c r="AM42" s="1767"/>
      <c r="AN42" s="1767"/>
      <c r="AO42" s="1767"/>
      <c r="AP42" s="1767"/>
      <c r="AQ42" s="1767"/>
      <c r="AR42" s="1767"/>
      <c r="AS42" s="1767"/>
      <c r="AT42" s="1767"/>
      <c r="AU42" s="1767"/>
      <c r="AV42" s="1767"/>
      <c r="AW42" s="1767"/>
      <c r="AX42" s="1767"/>
      <c r="AY42" s="1767"/>
      <c r="AZ42" s="1767"/>
      <c r="BA42" s="1767"/>
      <c r="BB42" s="1767"/>
      <c r="BC42" s="1767"/>
      <c r="BD42" s="1767"/>
      <c r="BE42" s="1767"/>
      <c r="BF42" s="1767"/>
      <c r="BG42" s="1767"/>
      <c r="BH42" s="1767"/>
      <c r="BI42" s="1767"/>
      <c r="BJ42" s="1767"/>
      <c r="BK42" s="1767"/>
      <c r="BL42" s="1767"/>
      <c r="BM42" s="1767"/>
      <c r="BN42" s="1767"/>
      <c r="BO42" s="1767"/>
      <c r="BP42" s="1767"/>
      <c r="BQ42" s="1767"/>
      <c r="BR42" s="1767"/>
      <c r="BS42" s="1767"/>
      <c r="BT42" s="1768"/>
    </row>
    <row r="43" spans="2:81" ht="15" customHeight="1" x14ac:dyDescent="0.2">
      <c r="B43" s="1766"/>
      <c r="C43" s="1767"/>
      <c r="D43" s="1767"/>
      <c r="E43" s="1767"/>
      <c r="F43" s="1767"/>
      <c r="G43" s="1767"/>
      <c r="H43" s="1767"/>
      <c r="I43" s="1767"/>
      <c r="J43" s="1767"/>
      <c r="K43" s="1767"/>
      <c r="L43" s="1767"/>
      <c r="M43" s="1767"/>
      <c r="N43" s="1767"/>
      <c r="O43" s="1767"/>
      <c r="P43" s="1767"/>
      <c r="Q43" s="1767"/>
      <c r="R43" s="1767"/>
      <c r="S43" s="1767"/>
      <c r="T43" s="1767"/>
      <c r="U43" s="1767"/>
      <c r="V43" s="1767"/>
      <c r="W43" s="1767"/>
      <c r="X43" s="1767"/>
      <c r="Y43" s="1767"/>
      <c r="Z43" s="1767"/>
      <c r="AA43" s="1767"/>
      <c r="AB43" s="1767"/>
      <c r="AC43" s="1767"/>
      <c r="AD43" s="1767"/>
      <c r="AE43" s="1767"/>
      <c r="AF43" s="1767"/>
      <c r="AG43" s="1767"/>
      <c r="AH43" s="1767"/>
      <c r="AI43" s="1767"/>
      <c r="AJ43" s="1767"/>
      <c r="AK43" s="1767"/>
      <c r="AL43" s="1767"/>
      <c r="AM43" s="1767"/>
      <c r="AN43" s="1767"/>
      <c r="AO43" s="1767"/>
      <c r="AP43" s="1767"/>
      <c r="AQ43" s="1767"/>
      <c r="AR43" s="1767"/>
      <c r="AS43" s="1767"/>
      <c r="AT43" s="1767"/>
      <c r="AU43" s="1767"/>
      <c r="AV43" s="1767"/>
      <c r="AW43" s="1767"/>
      <c r="AX43" s="1767"/>
      <c r="AY43" s="1767"/>
      <c r="AZ43" s="1767"/>
      <c r="BA43" s="1767"/>
      <c r="BB43" s="1767"/>
      <c r="BC43" s="1767"/>
      <c r="BD43" s="1767"/>
      <c r="BE43" s="1767"/>
      <c r="BF43" s="1767"/>
      <c r="BG43" s="1767"/>
      <c r="BH43" s="1767"/>
      <c r="BI43" s="1767"/>
      <c r="BJ43" s="1767"/>
      <c r="BK43" s="1767"/>
      <c r="BL43" s="1767"/>
      <c r="BM43" s="1767"/>
      <c r="BN43" s="1767"/>
      <c r="BO43" s="1767"/>
      <c r="BP43" s="1767"/>
      <c r="BQ43" s="1767"/>
      <c r="BR43" s="1767"/>
      <c r="BS43" s="1767"/>
      <c r="BT43" s="1768"/>
    </row>
    <row r="44" spans="2:81" ht="15" customHeight="1" x14ac:dyDescent="0.2">
      <c r="B44" s="1766"/>
      <c r="C44" s="1767"/>
      <c r="D44" s="1767"/>
      <c r="E44" s="1767"/>
      <c r="F44" s="1767"/>
      <c r="G44" s="1767"/>
      <c r="H44" s="1767"/>
      <c r="I44" s="1767"/>
      <c r="J44" s="1767"/>
      <c r="K44" s="1767"/>
      <c r="L44" s="1767"/>
      <c r="M44" s="1767"/>
      <c r="N44" s="1767"/>
      <c r="O44" s="1767"/>
      <c r="P44" s="1767"/>
      <c r="Q44" s="1767"/>
      <c r="R44" s="1767"/>
      <c r="S44" s="1767"/>
      <c r="T44" s="1767"/>
      <c r="U44" s="1767"/>
      <c r="V44" s="1767"/>
      <c r="W44" s="1767"/>
      <c r="X44" s="1767"/>
      <c r="Y44" s="1767"/>
      <c r="Z44" s="1767"/>
      <c r="AA44" s="1767"/>
      <c r="AB44" s="1767"/>
      <c r="AC44" s="1767"/>
      <c r="AD44" s="1767"/>
      <c r="AE44" s="1767"/>
      <c r="AF44" s="1767"/>
      <c r="AG44" s="1767"/>
      <c r="AH44" s="1767"/>
      <c r="AI44" s="1767"/>
      <c r="AJ44" s="1767"/>
      <c r="AK44" s="1767"/>
      <c r="AL44" s="1767"/>
      <c r="AM44" s="1767"/>
      <c r="AN44" s="1767"/>
      <c r="AO44" s="1767"/>
      <c r="AP44" s="1767"/>
      <c r="AQ44" s="1767"/>
      <c r="AR44" s="1767"/>
      <c r="AS44" s="1767"/>
      <c r="AT44" s="1767"/>
      <c r="AU44" s="1767"/>
      <c r="AV44" s="1767"/>
      <c r="AW44" s="1767"/>
      <c r="AX44" s="1767"/>
      <c r="AY44" s="1767"/>
      <c r="AZ44" s="1767"/>
      <c r="BA44" s="1767"/>
      <c r="BB44" s="1767"/>
      <c r="BC44" s="1767"/>
      <c r="BD44" s="1767"/>
      <c r="BE44" s="1767"/>
      <c r="BF44" s="1767"/>
      <c r="BG44" s="1767"/>
      <c r="BH44" s="1767"/>
      <c r="BI44" s="1767"/>
      <c r="BJ44" s="1767"/>
      <c r="BK44" s="1767"/>
      <c r="BL44" s="1767"/>
      <c r="BM44" s="1767"/>
      <c r="BN44" s="1767"/>
      <c r="BO44" s="1767"/>
      <c r="BP44" s="1767"/>
      <c r="BQ44" s="1767"/>
      <c r="BR44" s="1767"/>
      <c r="BS44" s="1767"/>
      <c r="BT44" s="1768"/>
    </row>
    <row r="45" spans="2:81" ht="15" customHeight="1" x14ac:dyDescent="0.2">
      <c r="B45" s="1766"/>
      <c r="C45" s="1767"/>
      <c r="D45" s="1767"/>
      <c r="E45" s="1767"/>
      <c r="F45" s="1767"/>
      <c r="G45" s="1767"/>
      <c r="H45" s="1767"/>
      <c r="I45" s="1767"/>
      <c r="J45" s="1767"/>
      <c r="K45" s="1767"/>
      <c r="L45" s="1767"/>
      <c r="M45" s="1767"/>
      <c r="N45" s="1767"/>
      <c r="O45" s="1767"/>
      <c r="P45" s="1767"/>
      <c r="Q45" s="1767"/>
      <c r="R45" s="1767"/>
      <c r="S45" s="1767"/>
      <c r="T45" s="1767"/>
      <c r="U45" s="1767"/>
      <c r="V45" s="1767"/>
      <c r="W45" s="1767"/>
      <c r="X45" s="1767"/>
      <c r="Y45" s="1767"/>
      <c r="Z45" s="1767"/>
      <c r="AA45" s="1767"/>
      <c r="AB45" s="1767"/>
      <c r="AC45" s="1767"/>
      <c r="AD45" s="1767"/>
      <c r="AE45" s="1767"/>
      <c r="AF45" s="1767"/>
      <c r="AG45" s="1767"/>
      <c r="AH45" s="1767"/>
      <c r="AI45" s="1767"/>
      <c r="AJ45" s="1767"/>
      <c r="AK45" s="1767"/>
      <c r="AL45" s="1767"/>
      <c r="AM45" s="1767"/>
      <c r="AN45" s="1767"/>
      <c r="AO45" s="1767"/>
      <c r="AP45" s="1767"/>
      <c r="AQ45" s="1767"/>
      <c r="AR45" s="1767"/>
      <c r="AS45" s="1767"/>
      <c r="AT45" s="1767"/>
      <c r="AU45" s="1767"/>
      <c r="AV45" s="1767"/>
      <c r="AW45" s="1767"/>
      <c r="AX45" s="1767"/>
      <c r="AY45" s="1767"/>
      <c r="AZ45" s="1767"/>
      <c r="BA45" s="1767"/>
      <c r="BB45" s="1767"/>
      <c r="BC45" s="1767"/>
      <c r="BD45" s="1767"/>
      <c r="BE45" s="1767"/>
      <c r="BF45" s="1767"/>
      <c r="BG45" s="1767"/>
      <c r="BH45" s="1767"/>
      <c r="BI45" s="1767"/>
      <c r="BJ45" s="1767"/>
      <c r="BK45" s="1767"/>
      <c r="BL45" s="1767"/>
      <c r="BM45" s="1767"/>
      <c r="BN45" s="1767"/>
      <c r="BO45" s="1767"/>
      <c r="BP45" s="1767"/>
      <c r="BQ45" s="1767"/>
      <c r="BR45" s="1767"/>
      <c r="BS45" s="1767"/>
      <c r="BT45" s="1768"/>
    </row>
    <row r="46" spans="2:81" ht="15" customHeight="1" x14ac:dyDescent="0.2">
      <c r="B46" s="1766"/>
      <c r="C46" s="1767"/>
      <c r="D46" s="1767"/>
      <c r="E46" s="1767"/>
      <c r="F46" s="1767"/>
      <c r="G46" s="1767"/>
      <c r="H46" s="1767"/>
      <c r="I46" s="1767"/>
      <c r="J46" s="1767"/>
      <c r="K46" s="1767"/>
      <c r="L46" s="1767"/>
      <c r="M46" s="1767"/>
      <c r="N46" s="1767"/>
      <c r="O46" s="1767"/>
      <c r="P46" s="1767"/>
      <c r="Q46" s="1767"/>
      <c r="R46" s="1767"/>
      <c r="S46" s="1767"/>
      <c r="T46" s="1767"/>
      <c r="U46" s="1767"/>
      <c r="V46" s="1767"/>
      <c r="W46" s="1767"/>
      <c r="X46" s="1767"/>
      <c r="Y46" s="1767"/>
      <c r="Z46" s="1767"/>
      <c r="AA46" s="1767"/>
      <c r="AB46" s="1767"/>
      <c r="AC46" s="1767"/>
      <c r="AD46" s="1767"/>
      <c r="AE46" s="1767"/>
      <c r="AF46" s="1767"/>
      <c r="AG46" s="1767"/>
      <c r="AH46" s="1767"/>
      <c r="AI46" s="1767"/>
      <c r="AJ46" s="1767"/>
      <c r="AK46" s="1767"/>
      <c r="AL46" s="1767"/>
      <c r="AM46" s="1767"/>
      <c r="AN46" s="1767"/>
      <c r="AO46" s="1767"/>
      <c r="AP46" s="1767"/>
      <c r="AQ46" s="1767"/>
      <c r="AR46" s="1767"/>
      <c r="AS46" s="1767"/>
      <c r="AT46" s="1767"/>
      <c r="AU46" s="1767"/>
      <c r="AV46" s="1767"/>
      <c r="AW46" s="1767"/>
      <c r="AX46" s="1767"/>
      <c r="AY46" s="1767"/>
      <c r="AZ46" s="1767"/>
      <c r="BA46" s="1767"/>
      <c r="BB46" s="1767"/>
      <c r="BC46" s="1767"/>
      <c r="BD46" s="1767"/>
      <c r="BE46" s="1767"/>
      <c r="BF46" s="1767"/>
      <c r="BG46" s="1767"/>
      <c r="BH46" s="1767"/>
      <c r="BI46" s="1767"/>
      <c r="BJ46" s="1767"/>
      <c r="BK46" s="1767"/>
      <c r="BL46" s="1767"/>
      <c r="BM46" s="1767"/>
      <c r="BN46" s="1767"/>
      <c r="BO46" s="1767"/>
      <c r="BP46" s="1767"/>
      <c r="BQ46" s="1767"/>
      <c r="BR46" s="1767"/>
      <c r="BS46" s="1767"/>
      <c r="BT46" s="1768"/>
    </row>
    <row r="47" spans="2:81" ht="15" customHeight="1" x14ac:dyDescent="0.2">
      <c r="B47" s="1766"/>
      <c r="C47" s="1767"/>
      <c r="D47" s="1767"/>
      <c r="E47" s="1767"/>
      <c r="F47" s="1767"/>
      <c r="G47" s="1767"/>
      <c r="H47" s="1767"/>
      <c r="I47" s="1767"/>
      <c r="J47" s="1767"/>
      <c r="K47" s="1767"/>
      <c r="L47" s="1767"/>
      <c r="M47" s="1767"/>
      <c r="N47" s="1767"/>
      <c r="O47" s="1767"/>
      <c r="P47" s="1767"/>
      <c r="Q47" s="1767"/>
      <c r="R47" s="1767"/>
      <c r="S47" s="1767"/>
      <c r="T47" s="1767"/>
      <c r="U47" s="1767"/>
      <c r="V47" s="1767"/>
      <c r="W47" s="1767"/>
      <c r="X47" s="1767"/>
      <c r="Y47" s="1767"/>
      <c r="Z47" s="1767"/>
      <c r="AA47" s="1767"/>
      <c r="AB47" s="1767"/>
      <c r="AC47" s="1767"/>
      <c r="AD47" s="1767"/>
      <c r="AE47" s="1767"/>
      <c r="AF47" s="1767"/>
      <c r="AG47" s="1767"/>
      <c r="AH47" s="1767"/>
      <c r="AI47" s="1767"/>
      <c r="AJ47" s="1767"/>
      <c r="AK47" s="1767"/>
      <c r="AL47" s="1767"/>
      <c r="AM47" s="1767"/>
      <c r="AN47" s="1767"/>
      <c r="AO47" s="1767"/>
      <c r="AP47" s="1767"/>
      <c r="AQ47" s="1767"/>
      <c r="AR47" s="1767"/>
      <c r="AS47" s="1767"/>
      <c r="AT47" s="1767"/>
      <c r="AU47" s="1767"/>
      <c r="AV47" s="1767"/>
      <c r="AW47" s="1767"/>
      <c r="AX47" s="1767"/>
      <c r="AY47" s="1767"/>
      <c r="AZ47" s="1767"/>
      <c r="BA47" s="1767"/>
      <c r="BB47" s="1767"/>
      <c r="BC47" s="1767"/>
      <c r="BD47" s="1767"/>
      <c r="BE47" s="1767"/>
      <c r="BF47" s="1767"/>
      <c r="BG47" s="1767"/>
      <c r="BH47" s="1767"/>
      <c r="BI47" s="1767"/>
      <c r="BJ47" s="1767"/>
      <c r="BK47" s="1767"/>
      <c r="BL47" s="1767"/>
      <c r="BM47" s="1767"/>
      <c r="BN47" s="1767"/>
      <c r="BO47" s="1767"/>
      <c r="BP47" s="1767"/>
      <c r="BQ47" s="1767"/>
      <c r="BR47" s="1767"/>
      <c r="BS47" s="1767"/>
      <c r="BT47" s="1768"/>
    </row>
    <row r="48" spans="2:81" ht="15" customHeight="1" x14ac:dyDescent="0.2">
      <c r="B48" s="1766"/>
      <c r="C48" s="1767"/>
      <c r="D48" s="1767"/>
      <c r="E48" s="1767"/>
      <c r="F48" s="1767"/>
      <c r="G48" s="1767"/>
      <c r="H48" s="1767"/>
      <c r="I48" s="1767"/>
      <c r="J48" s="1767"/>
      <c r="K48" s="1767"/>
      <c r="L48" s="1767"/>
      <c r="M48" s="1767"/>
      <c r="N48" s="1767"/>
      <c r="O48" s="1767"/>
      <c r="P48" s="1767"/>
      <c r="Q48" s="1767"/>
      <c r="R48" s="1767"/>
      <c r="S48" s="1767"/>
      <c r="T48" s="1767"/>
      <c r="U48" s="1767"/>
      <c r="V48" s="1767"/>
      <c r="W48" s="1767"/>
      <c r="X48" s="1767"/>
      <c r="Y48" s="1767"/>
      <c r="Z48" s="1767"/>
      <c r="AA48" s="1767"/>
      <c r="AB48" s="1767"/>
      <c r="AC48" s="1767"/>
      <c r="AD48" s="1767"/>
      <c r="AE48" s="1767"/>
      <c r="AF48" s="1767"/>
      <c r="AG48" s="1767"/>
      <c r="AH48" s="1767"/>
      <c r="AI48" s="1767"/>
      <c r="AJ48" s="1767"/>
      <c r="AK48" s="1767"/>
      <c r="AL48" s="1767"/>
      <c r="AM48" s="1767"/>
      <c r="AN48" s="1767"/>
      <c r="AO48" s="1767"/>
      <c r="AP48" s="1767"/>
      <c r="AQ48" s="1767"/>
      <c r="AR48" s="1767"/>
      <c r="AS48" s="1767"/>
      <c r="AT48" s="1767"/>
      <c r="AU48" s="1767"/>
      <c r="AV48" s="1767"/>
      <c r="AW48" s="1767"/>
      <c r="AX48" s="1767"/>
      <c r="AY48" s="1767"/>
      <c r="AZ48" s="1767"/>
      <c r="BA48" s="1767"/>
      <c r="BB48" s="1767"/>
      <c r="BC48" s="1767"/>
      <c r="BD48" s="1767"/>
      <c r="BE48" s="1767"/>
      <c r="BF48" s="1767"/>
      <c r="BG48" s="1767"/>
      <c r="BH48" s="1767"/>
      <c r="BI48" s="1767"/>
      <c r="BJ48" s="1767"/>
      <c r="BK48" s="1767"/>
      <c r="BL48" s="1767"/>
      <c r="BM48" s="1767"/>
      <c r="BN48" s="1767"/>
      <c r="BO48" s="1767"/>
      <c r="BP48" s="1767"/>
      <c r="BQ48" s="1767"/>
      <c r="BR48" s="1767"/>
      <c r="BS48" s="1767"/>
      <c r="BT48" s="1768"/>
    </row>
    <row r="49" spans="2:72" ht="15" customHeight="1" x14ac:dyDescent="0.2">
      <c r="B49" s="1766"/>
      <c r="C49" s="1767"/>
      <c r="D49" s="1767"/>
      <c r="E49" s="1767"/>
      <c r="F49" s="1767"/>
      <c r="G49" s="1767"/>
      <c r="H49" s="1767"/>
      <c r="I49" s="1767"/>
      <c r="J49" s="1767"/>
      <c r="K49" s="1767"/>
      <c r="L49" s="1767"/>
      <c r="M49" s="1767"/>
      <c r="N49" s="1767"/>
      <c r="O49" s="1767"/>
      <c r="P49" s="1767"/>
      <c r="Q49" s="1767"/>
      <c r="R49" s="1767"/>
      <c r="S49" s="1767"/>
      <c r="T49" s="1767"/>
      <c r="U49" s="1767"/>
      <c r="V49" s="1767"/>
      <c r="W49" s="1767"/>
      <c r="X49" s="1767"/>
      <c r="Y49" s="1767"/>
      <c r="Z49" s="1767"/>
      <c r="AA49" s="1767"/>
      <c r="AB49" s="1767"/>
      <c r="AC49" s="1767"/>
      <c r="AD49" s="1767"/>
      <c r="AE49" s="1767"/>
      <c r="AF49" s="1767"/>
      <c r="AG49" s="1767"/>
      <c r="AH49" s="1767"/>
      <c r="AI49" s="1767"/>
      <c r="AJ49" s="1767"/>
      <c r="AK49" s="1767"/>
      <c r="AL49" s="1767"/>
      <c r="AM49" s="1767"/>
      <c r="AN49" s="1767"/>
      <c r="AO49" s="1767"/>
      <c r="AP49" s="1767"/>
      <c r="AQ49" s="1767"/>
      <c r="AR49" s="1767"/>
      <c r="AS49" s="1767"/>
      <c r="AT49" s="1767"/>
      <c r="AU49" s="1767"/>
      <c r="AV49" s="1767"/>
      <c r="AW49" s="1767"/>
      <c r="AX49" s="1767"/>
      <c r="AY49" s="1767"/>
      <c r="AZ49" s="1767"/>
      <c r="BA49" s="1767"/>
      <c r="BB49" s="1767"/>
      <c r="BC49" s="1767"/>
      <c r="BD49" s="1767"/>
      <c r="BE49" s="1767"/>
      <c r="BF49" s="1767"/>
      <c r="BG49" s="1767"/>
      <c r="BH49" s="1767"/>
      <c r="BI49" s="1767"/>
      <c r="BJ49" s="1767"/>
      <c r="BK49" s="1767"/>
      <c r="BL49" s="1767"/>
      <c r="BM49" s="1767"/>
      <c r="BN49" s="1767"/>
      <c r="BO49" s="1767"/>
      <c r="BP49" s="1767"/>
      <c r="BQ49" s="1767"/>
      <c r="BR49" s="1767"/>
      <c r="BS49" s="1767"/>
      <c r="BT49" s="1768"/>
    </row>
    <row r="50" spans="2:72" ht="15" customHeight="1" x14ac:dyDescent="0.2">
      <c r="B50" s="1766"/>
      <c r="C50" s="1767"/>
      <c r="D50" s="1767"/>
      <c r="E50" s="1767"/>
      <c r="F50" s="1767"/>
      <c r="G50" s="1767"/>
      <c r="H50" s="1767"/>
      <c r="I50" s="1767"/>
      <c r="J50" s="1767"/>
      <c r="K50" s="1767"/>
      <c r="L50" s="1767"/>
      <c r="M50" s="1767"/>
      <c r="N50" s="1767"/>
      <c r="O50" s="1767"/>
      <c r="P50" s="1767"/>
      <c r="Q50" s="1767"/>
      <c r="R50" s="1767"/>
      <c r="S50" s="1767"/>
      <c r="T50" s="1767"/>
      <c r="U50" s="1767"/>
      <c r="V50" s="1767"/>
      <c r="W50" s="1767"/>
      <c r="X50" s="1767"/>
      <c r="Y50" s="1767"/>
      <c r="Z50" s="1767"/>
      <c r="AA50" s="1767"/>
      <c r="AB50" s="1767"/>
      <c r="AC50" s="1767"/>
      <c r="AD50" s="1767"/>
      <c r="AE50" s="1767"/>
      <c r="AF50" s="1767"/>
      <c r="AG50" s="1767"/>
      <c r="AH50" s="1767"/>
      <c r="AI50" s="1767"/>
      <c r="AJ50" s="1767"/>
      <c r="AK50" s="1767"/>
      <c r="AL50" s="1767"/>
      <c r="AM50" s="1767"/>
      <c r="AN50" s="1767"/>
      <c r="AO50" s="1767"/>
      <c r="AP50" s="1767"/>
      <c r="AQ50" s="1767"/>
      <c r="AR50" s="1767"/>
      <c r="AS50" s="1767"/>
      <c r="AT50" s="1767"/>
      <c r="AU50" s="1767"/>
      <c r="AV50" s="1767"/>
      <c r="AW50" s="1767"/>
      <c r="AX50" s="1767"/>
      <c r="AY50" s="1767"/>
      <c r="AZ50" s="1767"/>
      <c r="BA50" s="1767"/>
      <c r="BB50" s="1767"/>
      <c r="BC50" s="1767"/>
      <c r="BD50" s="1767"/>
      <c r="BE50" s="1767"/>
      <c r="BF50" s="1767"/>
      <c r="BG50" s="1767"/>
      <c r="BH50" s="1767"/>
      <c r="BI50" s="1767"/>
      <c r="BJ50" s="1767"/>
      <c r="BK50" s="1767"/>
      <c r="BL50" s="1767"/>
      <c r="BM50" s="1767"/>
      <c r="BN50" s="1767"/>
      <c r="BO50" s="1767"/>
      <c r="BP50" s="1767"/>
      <c r="BQ50" s="1767"/>
      <c r="BR50" s="1767"/>
      <c r="BS50" s="1767"/>
      <c r="BT50" s="1768"/>
    </row>
    <row r="51" spans="2:72" ht="15" customHeight="1" x14ac:dyDescent="0.2">
      <c r="B51" s="1766"/>
      <c r="C51" s="1767"/>
      <c r="D51" s="1767"/>
      <c r="E51" s="1767"/>
      <c r="F51" s="1767"/>
      <c r="G51" s="1767"/>
      <c r="H51" s="1767"/>
      <c r="I51" s="1767"/>
      <c r="J51" s="1767"/>
      <c r="K51" s="1767"/>
      <c r="L51" s="1767"/>
      <c r="M51" s="1767"/>
      <c r="N51" s="1767"/>
      <c r="O51" s="1767"/>
      <c r="P51" s="1767"/>
      <c r="Q51" s="1767"/>
      <c r="R51" s="1767"/>
      <c r="S51" s="1767"/>
      <c r="T51" s="1767"/>
      <c r="U51" s="1767"/>
      <c r="V51" s="1767"/>
      <c r="W51" s="1767"/>
      <c r="X51" s="1767"/>
      <c r="Y51" s="1767"/>
      <c r="Z51" s="1767"/>
      <c r="AA51" s="1767"/>
      <c r="AB51" s="1767"/>
      <c r="AC51" s="1767"/>
      <c r="AD51" s="1767"/>
      <c r="AE51" s="1767"/>
      <c r="AF51" s="1767"/>
      <c r="AG51" s="1767"/>
      <c r="AH51" s="1767"/>
      <c r="AI51" s="1767"/>
      <c r="AJ51" s="1767"/>
      <c r="AK51" s="1767"/>
      <c r="AL51" s="1767"/>
      <c r="AM51" s="1767"/>
      <c r="AN51" s="1767"/>
      <c r="AO51" s="1767"/>
      <c r="AP51" s="1767"/>
      <c r="AQ51" s="1767"/>
      <c r="AR51" s="1767"/>
      <c r="AS51" s="1767"/>
      <c r="AT51" s="1767"/>
      <c r="AU51" s="1767"/>
      <c r="AV51" s="1767"/>
      <c r="AW51" s="1767"/>
      <c r="AX51" s="1767"/>
      <c r="AY51" s="1767"/>
      <c r="AZ51" s="1767"/>
      <c r="BA51" s="1767"/>
      <c r="BB51" s="1767"/>
      <c r="BC51" s="1767"/>
      <c r="BD51" s="1767"/>
      <c r="BE51" s="1767"/>
      <c r="BF51" s="1767"/>
      <c r="BG51" s="1767"/>
      <c r="BH51" s="1767"/>
      <c r="BI51" s="1767"/>
      <c r="BJ51" s="1767"/>
      <c r="BK51" s="1767"/>
      <c r="BL51" s="1767"/>
      <c r="BM51" s="1767"/>
      <c r="BN51" s="1767"/>
      <c r="BO51" s="1767"/>
      <c r="BP51" s="1767"/>
      <c r="BQ51" s="1767"/>
      <c r="BR51" s="1767"/>
      <c r="BS51" s="1767"/>
      <c r="BT51" s="1768"/>
    </row>
    <row r="52" spans="2:72" ht="15" customHeight="1" x14ac:dyDescent="0.2">
      <c r="B52" s="1766"/>
      <c r="C52" s="1767"/>
      <c r="D52" s="1767"/>
      <c r="E52" s="1767"/>
      <c r="F52" s="1767"/>
      <c r="G52" s="1767"/>
      <c r="H52" s="1767"/>
      <c r="I52" s="1767"/>
      <c r="J52" s="1767"/>
      <c r="K52" s="1767"/>
      <c r="L52" s="1767"/>
      <c r="M52" s="1767"/>
      <c r="N52" s="1767"/>
      <c r="O52" s="1767"/>
      <c r="P52" s="1767"/>
      <c r="Q52" s="1767"/>
      <c r="R52" s="1767"/>
      <c r="S52" s="1767"/>
      <c r="T52" s="1767"/>
      <c r="U52" s="1767"/>
      <c r="V52" s="1767"/>
      <c r="W52" s="1767"/>
      <c r="X52" s="1767"/>
      <c r="Y52" s="1767"/>
      <c r="Z52" s="1767"/>
      <c r="AA52" s="1767"/>
      <c r="AB52" s="1767"/>
      <c r="AC52" s="1767"/>
      <c r="AD52" s="1767"/>
      <c r="AE52" s="1767"/>
      <c r="AF52" s="1767"/>
      <c r="AG52" s="1767"/>
      <c r="AH52" s="1767"/>
      <c r="AI52" s="1767"/>
      <c r="AJ52" s="1767"/>
      <c r="AK52" s="1767"/>
      <c r="AL52" s="1767"/>
      <c r="AM52" s="1767"/>
      <c r="AN52" s="1767"/>
      <c r="AO52" s="1767"/>
      <c r="AP52" s="1767"/>
      <c r="AQ52" s="1767"/>
      <c r="AR52" s="1767"/>
      <c r="AS52" s="1767"/>
      <c r="AT52" s="1767"/>
      <c r="AU52" s="1767"/>
      <c r="AV52" s="1767"/>
      <c r="AW52" s="1767"/>
      <c r="AX52" s="1767"/>
      <c r="AY52" s="1767"/>
      <c r="AZ52" s="1767"/>
      <c r="BA52" s="1767"/>
      <c r="BB52" s="1767"/>
      <c r="BC52" s="1767"/>
      <c r="BD52" s="1767"/>
      <c r="BE52" s="1767"/>
      <c r="BF52" s="1767"/>
      <c r="BG52" s="1767"/>
      <c r="BH52" s="1767"/>
      <c r="BI52" s="1767"/>
      <c r="BJ52" s="1767"/>
      <c r="BK52" s="1767"/>
      <c r="BL52" s="1767"/>
      <c r="BM52" s="1767"/>
      <c r="BN52" s="1767"/>
      <c r="BO52" s="1767"/>
      <c r="BP52" s="1767"/>
      <c r="BQ52" s="1767"/>
      <c r="BR52" s="1767"/>
      <c r="BS52" s="1767"/>
      <c r="BT52" s="1768"/>
    </row>
    <row r="53" spans="2:72" ht="15" customHeight="1" x14ac:dyDescent="0.2">
      <c r="B53" s="1766"/>
      <c r="C53" s="1767"/>
      <c r="D53" s="1767"/>
      <c r="E53" s="1767"/>
      <c r="F53" s="1767"/>
      <c r="G53" s="1767"/>
      <c r="H53" s="1767"/>
      <c r="I53" s="1767"/>
      <c r="J53" s="1767"/>
      <c r="K53" s="1767"/>
      <c r="L53" s="1767"/>
      <c r="M53" s="1767"/>
      <c r="N53" s="1767"/>
      <c r="O53" s="1767"/>
      <c r="P53" s="1767"/>
      <c r="Q53" s="1767"/>
      <c r="R53" s="1767"/>
      <c r="S53" s="1767"/>
      <c r="T53" s="1767"/>
      <c r="U53" s="1767"/>
      <c r="V53" s="1767"/>
      <c r="W53" s="1767"/>
      <c r="X53" s="1767"/>
      <c r="Y53" s="1767"/>
      <c r="Z53" s="1767"/>
      <c r="AA53" s="1767"/>
      <c r="AB53" s="1767"/>
      <c r="AC53" s="1767"/>
      <c r="AD53" s="1767"/>
      <c r="AE53" s="1767"/>
      <c r="AF53" s="1767"/>
      <c r="AG53" s="1767"/>
      <c r="AH53" s="1767"/>
      <c r="AI53" s="1767"/>
      <c r="AJ53" s="1767"/>
      <c r="AK53" s="1767"/>
      <c r="AL53" s="1767"/>
      <c r="AM53" s="1767"/>
      <c r="AN53" s="1767"/>
      <c r="AO53" s="1767"/>
      <c r="AP53" s="1767"/>
      <c r="AQ53" s="1767"/>
      <c r="AR53" s="1767"/>
      <c r="AS53" s="1767"/>
      <c r="AT53" s="1767"/>
      <c r="AU53" s="1767"/>
      <c r="AV53" s="1767"/>
      <c r="AW53" s="1767"/>
      <c r="AX53" s="1767"/>
      <c r="AY53" s="1767"/>
      <c r="AZ53" s="1767"/>
      <c r="BA53" s="1767"/>
      <c r="BB53" s="1767"/>
      <c r="BC53" s="1767"/>
      <c r="BD53" s="1767"/>
      <c r="BE53" s="1767"/>
      <c r="BF53" s="1767"/>
      <c r="BG53" s="1767"/>
      <c r="BH53" s="1767"/>
      <c r="BI53" s="1767"/>
      <c r="BJ53" s="1767"/>
      <c r="BK53" s="1767"/>
      <c r="BL53" s="1767"/>
      <c r="BM53" s="1767"/>
      <c r="BN53" s="1767"/>
      <c r="BO53" s="1767"/>
      <c r="BP53" s="1767"/>
      <c r="BQ53" s="1767"/>
      <c r="BR53" s="1767"/>
      <c r="BS53" s="1767"/>
      <c r="BT53" s="1768"/>
    </row>
    <row r="54" spans="2:72" ht="15" customHeight="1" x14ac:dyDescent="0.2">
      <c r="B54" s="1766"/>
      <c r="C54" s="1767"/>
      <c r="D54" s="1767"/>
      <c r="E54" s="1767"/>
      <c r="F54" s="1767"/>
      <c r="G54" s="1767"/>
      <c r="H54" s="1767"/>
      <c r="I54" s="1767"/>
      <c r="J54" s="1767"/>
      <c r="K54" s="1767"/>
      <c r="L54" s="1767"/>
      <c r="M54" s="1767"/>
      <c r="N54" s="1767"/>
      <c r="O54" s="1767"/>
      <c r="P54" s="1767"/>
      <c r="Q54" s="1767"/>
      <c r="R54" s="1767"/>
      <c r="S54" s="1767"/>
      <c r="T54" s="1767"/>
      <c r="U54" s="1767"/>
      <c r="V54" s="1767"/>
      <c r="W54" s="1767"/>
      <c r="X54" s="1767"/>
      <c r="Y54" s="1767"/>
      <c r="Z54" s="1767"/>
      <c r="AA54" s="1767"/>
      <c r="AB54" s="1767"/>
      <c r="AC54" s="1767"/>
      <c r="AD54" s="1767"/>
      <c r="AE54" s="1767"/>
      <c r="AF54" s="1767"/>
      <c r="AG54" s="1767"/>
      <c r="AH54" s="1767"/>
      <c r="AI54" s="1767"/>
      <c r="AJ54" s="1767"/>
      <c r="AK54" s="1767"/>
      <c r="AL54" s="1767"/>
      <c r="AM54" s="1767"/>
      <c r="AN54" s="1767"/>
      <c r="AO54" s="1767"/>
      <c r="AP54" s="1767"/>
      <c r="AQ54" s="1767"/>
      <c r="AR54" s="1767"/>
      <c r="AS54" s="1767"/>
      <c r="AT54" s="1767"/>
      <c r="AU54" s="1767"/>
      <c r="AV54" s="1767"/>
      <c r="AW54" s="1767"/>
      <c r="AX54" s="1767"/>
      <c r="AY54" s="1767"/>
      <c r="AZ54" s="1767"/>
      <c r="BA54" s="1767"/>
      <c r="BB54" s="1767"/>
      <c r="BC54" s="1767"/>
      <c r="BD54" s="1767"/>
      <c r="BE54" s="1767"/>
      <c r="BF54" s="1767"/>
      <c r="BG54" s="1767"/>
      <c r="BH54" s="1767"/>
      <c r="BI54" s="1767"/>
      <c r="BJ54" s="1767"/>
      <c r="BK54" s="1767"/>
      <c r="BL54" s="1767"/>
      <c r="BM54" s="1767"/>
      <c r="BN54" s="1767"/>
      <c r="BO54" s="1767"/>
      <c r="BP54" s="1767"/>
      <c r="BQ54" s="1767"/>
      <c r="BR54" s="1767"/>
      <c r="BS54" s="1767"/>
      <c r="BT54" s="1768"/>
    </row>
    <row r="55" spans="2:72" ht="15" customHeight="1" x14ac:dyDescent="0.2">
      <c r="B55" s="1766"/>
      <c r="C55" s="1767"/>
      <c r="D55" s="1767"/>
      <c r="E55" s="1767"/>
      <c r="F55" s="1767"/>
      <c r="G55" s="1767"/>
      <c r="H55" s="1767"/>
      <c r="I55" s="1767"/>
      <c r="J55" s="1767"/>
      <c r="K55" s="1767"/>
      <c r="L55" s="1767"/>
      <c r="M55" s="1767"/>
      <c r="N55" s="1767"/>
      <c r="O55" s="1767"/>
      <c r="P55" s="1767"/>
      <c r="Q55" s="1767"/>
      <c r="R55" s="1767"/>
      <c r="S55" s="1767"/>
      <c r="T55" s="1767"/>
      <c r="U55" s="1767"/>
      <c r="V55" s="1767"/>
      <c r="W55" s="1767"/>
      <c r="X55" s="1767"/>
      <c r="Y55" s="1767"/>
      <c r="Z55" s="1767"/>
      <c r="AA55" s="1767"/>
      <c r="AB55" s="1767"/>
      <c r="AC55" s="1767"/>
      <c r="AD55" s="1767"/>
      <c r="AE55" s="1767"/>
      <c r="AF55" s="1767"/>
      <c r="AG55" s="1767"/>
      <c r="AH55" s="1767"/>
      <c r="AI55" s="1767"/>
      <c r="AJ55" s="1767"/>
      <c r="AK55" s="1767"/>
      <c r="AL55" s="1767"/>
      <c r="AM55" s="1767"/>
      <c r="AN55" s="1767"/>
      <c r="AO55" s="1767"/>
      <c r="AP55" s="1767"/>
      <c r="AQ55" s="1767"/>
      <c r="AR55" s="1767"/>
      <c r="AS55" s="1767"/>
      <c r="AT55" s="1767"/>
      <c r="AU55" s="1767"/>
      <c r="AV55" s="1767"/>
      <c r="AW55" s="1767"/>
      <c r="AX55" s="1767"/>
      <c r="AY55" s="1767"/>
      <c r="AZ55" s="1767"/>
      <c r="BA55" s="1767"/>
      <c r="BB55" s="1767"/>
      <c r="BC55" s="1767"/>
      <c r="BD55" s="1767"/>
      <c r="BE55" s="1767"/>
      <c r="BF55" s="1767"/>
      <c r="BG55" s="1767"/>
      <c r="BH55" s="1767"/>
      <c r="BI55" s="1767"/>
      <c r="BJ55" s="1767"/>
      <c r="BK55" s="1767"/>
      <c r="BL55" s="1767"/>
      <c r="BM55" s="1767"/>
      <c r="BN55" s="1767"/>
      <c r="BO55" s="1767"/>
      <c r="BP55" s="1767"/>
      <c r="BQ55" s="1767"/>
      <c r="BR55" s="1767"/>
      <c r="BS55" s="1767"/>
      <c r="BT55" s="1768"/>
    </row>
    <row r="56" spans="2:72" ht="15" customHeight="1" x14ac:dyDescent="0.2">
      <c r="B56" s="1766"/>
      <c r="C56" s="1767"/>
      <c r="D56" s="1767"/>
      <c r="E56" s="1767"/>
      <c r="F56" s="1767"/>
      <c r="G56" s="1767"/>
      <c r="H56" s="1767"/>
      <c r="I56" s="1767"/>
      <c r="J56" s="1767"/>
      <c r="K56" s="1767"/>
      <c r="L56" s="1767"/>
      <c r="M56" s="1767"/>
      <c r="N56" s="1767"/>
      <c r="O56" s="1767"/>
      <c r="P56" s="1767"/>
      <c r="Q56" s="1767"/>
      <c r="R56" s="1767"/>
      <c r="S56" s="1767"/>
      <c r="T56" s="1767"/>
      <c r="U56" s="1767"/>
      <c r="V56" s="1767"/>
      <c r="W56" s="1767"/>
      <c r="X56" s="1767"/>
      <c r="Y56" s="1767"/>
      <c r="Z56" s="1767"/>
      <c r="AA56" s="1767"/>
      <c r="AB56" s="1767"/>
      <c r="AC56" s="1767"/>
      <c r="AD56" s="1767"/>
      <c r="AE56" s="1767"/>
      <c r="AF56" s="1767"/>
      <c r="AG56" s="1767"/>
      <c r="AH56" s="1767"/>
      <c r="AI56" s="1767"/>
      <c r="AJ56" s="1767"/>
      <c r="AK56" s="1767"/>
      <c r="AL56" s="1767"/>
      <c r="AM56" s="1767"/>
      <c r="AN56" s="1767"/>
      <c r="AO56" s="1767"/>
      <c r="AP56" s="1767"/>
      <c r="AQ56" s="1767"/>
      <c r="AR56" s="1767"/>
      <c r="AS56" s="1767"/>
      <c r="AT56" s="1767"/>
      <c r="AU56" s="1767"/>
      <c r="AV56" s="1767"/>
      <c r="AW56" s="1767"/>
      <c r="AX56" s="1767"/>
      <c r="AY56" s="1767"/>
      <c r="AZ56" s="1767"/>
      <c r="BA56" s="1767"/>
      <c r="BB56" s="1767"/>
      <c r="BC56" s="1767"/>
      <c r="BD56" s="1767"/>
      <c r="BE56" s="1767"/>
      <c r="BF56" s="1767"/>
      <c r="BG56" s="1767"/>
      <c r="BH56" s="1767"/>
      <c r="BI56" s="1767"/>
      <c r="BJ56" s="1767"/>
      <c r="BK56" s="1767"/>
      <c r="BL56" s="1767"/>
      <c r="BM56" s="1767"/>
      <c r="BN56" s="1767"/>
      <c r="BO56" s="1767"/>
      <c r="BP56" s="1767"/>
      <c r="BQ56" s="1767"/>
      <c r="BR56" s="1767"/>
      <c r="BS56" s="1767"/>
      <c r="BT56" s="1768"/>
    </row>
    <row r="57" spans="2:72" ht="15" customHeight="1" x14ac:dyDescent="0.2">
      <c r="B57" s="1766"/>
      <c r="C57" s="1767"/>
      <c r="D57" s="1767"/>
      <c r="E57" s="1767"/>
      <c r="F57" s="1767"/>
      <c r="G57" s="1767"/>
      <c r="H57" s="1767"/>
      <c r="I57" s="1767"/>
      <c r="J57" s="1767"/>
      <c r="K57" s="1767"/>
      <c r="L57" s="1767"/>
      <c r="M57" s="1767"/>
      <c r="N57" s="1767"/>
      <c r="O57" s="1767"/>
      <c r="P57" s="1767"/>
      <c r="Q57" s="1767"/>
      <c r="R57" s="1767"/>
      <c r="S57" s="1767"/>
      <c r="T57" s="1767"/>
      <c r="U57" s="1767"/>
      <c r="V57" s="1767"/>
      <c r="W57" s="1767"/>
      <c r="X57" s="1767"/>
      <c r="Y57" s="1767"/>
      <c r="Z57" s="1767"/>
      <c r="AA57" s="1767"/>
      <c r="AB57" s="1767"/>
      <c r="AC57" s="1767"/>
      <c r="AD57" s="1767"/>
      <c r="AE57" s="1767"/>
      <c r="AF57" s="1767"/>
      <c r="AG57" s="1767"/>
      <c r="AH57" s="1767"/>
      <c r="AI57" s="1767"/>
      <c r="AJ57" s="1767"/>
      <c r="AK57" s="1767"/>
      <c r="AL57" s="1767"/>
      <c r="AM57" s="1767"/>
      <c r="AN57" s="1767"/>
      <c r="AO57" s="1767"/>
      <c r="AP57" s="1767"/>
      <c r="AQ57" s="1767"/>
      <c r="AR57" s="1767"/>
      <c r="AS57" s="1767"/>
      <c r="AT57" s="1767"/>
      <c r="AU57" s="1767"/>
      <c r="AV57" s="1767"/>
      <c r="AW57" s="1767"/>
      <c r="AX57" s="1767"/>
      <c r="AY57" s="1767"/>
      <c r="AZ57" s="1767"/>
      <c r="BA57" s="1767"/>
      <c r="BB57" s="1767"/>
      <c r="BC57" s="1767"/>
      <c r="BD57" s="1767"/>
      <c r="BE57" s="1767"/>
      <c r="BF57" s="1767"/>
      <c r="BG57" s="1767"/>
      <c r="BH57" s="1767"/>
      <c r="BI57" s="1767"/>
      <c r="BJ57" s="1767"/>
      <c r="BK57" s="1767"/>
      <c r="BL57" s="1767"/>
      <c r="BM57" s="1767"/>
      <c r="BN57" s="1767"/>
      <c r="BO57" s="1767"/>
      <c r="BP57" s="1767"/>
      <c r="BQ57" s="1767"/>
      <c r="BR57" s="1767"/>
      <c r="BS57" s="1767"/>
      <c r="BT57" s="1768"/>
    </row>
    <row r="58" spans="2:72" ht="15" customHeight="1" x14ac:dyDescent="0.2">
      <c r="B58" s="1766"/>
      <c r="C58" s="1767"/>
      <c r="D58" s="1767"/>
      <c r="E58" s="1767"/>
      <c r="F58" s="1767"/>
      <c r="G58" s="1767"/>
      <c r="H58" s="1767"/>
      <c r="I58" s="1767"/>
      <c r="J58" s="1767"/>
      <c r="K58" s="1767"/>
      <c r="L58" s="1767"/>
      <c r="M58" s="1767"/>
      <c r="N58" s="1767"/>
      <c r="O58" s="1767"/>
      <c r="P58" s="1767"/>
      <c r="Q58" s="1767"/>
      <c r="R58" s="1767"/>
      <c r="S58" s="1767"/>
      <c r="T58" s="1767"/>
      <c r="U58" s="1767"/>
      <c r="V58" s="1767"/>
      <c r="W58" s="1767"/>
      <c r="X58" s="1767"/>
      <c r="Y58" s="1767"/>
      <c r="Z58" s="1767"/>
      <c r="AA58" s="1767"/>
      <c r="AB58" s="1767"/>
      <c r="AC58" s="1767"/>
      <c r="AD58" s="1767"/>
      <c r="AE58" s="1767"/>
      <c r="AF58" s="1767"/>
      <c r="AG58" s="1767"/>
      <c r="AH58" s="1767"/>
      <c r="AI58" s="1767"/>
      <c r="AJ58" s="1767"/>
      <c r="AK58" s="1767"/>
      <c r="AL58" s="1767"/>
      <c r="AM58" s="1767"/>
      <c r="AN58" s="1767"/>
      <c r="AO58" s="1767"/>
      <c r="AP58" s="1767"/>
      <c r="AQ58" s="1767"/>
      <c r="AR58" s="1767"/>
      <c r="AS58" s="1767"/>
      <c r="AT58" s="1767"/>
      <c r="AU58" s="1767"/>
      <c r="AV58" s="1767"/>
      <c r="AW58" s="1767"/>
      <c r="AX58" s="1767"/>
      <c r="AY58" s="1767"/>
      <c r="AZ58" s="1767"/>
      <c r="BA58" s="1767"/>
      <c r="BB58" s="1767"/>
      <c r="BC58" s="1767"/>
      <c r="BD58" s="1767"/>
      <c r="BE58" s="1767"/>
      <c r="BF58" s="1767"/>
      <c r="BG58" s="1767"/>
      <c r="BH58" s="1767"/>
      <c r="BI58" s="1767"/>
      <c r="BJ58" s="1767"/>
      <c r="BK58" s="1767"/>
      <c r="BL58" s="1767"/>
      <c r="BM58" s="1767"/>
      <c r="BN58" s="1767"/>
      <c r="BO58" s="1767"/>
      <c r="BP58" s="1767"/>
      <c r="BQ58" s="1767"/>
      <c r="BR58" s="1767"/>
      <c r="BS58" s="1767"/>
      <c r="BT58" s="1768"/>
    </row>
    <row r="59" spans="2:72" ht="15" customHeight="1" x14ac:dyDescent="0.2">
      <c r="B59" s="1766"/>
      <c r="C59" s="1767"/>
      <c r="D59" s="1767"/>
      <c r="E59" s="1767"/>
      <c r="F59" s="1767"/>
      <c r="G59" s="1767"/>
      <c r="H59" s="1767"/>
      <c r="I59" s="1767"/>
      <c r="J59" s="1767"/>
      <c r="K59" s="1767"/>
      <c r="L59" s="1767"/>
      <c r="M59" s="1767"/>
      <c r="N59" s="1767"/>
      <c r="O59" s="1767"/>
      <c r="P59" s="1767"/>
      <c r="Q59" s="1767"/>
      <c r="R59" s="1767"/>
      <c r="S59" s="1767"/>
      <c r="T59" s="1767"/>
      <c r="U59" s="1767"/>
      <c r="V59" s="1767"/>
      <c r="W59" s="1767"/>
      <c r="X59" s="1767"/>
      <c r="Y59" s="1767"/>
      <c r="Z59" s="1767"/>
      <c r="AA59" s="1767"/>
      <c r="AB59" s="1767"/>
      <c r="AC59" s="1767"/>
      <c r="AD59" s="1767"/>
      <c r="AE59" s="1767"/>
      <c r="AF59" s="1767"/>
      <c r="AG59" s="1767"/>
      <c r="AH59" s="1767"/>
      <c r="AI59" s="1767"/>
      <c r="AJ59" s="1767"/>
      <c r="AK59" s="1767"/>
      <c r="AL59" s="1767"/>
      <c r="AM59" s="1767"/>
      <c r="AN59" s="1767"/>
      <c r="AO59" s="1767"/>
      <c r="AP59" s="1767"/>
      <c r="AQ59" s="1767"/>
      <c r="AR59" s="1767"/>
      <c r="AS59" s="1767"/>
      <c r="AT59" s="1767"/>
      <c r="AU59" s="1767"/>
      <c r="AV59" s="1767"/>
      <c r="AW59" s="1767"/>
      <c r="AX59" s="1767"/>
      <c r="AY59" s="1767"/>
      <c r="AZ59" s="1767"/>
      <c r="BA59" s="1767"/>
      <c r="BB59" s="1767"/>
      <c r="BC59" s="1767"/>
      <c r="BD59" s="1767"/>
      <c r="BE59" s="1767"/>
      <c r="BF59" s="1767"/>
      <c r="BG59" s="1767"/>
      <c r="BH59" s="1767"/>
      <c r="BI59" s="1767"/>
      <c r="BJ59" s="1767"/>
      <c r="BK59" s="1767"/>
      <c r="BL59" s="1767"/>
      <c r="BM59" s="1767"/>
      <c r="BN59" s="1767"/>
      <c r="BO59" s="1767"/>
      <c r="BP59" s="1767"/>
      <c r="BQ59" s="1767"/>
      <c r="BR59" s="1767"/>
      <c r="BS59" s="1767"/>
      <c r="BT59" s="1768"/>
    </row>
    <row r="60" spans="2:72" ht="15" customHeight="1" x14ac:dyDescent="0.2">
      <c r="B60" s="1766"/>
      <c r="C60" s="1767"/>
      <c r="D60" s="1767"/>
      <c r="E60" s="1767"/>
      <c r="F60" s="1767"/>
      <c r="G60" s="1767"/>
      <c r="H60" s="1767"/>
      <c r="I60" s="1767"/>
      <c r="J60" s="1767"/>
      <c r="K60" s="1767"/>
      <c r="L60" s="1767"/>
      <c r="M60" s="1767"/>
      <c r="N60" s="1767"/>
      <c r="O60" s="1767"/>
      <c r="P60" s="1767"/>
      <c r="Q60" s="1767"/>
      <c r="R60" s="1767"/>
      <c r="S60" s="1767"/>
      <c r="T60" s="1767"/>
      <c r="U60" s="1767"/>
      <c r="V60" s="1767"/>
      <c r="W60" s="1767"/>
      <c r="X60" s="1767"/>
      <c r="Y60" s="1767"/>
      <c r="Z60" s="1767"/>
      <c r="AA60" s="1767"/>
      <c r="AB60" s="1767"/>
      <c r="AC60" s="1767"/>
      <c r="AD60" s="1767"/>
      <c r="AE60" s="1767"/>
      <c r="AF60" s="1767"/>
      <c r="AG60" s="1767"/>
      <c r="AH60" s="1767"/>
      <c r="AI60" s="1767"/>
      <c r="AJ60" s="1767"/>
      <c r="AK60" s="1767"/>
      <c r="AL60" s="1767"/>
      <c r="AM60" s="1767"/>
      <c r="AN60" s="1767"/>
      <c r="AO60" s="1767"/>
      <c r="AP60" s="1767"/>
      <c r="AQ60" s="1767"/>
      <c r="AR60" s="1767"/>
      <c r="AS60" s="1767"/>
      <c r="AT60" s="1767"/>
      <c r="AU60" s="1767"/>
      <c r="AV60" s="1767"/>
      <c r="AW60" s="1767"/>
      <c r="AX60" s="1767"/>
      <c r="AY60" s="1767"/>
      <c r="AZ60" s="1767"/>
      <c r="BA60" s="1767"/>
      <c r="BB60" s="1767"/>
      <c r="BC60" s="1767"/>
      <c r="BD60" s="1767"/>
      <c r="BE60" s="1767"/>
      <c r="BF60" s="1767"/>
      <c r="BG60" s="1767"/>
      <c r="BH60" s="1767"/>
      <c r="BI60" s="1767"/>
      <c r="BJ60" s="1767"/>
      <c r="BK60" s="1767"/>
      <c r="BL60" s="1767"/>
      <c r="BM60" s="1767"/>
      <c r="BN60" s="1767"/>
      <c r="BO60" s="1767"/>
      <c r="BP60" s="1767"/>
      <c r="BQ60" s="1767"/>
      <c r="BR60" s="1767"/>
      <c r="BS60" s="1767"/>
      <c r="BT60" s="1768"/>
    </row>
    <row r="61" spans="2:72" ht="15" customHeight="1" x14ac:dyDescent="0.2">
      <c r="B61" s="1766"/>
      <c r="C61" s="1767"/>
      <c r="D61" s="1767"/>
      <c r="E61" s="1767"/>
      <c r="F61" s="1767"/>
      <c r="G61" s="1767"/>
      <c r="H61" s="1767"/>
      <c r="I61" s="1767"/>
      <c r="J61" s="1767"/>
      <c r="K61" s="1767"/>
      <c r="L61" s="1767"/>
      <c r="M61" s="1767"/>
      <c r="N61" s="1767"/>
      <c r="O61" s="1767"/>
      <c r="P61" s="1767"/>
      <c r="Q61" s="1767"/>
      <c r="R61" s="1767"/>
      <c r="S61" s="1767"/>
      <c r="T61" s="1767"/>
      <c r="U61" s="1767"/>
      <c r="V61" s="1767"/>
      <c r="W61" s="1767"/>
      <c r="X61" s="1767"/>
      <c r="Y61" s="1767"/>
      <c r="Z61" s="1767"/>
      <c r="AA61" s="1767"/>
      <c r="AB61" s="1767"/>
      <c r="AC61" s="1767"/>
      <c r="AD61" s="1767"/>
      <c r="AE61" s="1767"/>
      <c r="AF61" s="1767"/>
      <c r="AG61" s="1767"/>
      <c r="AH61" s="1767"/>
      <c r="AI61" s="1767"/>
      <c r="AJ61" s="1767"/>
      <c r="AK61" s="1767"/>
      <c r="AL61" s="1767"/>
      <c r="AM61" s="1767"/>
      <c r="AN61" s="1767"/>
      <c r="AO61" s="1767"/>
      <c r="AP61" s="1767"/>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N61" s="1767"/>
      <c r="BO61" s="1767"/>
      <c r="BP61" s="1767"/>
      <c r="BQ61" s="1767"/>
      <c r="BR61" s="1767"/>
      <c r="BS61" s="1767"/>
      <c r="BT61" s="1768"/>
    </row>
    <row r="62" spans="2:72" ht="15" customHeight="1" x14ac:dyDescent="0.2">
      <c r="B62" s="1766"/>
      <c r="C62" s="1767"/>
      <c r="D62" s="1767"/>
      <c r="E62" s="1767"/>
      <c r="F62" s="1767"/>
      <c r="G62" s="1767"/>
      <c r="H62" s="1767"/>
      <c r="I62" s="1767"/>
      <c r="J62" s="1767"/>
      <c r="K62" s="1767"/>
      <c r="L62" s="1767"/>
      <c r="M62" s="1767"/>
      <c r="N62" s="1767"/>
      <c r="O62" s="1767"/>
      <c r="P62" s="1767"/>
      <c r="Q62" s="1767"/>
      <c r="R62" s="1767"/>
      <c r="S62" s="1767"/>
      <c r="T62" s="1767"/>
      <c r="U62" s="1767"/>
      <c r="V62" s="1767"/>
      <c r="W62" s="1767"/>
      <c r="X62" s="1767"/>
      <c r="Y62" s="1767"/>
      <c r="Z62" s="1767"/>
      <c r="AA62" s="1767"/>
      <c r="AB62" s="1767"/>
      <c r="AC62" s="1767"/>
      <c r="AD62" s="1767"/>
      <c r="AE62" s="1767"/>
      <c r="AF62" s="1767"/>
      <c r="AG62" s="1767"/>
      <c r="AH62" s="1767"/>
      <c r="AI62" s="1767"/>
      <c r="AJ62" s="1767"/>
      <c r="AK62" s="1767"/>
      <c r="AL62" s="1767"/>
      <c r="AM62" s="1767"/>
      <c r="AN62" s="1767"/>
      <c r="AO62" s="1767"/>
      <c r="AP62" s="1767"/>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N62" s="1767"/>
      <c r="BO62" s="1767"/>
      <c r="BP62" s="1767"/>
      <c r="BQ62" s="1767"/>
      <c r="BR62" s="1767"/>
      <c r="BS62" s="1767"/>
      <c r="BT62" s="1768"/>
    </row>
    <row r="63" spans="2:72" ht="15" customHeight="1" x14ac:dyDescent="0.2">
      <c r="B63" s="1766"/>
      <c r="C63" s="1767"/>
      <c r="D63" s="1767"/>
      <c r="E63" s="1767"/>
      <c r="F63" s="1767"/>
      <c r="G63" s="1767"/>
      <c r="H63" s="1767"/>
      <c r="I63" s="1767"/>
      <c r="J63" s="1767"/>
      <c r="K63" s="1767"/>
      <c r="L63" s="1767"/>
      <c r="M63" s="1767"/>
      <c r="N63" s="1767"/>
      <c r="O63" s="1767"/>
      <c r="P63" s="1767"/>
      <c r="Q63" s="1767"/>
      <c r="R63" s="1767"/>
      <c r="S63" s="1767"/>
      <c r="T63" s="1767"/>
      <c r="U63" s="1767"/>
      <c r="V63" s="1767"/>
      <c r="W63" s="1767"/>
      <c r="X63" s="1767"/>
      <c r="Y63" s="1767"/>
      <c r="Z63" s="1767"/>
      <c r="AA63" s="1767"/>
      <c r="AB63" s="1767"/>
      <c r="AC63" s="1767"/>
      <c r="AD63" s="1767"/>
      <c r="AE63" s="1767"/>
      <c r="AF63" s="1767"/>
      <c r="AG63" s="1767"/>
      <c r="AH63" s="1767"/>
      <c r="AI63" s="1767"/>
      <c r="AJ63" s="1767"/>
      <c r="AK63" s="1767"/>
      <c r="AL63" s="1767"/>
      <c r="AM63" s="1767"/>
      <c r="AN63" s="1767"/>
      <c r="AO63" s="1767"/>
      <c r="AP63" s="1767"/>
      <c r="AQ63" s="1767"/>
      <c r="AR63" s="1767"/>
      <c r="AS63" s="1767"/>
      <c r="AT63" s="1767"/>
      <c r="AU63" s="1767"/>
      <c r="AV63" s="1767"/>
      <c r="AW63" s="1767"/>
      <c r="AX63" s="1767"/>
      <c r="AY63" s="1767"/>
      <c r="AZ63" s="1767"/>
      <c r="BA63" s="1767"/>
      <c r="BB63" s="1767"/>
      <c r="BC63" s="1767"/>
      <c r="BD63" s="1767"/>
      <c r="BE63" s="1767"/>
      <c r="BF63" s="1767"/>
      <c r="BG63" s="1767"/>
      <c r="BH63" s="1767"/>
      <c r="BI63" s="1767"/>
      <c r="BJ63" s="1767"/>
      <c r="BK63" s="1767"/>
      <c r="BL63" s="1767"/>
      <c r="BM63" s="1767"/>
      <c r="BN63" s="1767"/>
      <c r="BO63" s="1767"/>
      <c r="BP63" s="1767"/>
      <c r="BQ63" s="1767"/>
      <c r="BR63" s="1767"/>
      <c r="BS63" s="1767"/>
      <c r="BT63" s="1768"/>
    </row>
    <row r="64" spans="2:72" ht="15" customHeight="1" x14ac:dyDescent="0.2">
      <c r="B64" s="1766"/>
      <c r="C64" s="1767"/>
      <c r="D64" s="1767"/>
      <c r="E64" s="1767"/>
      <c r="F64" s="1767"/>
      <c r="G64" s="1767"/>
      <c r="H64" s="1767"/>
      <c r="I64" s="1767"/>
      <c r="J64" s="1767"/>
      <c r="K64" s="1767"/>
      <c r="L64" s="1767"/>
      <c r="M64" s="1767"/>
      <c r="N64" s="1767"/>
      <c r="O64" s="1767"/>
      <c r="P64" s="1767"/>
      <c r="Q64" s="1767"/>
      <c r="R64" s="1767"/>
      <c r="S64" s="1767"/>
      <c r="T64" s="1767"/>
      <c r="U64" s="1767"/>
      <c r="V64" s="1767"/>
      <c r="W64" s="1767"/>
      <c r="X64" s="1767"/>
      <c r="Y64" s="1767"/>
      <c r="Z64" s="1767"/>
      <c r="AA64" s="1767"/>
      <c r="AB64" s="1767"/>
      <c r="AC64" s="1767"/>
      <c r="AD64" s="1767"/>
      <c r="AE64" s="1767"/>
      <c r="AF64" s="1767"/>
      <c r="AG64" s="1767"/>
      <c r="AH64" s="1767"/>
      <c r="AI64" s="1767"/>
      <c r="AJ64" s="1767"/>
      <c r="AK64" s="1767"/>
      <c r="AL64" s="1767"/>
      <c r="AM64" s="1767"/>
      <c r="AN64" s="1767"/>
      <c r="AO64" s="1767"/>
      <c r="AP64" s="1767"/>
      <c r="AQ64" s="1767"/>
      <c r="AR64" s="1767"/>
      <c r="AS64" s="1767"/>
      <c r="AT64" s="1767"/>
      <c r="AU64" s="1767"/>
      <c r="AV64" s="1767"/>
      <c r="AW64" s="1767"/>
      <c r="AX64" s="1767"/>
      <c r="AY64" s="1767"/>
      <c r="AZ64" s="1767"/>
      <c r="BA64" s="1767"/>
      <c r="BB64" s="1767"/>
      <c r="BC64" s="1767"/>
      <c r="BD64" s="1767"/>
      <c r="BE64" s="1767"/>
      <c r="BF64" s="1767"/>
      <c r="BG64" s="1767"/>
      <c r="BH64" s="1767"/>
      <c r="BI64" s="1767"/>
      <c r="BJ64" s="1767"/>
      <c r="BK64" s="1767"/>
      <c r="BL64" s="1767"/>
      <c r="BM64" s="1767"/>
      <c r="BN64" s="1767"/>
      <c r="BO64" s="1767"/>
      <c r="BP64" s="1767"/>
      <c r="BQ64" s="1767"/>
      <c r="BR64" s="1767"/>
      <c r="BS64" s="1767"/>
      <c r="BT64" s="1768"/>
    </row>
    <row r="65" spans="2:72" ht="15" customHeight="1" x14ac:dyDescent="0.2">
      <c r="B65" s="1766"/>
      <c r="C65" s="1767"/>
      <c r="D65" s="1767"/>
      <c r="E65" s="1767"/>
      <c r="F65" s="1767"/>
      <c r="G65" s="1767"/>
      <c r="H65" s="1767"/>
      <c r="I65" s="1767"/>
      <c r="J65" s="1767"/>
      <c r="K65" s="1767"/>
      <c r="L65" s="1767"/>
      <c r="M65" s="1767"/>
      <c r="N65" s="1767"/>
      <c r="O65" s="1767"/>
      <c r="P65" s="1767"/>
      <c r="Q65" s="1767"/>
      <c r="R65" s="1767"/>
      <c r="S65" s="1767"/>
      <c r="T65" s="1767"/>
      <c r="U65" s="1767"/>
      <c r="V65" s="1767"/>
      <c r="W65" s="1767"/>
      <c r="X65" s="1767"/>
      <c r="Y65" s="1767"/>
      <c r="Z65" s="1767"/>
      <c r="AA65" s="1767"/>
      <c r="AB65" s="1767"/>
      <c r="AC65" s="1767"/>
      <c r="AD65" s="1767"/>
      <c r="AE65" s="1767"/>
      <c r="AF65" s="1767"/>
      <c r="AG65" s="1767"/>
      <c r="AH65" s="1767"/>
      <c r="AI65" s="1767"/>
      <c r="AJ65" s="1767"/>
      <c r="AK65" s="1767"/>
      <c r="AL65" s="1767"/>
      <c r="AM65" s="1767"/>
      <c r="AN65" s="1767"/>
      <c r="AO65" s="1767"/>
      <c r="AP65" s="1767"/>
      <c r="AQ65" s="1767"/>
      <c r="AR65" s="1767"/>
      <c r="AS65" s="1767"/>
      <c r="AT65" s="1767"/>
      <c r="AU65" s="1767"/>
      <c r="AV65" s="1767"/>
      <c r="AW65" s="1767"/>
      <c r="AX65" s="1767"/>
      <c r="AY65" s="1767"/>
      <c r="AZ65" s="1767"/>
      <c r="BA65" s="1767"/>
      <c r="BB65" s="1767"/>
      <c r="BC65" s="1767"/>
      <c r="BD65" s="1767"/>
      <c r="BE65" s="1767"/>
      <c r="BF65" s="1767"/>
      <c r="BG65" s="1767"/>
      <c r="BH65" s="1767"/>
      <c r="BI65" s="1767"/>
      <c r="BJ65" s="1767"/>
      <c r="BK65" s="1767"/>
      <c r="BL65" s="1767"/>
      <c r="BM65" s="1767"/>
      <c r="BN65" s="1767"/>
      <c r="BO65" s="1767"/>
      <c r="BP65" s="1767"/>
      <c r="BQ65" s="1767"/>
      <c r="BR65" s="1767"/>
      <c r="BS65" s="1767"/>
      <c r="BT65" s="1768"/>
    </row>
    <row r="66" spans="2:72" ht="15" customHeight="1" x14ac:dyDescent="0.2">
      <c r="B66" s="1766"/>
      <c r="C66" s="1767"/>
      <c r="D66" s="1767"/>
      <c r="E66" s="1767"/>
      <c r="F66" s="1767"/>
      <c r="G66" s="1767"/>
      <c r="H66" s="1767"/>
      <c r="I66" s="1767"/>
      <c r="J66" s="1767"/>
      <c r="K66" s="1767"/>
      <c r="L66" s="1767"/>
      <c r="M66" s="1767"/>
      <c r="N66" s="1767"/>
      <c r="O66" s="1767"/>
      <c r="P66" s="1767"/>
      <c r="Q66" s="1767"/>
      <c r="R66" s="1767"/>
      <c r="S66" s="1767"/>
      <c r="T66" s="1767"/>
      <c r="U66" s="1767"/>
      <c r="V66" s="1767"/>
      <c r="W66" s="1767"/>
      <c r="X66" s="1767"/>
      <c r="Y66" s="1767"/>
      <c r="Z66" s="1767"/>
      <c r="AA66" s="1767"/>
      <c r="AB66" s="1767"/>
      <c r="AC66" s="1767"/>
      <c r="AD66" s="1767"/>
      <c r="AE66" s="1767"/>
      <c r="AF66" s="1767"/>
      <c r="AG66" s="1767"/>
      <c r="AH66" s="1767"/>
      <c r="AI66" s="1767"/>
      <c r="AJ66" s="1767"/>
      <c r="AK66" s="1767"/>
      <c r="AL66" s="1767"/>
      <c r="AM66" s="1767"/>
      <c r="AN66" s="1767"/>
      <c r="AO66" s="1767"/>
      <c r="AP66" s="1767"/>
      <c r="AQ66" s="1767"/>
      <c r="AR66" s="1767"/>
      <c r="AS66" s="1767"/>
      <c r="AT66" s="1767"/>
      <c r="AU66" s="1767"/>
      <c r="AV66" s="1767"/>
      <c r="AW66" s="1767"/>
      <c r="AX66" s="1767"/>
      <c r="AY66" s="1767"/>
      <c r="AZ66" s="1767"/>
      <c r="BA66" s="1767"/>
      <c r="BB66" s="1767"/>
      <c r="BC66" s="1767"/>
      <c r="BD66" s="1767"/>
      <c r="BE66" s="1767"/>
      <c r="BF66" s="1767"/>
      <c r="BG66" s="1767"/>
      <c r="BH66" s="1767"/>
      <c r="BI66" s="1767"/>
      <c r="BJ66" s="1767"/>
      <c r="BK66" s="1767"/>
      <c r="BL66" s="1767"/>
      <c r="BM66" s="1767"/>
      <c r="BN66" s="1767"/>
      <c r="BO66" s="1767"/>
      <c r="BP66" s="1767"/>
      <c r="BQ66" s="1767"/>
      <c r="BR66" s="1767"/>
      <c r="BS66" s="1767"/>
      <c r="BT66" s="1768"/>
    </row>
    <row r="67" spans="2:72" ht="15" customHeight="1" x14ac:dyDescent="0.2">
      <c r="B67" s="1766"/>
      <c r="C67" s="1767"/>
      <c r="D67" s="1767"/>
      <c r="E67" s="1767"/>
      <c r="F67" s="1767"/>
      <c r="G67" s="1767"/>
      <c r="H67" s="1767"/>
      <c r="I67" s="1767"/>
      <c r="J67" s="1767"/>
      <c r="K67" s="1767"/>
      <c r="L67" s="1767"/>
      <c r="M67" s="1767"/>
      <c r="N67" s="1767"/>
      <c r="O67" s="1767"/>
      <c r="P67" s="1767"/>
      <c r="Q67" s="1767"/>
      <c r="R67" s="1767"/>
      <c r="S67" s="1767"/>
      <c r="T67" s="1767"/>
      <c r="U67" s="1767"/>
      <c r="V67" s="1767"/>
      <c r="W67" s="1767"/>
      <c r="X67" s="1767"/>
      <c r="Y67" s="1767"/>
      <c r="Z67" s="1767"/>
      <c r="AA67" s="1767"/>
      <c r="AB67" s="1767"/>
      <c r="AC67" s="1767"/>
      <c r="AD67" s="1767"/>
      <c r="AE67" s="1767"/>
      <c r="AF67" s="1767"/>
      <c r="AG67" s="1767"/>
      <c r="AH67" s="1767"/>
      <c r="AI67" s="1767"/>
      <c r="AJ67" s="1767"/>
      <c r="AK67" s="1767"/>
      <c r="AL67" s="1767"/>
      <c r="AM67" s="1767"/>
      <c r="AN67" s="1767"/>
      <c r="AO67" s="1767"/>
      <c r="AP67" s="1767"/>
      <c r="AQ67" s="1767"/>
      <c r="AR67" s="1767"/>
      <c r="AS67" s="1767"/>
      <c r="AT67" s="1767"/>
      <c r="AU67" s="1767"/>
      <c r="AV67" s="1767"/>
      <c r="AW67" s="1767"/>
      <c r="AX67" s="1767"/>
      <c r="AY67" s="1767"/>
      <c r="AZ67" s="1767"/>
      <c r="BA67" s="1767"/>
      <c r="BB67" s="1767"/>
      <c r="BC67" s="1767"/>
      <c r="BD67" s="1767"/>
      <c r="BE67" s="1767"/>
      <c r="BF67" s="1767"/>
      <c r="BG67" s="1767"/>
      <c r="BH67" s="1767"/>
      <c r="BI67" s="1767"/>
      <c r="BJ67" s="1767"/>
      <c r="BK67" s="1767"/>
      <c r="BL67" s="1767"/>
      <c r="BM67" s="1767"/>
      <c r="BN67" s="1767"/>
      <c r="BO67" s="1767"/>
      <c r="BP67" s="1767"/>
      <c r="BQ67" s="1767"/>
      <c r="BR67" s="1767"/>
      <c r="BS67" s="1767"/>
      <c r="BT67" s="1768"/>
    </row>
    <row r="68" spans="2:72" ht="15" customHeight="1" x14ac:dyDescent="0.2">
      <c r="B68" s="1766"/>
      <c r="C68" s="1767"/>
      <c r="D68" s="1767"/>
      <c r="E68" s="1767"/>
      <c r="F68" s="1767"/>
      <c r="G68" s="1767"/>
      <c r="H68" s="1767"/>
      <c r="I68" s="1767"/>
      <c r="J68" s="1767"/>
      <c r="K68" s="1767"/>
      <c r="L68" s="1767"/>
      <c r="M68" s="1767"/>
      <c r="N68" s="1767"/>
      <c r="O68" s="1767"/>
      <c r="P68" s="1767"/>
      <c r="Q68" s="1767"/>
      <c r="R68" s="1767"/>
      <c r="S68" s="1767"/>
      <c r="T68" s="1767"/>
      <c r="U68" s="1767"/>
      <c r="V68" s="1767"/>
      <c r="W68" s="1767"/>
      <c r="X68" s="1767"/>
      <c r="Y68" s="1767"/>
      <c r="Z68" s="1767"/>
      <c r="AA68" s="1767"/>
      <c r="AB68" s="1767"/>
      <c r="AC68" s="1767"/>
      <c r="AD68" s="1767"/>
      <c r="AE68" s="1767"/>
      <c r="AF68" s="1767"/>
      <c r="AG68" s="1767"/>
      <c r="AH68" s="1767"/>
      <c r="AI68" s="1767"/>
      <c r="AJ68" s="1767"/>
      <c r="AK68" s="1767"/>
      <c r="AL68" s="1767"/>
      <c r="AM68" s="1767"/>
      <c r="AN68" s="1767"/>
      <c r="AO68" s="1767"/>
      <c r="AP68" s="1767"/>
      <c r="AQ68" s="1767"/>
      <c r="AR68" s="1767"/>
      <c r="AS68" s="1767"/>
      <c r="AT68" s="1767"/>
      <c r="AU68" s="1767"/>
      <c r="AV68" s="1767"/>
      <c r="AW68" s="1767"/>
      <c r="AX68" s="1767"/>
      <c r="AY68" s="1767"/>
      <c r="AZ68" s="1767"/>
      <c r="BA68" s="1767"/>
      <c r="BB68" s="1767"/>
      <c r="BC68" s="1767"/>
      <c r="BD68" s="1767"/>
      <c r="BE68" s="1767"/>
      <c r="BF68" s="1767"/>
      <c r="BG68" s="1767"/>
      <c r="BH68" s="1767"/>
      <c r="BI68" s="1767"/>
      <c r="BJ68" s="1767"/>
      <c r="BK68" s="1767"/>
      <c r="BL68" s="1767"/>
      <c r="BM68" s="1767"/>
      <c r="BN68" s="1767"/>
      <c r="BO68" s="1767"/>
      <c r="BP68" s="1767"/>
      <c r="BQ68" s="1767"/>
      <c r="BR68" s="1767"/>
      <c r="BS68" s="1767"/>
      <c r="BT68" s="1768"/>
    </row>
    <row r="69" spans="2:72" ht="15" customHeight="1" x14ac:dyDescent="0.2">
      <c r="B69" s="1766"/>
      <c r="C69" s="1767"/>
      <c r="D69" s="1767"/>
      <c r="E69" s="1767"/>
      <c r="F69" s="1767"/>
      <c r="G69" s="1767"/>
      <c r="H69" s="1767"/>
      <c r="I69" s="1767"/>
      <c r="J69" s="1767"/>
      <c r="K69" s="1767"/>
      <c r="L69" s="1767"/>
      <c r="M69" s="1767"/>
      <c r="N69" s="1767"/>
      <c r="O69" s="1767"/>
      <c r="P69" s="1767"/>
      <c r="Q69" s="1767"/>
      <c r="R69" s="1767"/>
      <c r="S69" s="1767"/>
      <c r="T69" s="1767"/>
      <c r="U69" s="1767"/>
      <c r="V69" s="1767"/>
      <c r="W69" s="1767"/>
      <c r="X69" s="1767"/>
      <c r="Y69" s="1767"/>
      <c r="Z69" s="1767"/>
      <c r="AA69" s="1767"/>
      <c r="AB69" s="1767"/>
      <c r="AC69" s="1767"/>
      <c r="AD69" s="1767"/>
      <c r="AE69" s="1767"/>
      <c r="AF69" s="1767"/>
      <c r="AG69" s="1767"/>
      <c r="AH69" s="1767"/>
      <c r="AI69" s="1767"/>
      <c r="AJ69" s="1767"/>
      <c r="AK69" s="1767"/>
      <c r="AL69" s="1767"/>
      <c r="AM69" s="1767"/>
      <c r="AN69" s="1767"/>
      <c r="AO69" s="1767"/>
      <c r="AP69" s="1767"/>
      <c r="AQ69" s="1767"/>
      <c r="AR69" s="1767"/>
      <c r="AS69" s="1767"/>
      <c r="AT69" s="1767"/>
      <c r="AU69" s="1767"/>
      <c r="AV69" s="1767"/>
      <c r="AW69" s="1767"/>
      <c r="AX69" s="1767"/>
      <c r="AY69" s="1767"/>
      <c r="AZ69" s="1767"/>
      <c r="BA69" s="1767"/>
      <c r="BB69" s="1767"/>
      <c r="BC69" s="1767"/>
      <c r="BD69" s="1767"/>
      <c r="BE69" s="1767"/>
      <c r="BF69" s="1767"/>
      <c r="BG69" s="1767"/>
      <c r="BH69" s="1767"/>
      <c r="BI69" s="1767"/>
      <c r="BJ69" s="1767"/>
      <c r="BK69" s="1767"/>
      <c r="BL69" s="1767"/>
      <c r="BM69" s="1767"/>
      <c r="BN69" s="1767"/>
      <c r="BO69" s="1767"/>
      <c r="BP69" s="1767"/>
      <c r="BQ69" s="1767"/>
      <c r="BR69" s="1767"/>
      <c r="BS69" s="1767"/>
      <c r="BT69" s="1768"/>
    </row>
    <row r="70" spans="2:72" ht="15" customHeight="1" x14ac:dyDescent="0.2">
      <c r="B70" s="1766"/>
      <c r="C70" s="1767"/>
      <c r="D70" s="1767"/>
      <c r="E70" s="1767"/>
      <c r="F70" s="1767"/>
      <c r="G70" s="1767"/>
      <c r="H70" s="1767"/>
      <c r="I70" s="1767"/>
      <c r="J70" s="1767"/>
      <c r="K70" s="1767"/>
      <c r="L70" s="1767"/>
      <c r="M70" s="1767"/>
      <c r="N70" s="1767"/>
      <c r="O70" s="1767"/>
      <c r="P70" s="1767"/>
      <c r="Q70" s="1767"/>
      <c r="R70" s="1767"/>
      <c r="S70" s="1767"/>
      <c r="T70" s="1767"/>
      <c r="U70" s="1767"/>
      <c r="V70" s="1767"/>
      <c r="W70" s="1767"/>
      <c r="X70" s="1767"/>
      <c r="Y70" s="1767"/>
      <c r="Z70" s="1767"/>
      <c r="AA70" s="1767"/>
      <c r="AB70" s="1767"/>
      <c r="AC70" s="1767"/>
      <c r="AD70" s="1767"/>
      <c r="AE70" s="1767"/>
      <c r="AF70" s="1767"/>
      <c r="AG70" s="1767"/>
      <c r="AH70" s="1767"/>
      <c r="AI70" s="1767"/>
      <c r="AJ70" s="1767"/>
      <c r="AK70" s="1767"/>
      <c r="AL70" s="1767"/>
      <c r="AM70" s="1767"/>
      <c r="AN70" s="1767"/>
      <c r="AO70" s="1767"/>
      <c r="AP70" s="1767"/>
      <c r="AQ70" s="1767"/>
      <c r="AR70" s="1767"/>
      <c r="AS70" s="1767"/>
      <c r="AT70" s="1767"/>
      <c r="AU70" s="1767"/>
      <c r="AV70" s="1767"/>
      <c r="AW70" s="1767"/>
      <c r="AX70" s="1767"/>
      <c r="AY70" s="1767"/>
      <c r="AZ70" s="1767"/>
      <c r="BA70" s="1767"/>
      <c r="BB70" s="1767"/>
      <c r="BC70" s="1767"/>
      <c r="BD70" s="1767"/>
      <c r="BE70" s="1767"/>
      <c r="BF70" s="1767"/>
      <c r="BG70" s="1767"/>
      <c r="BH70" s="1767"/>
      <c r="BI70" s="1767"/>
      <c r="BJ70" s="1767"/>
      <c r="BK70" s="1767"/>
      <c r="BL70" s="1767"/>
      <c r="BM70" s="1767"/>
      <c r="BN70" s="1767"/>
      <c r="BO70" s="1767"/>
      <c r="BP70" s="1767"/>
      <c r="BQ70" s="1767"/>
      <c r="BR70" s="1767"/>
      <c r="BS70" s="1767"/>
      <c r="BT70" s="1768"/>
    </row>
    <row r="71" spans="2:72" ht="15" customHeight="1" x14ac:dyDescent="0.2">
      <c r="B71" s="1766"/>
      <c r="C71" s="1767"/>
      <c r="D71" s="1767"/>
      <c r="E71" s="1767"/>
      <c r="F71" s="1767"/>
      <c r="G71" s="1767"/>
      <c r="H71" s="1767"/>
      <c r="I71" s="1767"/>
      <c r="J71" s="1767"/>
      <c r="K71" s="1767"/>
      <c r="L71" s="1767"/>
      <c r="M71" s="1767"/>
      <c r="N71" s="1767"/>
      <c r="O71" s="1767"/>
      <c r="P71" s="1767"/>
      <c r="Q71" s="1767"/>
      <c r="R71" s="1767"/>
      <c r="S71" s="1767"/>
      <c r="T71" s="1767"/>
      <c r="U71" s="1767"/>
      <c r="V71" s="1767"/>
      <c r="W71" s="1767"/>
      <c r="X71" s="1767"/>
      <c r="Y71" s="1767"/>
      <c r="Z71" s="1767"/>
      <c r="AA71" s="1767"/>
      <c r="AB71" s="1767"/>
      <c r="AC71" s="1767"/>
      <c r="AD71" s="1767"/>
      <c r="AE71" s="1767"/>
      <c r="AF71" s="1767"/>
      <c r="AG71" s="1767"/>
      <c r="AH71" s="1767"/>
      <c r="AI71" s="1767"/>
      <c r="AJ71" s="1767"/>
      <c r="AK71" s="1767"/>
      <c r="AL71" s="1767"/>
      <c r="AM71" s="1767"/>
      <c r="AN71" s="1767"/>
      <c r="AO71" s="1767"/>
      <c r="AP71" s="1767"/>
      <c r="AQ71" s="1767"/>
      <c r="AR71" s="1767"/>
      <c r="AS71" s="1767"/>
      <c r="AT71" s="1767"/>
      <c r="AU71" s="1767"/>
      <c r="AV71" s="1767"/>
      <c r="AW71" s="1767"/>
      <c r="AX71" s="1767"/>
      <c r="AY71" s="1767"/>
      <c r="AZ71" s="1767"/>
      <c r="BA71" s="1767"/>
      <c r="BB71" s="1767"/>
      <c r="BC71" s="1767"/>
      <c r="BD71" s="1767"/>
      <c r="BE71" s="1767"/>
      <c r="BF71" s="1767"/>
      <c r="BG71" s="1767"/>
      <c r="BH71" s="1767"/>
      <c r="BI71" s="1767"/>
      <c r="BJ71" s="1767"/>
      <c r="BK71" s="1767"/>
      <c r="BL71" s="1767"/>
      <c r="BM71" s="1767"/>
      <c r="BN71" s="1767"/>
      <c r="BO71" s="1767"/>
      <c r="BP71" s="1767"/>
      <c r="BQ71" s="1767"/>
      <c r="BR71" s="1767"/>
      <c r="BS71" s="1767"/>
      <c r="BT71" s="1768"/>
    </row>
    <row r="72" spans="2:72" ht="15" customHeight="1" x14ac:dyDescent="0.2">
      <c r="B72" s="1766"/>
      <c r="C72" s="1767"/>
      <c r="D72" s="1767"/>
      <c r="E72" s="1767"/>
      <c r="F72" s="1767"/>
      <c r="G72" s="1767"/>
      <c r="H72" s="1767"/>
      <c r="I72" s="1767"/>
      <c r="J72" s="1767"/>
      <c r="K72" s="1767"/>
      <c r="L72" s="1767"/>
      <c r="M72" s="1767"/>
      <c r="N72" s="1767"/>
      <c r="O72" s="1767"/>
      <c r="P72" s="1767"/>
      <c r="Q72" s="1767"/>
      <c r="R72" s="1767"/>
      <c r="S72" s="1767"/>
      <c r="T72" s="1767"/>
      <c r="U72" s="1767"/>
      <c r="V72" s="1767"/>
      <c r="W72" s="1767"/>
      <c r="X72" s="1767"/>
      <c r="Y72" s="1767"/>
      <c r="Z72" s="1767"/>
      <c r="AA72" s="1767"/>
      <c r="AB72" s="1767"/>
      <c r="AC72" s="1767"/>
      <c r="AD72" s="1767"/>
      <c r="AE72" s="1767"/>
      <c r="AF72" s="1767"/>
      <c r="AG72" s="1767"/>
      <c r="AH72" s="1767"/>
      <c r="AI72" s="1767"/>
      <c r="AJ72" s="1767"/>
      <c r="AK72" s="1767"/>
      <c r="AL72" s="1767"/>
      <c r="AM72" s="1767"/>
      <c r="AN72" s="1767"/>
      <c r="AO72" s="1767"/>
      <c r="AP72" s="1767"/>
      <c r="AQ72" s="1767"/>
      <c r="AR72" s="1767"/>
      <c r="AS72" s="1767"/>
      <c r="AT72" s="1767"/>
      <c r="AU72" s="1767"/>
      <c r="AV72" s="1767"/>
      <c r="AW72" s="1767"/>
      <c r="AX72" s="1767"/>
      <c r="AY72" s="1767"/>
      <c r="AZ72" s="1767"/>
      <c r="BA72" s="1767"/>
      <c r="BB72" s="1767"/>
      <c r="BC72" s="1767"/>
      <c r="BD72" s="1767"/>
      <c r="BE72" s="1767"/>
      <c r="BF72" s="1767"/>
      <c r="BG72" s="1767"/>
      <c r="BH72" s="1767"/>
      <c r="BI72" s="1767"/>
      <c r="BJ72" s="1767"/>
      <c r="BK72" s="1767"/>
      <c r="BL72" s="1767"/>
      <c r="BM72" s="1767"/>
      <c r="BN72" s="1767"/>
      <c r="BO72" s="1767"/>
      <c r="BP72" s="1767"/>
      <c r="BQ72" s="1767"/>
      <c r="BR72" s="1767"/>
      <c r="BS72" s="1767"/>
      <c r="BT72" s="1768"/>
    </row>
    <row r="73" spans="2:72" ht="15" customHeight="1" x14ac:dyDescent="0.2">
      <c r="B73" s="1766"/>
      <c r="C73" s="1767"/>
      <c r="D73" s="1767"/>
      <c r="E73" s="1767"/>
      <c r="F73" s="1767"/>
      <c r="G73" s="1767"/>
      <c r="H73" s="1767"/>
      <c r="I73" s="1767"/>
      <c r="J73" s="1767"/>
      <c r="K73" s="1767"/>
      <c r="L73" s="1767"/>
      <c r="M73" s="1767"/>
      <c r="N73" s="1767"/>
      <c r="O73" s="1767"/>
      <c r="P73" s="1767"/>
      <c r="Q73" s="1767"/>
      <c r="R73" s="1767"/>
      <c r="S73" s="1767"/>
      <c r="T73" s="1767"/>
      <c r="U73" s="1767"/>
      <c r="V73" s="1767"/>
      <c r="W73" s="1767"/>
      <c r="X73" s="1767"/>
      <c r="Y73" s="1767"/>
      <c r="Z73" s="1767"/>
      <c r="AA73" s="1767"/>
      <c r="AB73" s="1767"/>
      <c r="AC73" s="1767"/>
      <c r="AD73" s="1767"/>
      <c r="AE73" s="1767"/>
      <c r="AF73" s="1767"/>
      <c r="AG73" s="1767"/>
      <c r="AH73" s="1767"/>
      <c r="AI73" s="1767"/>
      <c r="AJ73" s="1767"/>
      <c r="AK73" s="1767"/>
      <c r="AL73" s="1767"/>
      <c r="AM73" s="1767"/>
      <c r="AN73" s="1767"/>
      <c r="AO73" s="1767"/>
      <c r="AP73" s="1767"/>
      <c r="AQ73" s="1767"/>
      <c r="AR73" s="1767"/>
      <c r="AS73" s="1767"/>
      <c r="AT73" s="1767"/>
      <c r="AU73" s="1767"/>
      <c r="AV73" s="1767"/>
      <c r="AW73" s="1767"/>
      <c r="AX73" s="1767"/>
      <c r="AY73" s="1767"/>
      <c r="AZ73" s="1767"/>
      <c r="BA73" s="1767"/>
      <c r="BB73" s="1767"/>
      <c r="BC73" s="1767"/>
      <c r="BD73" s="1767"/>
      <c r="BE73" s="1767"/>
      <c r="BF73" s="1767"/>
      <c r="BG73" s="1767"/>
      <c r="BH73" s="1767"/>
      <c r="BI73" s="1767"/>
      <c r="BJ73" s="1767"/>
      <c r="BK73" s="1767"/>
      <c r="BL73" s="1767"/>
      <c r="BM73" s="1767"/>
      <c r="BN73" s="1767"/>
      <c r="BO73" s="1767"/>
      <c r="BP73" s="1767"/>
      <c r="BQ73" s="1767"/>
      <c r="BR73" s="1767"/>
      <c r="BS73" s="1767"/>
      <c r="BT73" s="1768"/>
    </row>
    <row r="74" spans="2:72" ht="15" customHeight="1" x14ac:dyDescent="0.2">
      <c r="B74" s="1766"/>
      <c r="C74" s="1767"/>
      <c r="D74" s="1767"/>
      <c r="E74" s="1767"/>
      <c r="F74" s="1767"/>
      <c r="G74" s="1767"/>
      <c r="H74" s="1767"/>
      <c r="I74" s="1767"/>
      <c r="J74" s="1767"/>
      <c r="K74" s="1767"/>
      <c r="L74" s="1767"/>
      <c r="M74" s="1767"/>
      <c r="N74" s="1767"/>
      <c r="O74" s="1767"/>
      <c r="P74" s="1767"/>
      <c r="Q74" s="1767"/>
      <c r="R74" s="1767"/>
      <c r="S74" s="1767"/>
      <c r="T74" s="1767"/>
      <c r="U74" s="1767"/>
      <c r="V74" s="1767"/>
      <c r="W74" s="1767"/>
      <c r="X74" s="1767"/>
      <c r="Y74" s="1767"/>
      <c r="Z74" s="1767"/>
      <c r="AA74" s="1767"/>
      <c r="AB74" s="1767"/>
      <c r="AC74" s="1767"/>
      <c r="AD74" s="1767"/>
      <c r="AE74" s="1767"/>
      <c r="AF74" s="1767"/>
      <c r="AG74" s="1767"/>
      <c r="AH74" s="1767"/>
      <c r="AI74" s="1767"/>
      <c r="AJ74" s="1767"/>
      <c r="AK74" s="1767"/>
      <c r="AL74" s="1767"/>
      <c r="AM74" s="1767"/>
      <c r="AN74" s="1767"/>
      <c r="AO74" s="1767"/>
      <c r="AP74" s="1767"/>
      <c r="AQ74" s="1767"/>
      <c r="AR74" s="1767"/>
      <c r="AS74" s="1767"/>
      <c r="AT74" s="1767"/>
      <c r="AU74" s="1767"/>
      <c r="AV74" s="1767"/>
      <c r="AW74" s="1767"/>
      <c r="AX74" s="1767"/>
      <c r="AY74" s="1767"/>
      <c r="AZ74" s="1767"/>
      <c r="BA74" s="1767"/>
      <c r="BB74" s="1767"/>
      <c r="BC74" s="1767"/>
      <c r="BD74" s="1767"/>
      <c r="BE74" s="1767"/>
      <c r="BF74" s="1767"/>
      <c r="BG74" s="1767"/>
      <c r="BH74" s="1767"/>
      <c r="BI74" s="1767"/>
      <c r="BJ74" s="1767"/>
      <c r="BK74" s="1767"/>
      <c r="BL74" s="1767"/>
      <c r="BM74" s="1767"/>
      <c r="BN74" s="1767"/>
      <c r="BO74" s="1767"/>
      <c r="BP74" s="1767"/>
      <c r="BQ74" s="1767"/>
      <c r="BR74" s="1767"/>
      <c r="BS74" s="1767"/>
      <c r="BT74" s="1768"/>
    </row>
    <row r="75" spans="2:72" ht="15" customHeight="1" x14ac:dyDescent="0.2">
      <c r="B75" s="1766"/>
      <c r="C75" s="1767"/>
      <c r="D75" s="1767"/>
      <c r="E75" s="1767"/>
      <c r="F75" s="1767"/>
      <c r="G75" s="1767"/>
      <c r="H75" s="1767"/>
      <c r="I75" s="1767"/>
      <c r="J75" s="1767"/>
      <c r="K75" s="1767"/>
      <c r="L75" s="1767"/>
      <c r="M75" s="1767"/>
      <c r="N75" s="1767"/>
      <c r="O75" s="1767"/>
      <c r="P75" s="1767"/>
      <c r="Q75" s="1767"/>
      <c r="R75" s="1767"/>
      <c r="S75" s="1767"/>
      <c r="T75" s="1767"/>
      <c r="U75" s="1767"/>
      <c r="V75" s="1767"/>
      <c r="W75" s="1767"/>
      <c r="X75" s="1767"/>
      <c r="Y75" s="1767"/>
      <c r="Z75" s="1767"/>
      <c r="AA75" s="1767"/>
      <c r="AB75" s="1767"/>
      <c r="AC75" s="1767"/>
      <c r="AD75" s="1767"/>
      <c r="AE75" s="1767"/>
      <c r="AF75" s="1767"/>
      <c r="AG75" s="1767"/>
      <c r="AH75" s="1767"/>
      <c r="AI75" s="1767"/>
      <c r="AJ75" s="1767"/>
      <c r="AK75" s="1767"/>
      <c r="AL75" s="1767"/>
      <c r="AM75" s="1767"/>
      <c r="AN75" s="1767"/>
      <c r="AO75" s="1767"/>
      <c r="AP75" s="1767"/>
      <c r="AQ75" s="1767"/>
      <c r="AR75" s="1767"/>
      <c r="AS75" s="1767"/>
      <c r="AT75" s="1767"/>
      <c r="AU75" s="1767"/>
      <c r="AV75" s="1767"/>
      <c r="AW75" s="1767"/>
      <c r="AX75" s="1767"/>
      <c r="AY75" s="1767"/>
      <c r="AZ75" s="1767"/>
      <c r="BA75" s="1767"/>
      <c r="BB75" s="1767"/>
      <c r="BC75" s="1767"/>
      <c r="BD75" s="1767"/>
      <c r="BE75" s="1767"/>
      <c r="BF75" s="1767"/>
      <c r="BG75" s="1767"/>
      <c r="BH75" s="1767"/>
      <c r="BI75" s="1767"/>
      <c r="BJ75" s="1767"/>
      <c r="BK75" s="1767"/>
      <c r="BL75" s="1767"/>
      <c r="BM75" s="1767"/>
      <c r="BN75" s="1767"/>
      <c r="BO75" s="1767"/>
      <c r="BP75" s="1767"/>
      <c r="BQ75" s="1767"/>
      <c r="BR75" s="1767"/>
      <c r="BS75" s="1767"/>
      <c r="BT75" s="1768"/>
    </row>
    <row r="76" spans="2:72" ht="15" customHeight="1" x14ac:dyDescent="0.2">
      <c r="B76" s="1766"/>
      <c r="C76" s="1767"/>
      <c r="D76" s="1767"/>
      <c r="E76" s="1767"/>
      <c r="F76" s="1767"/>
      <c r="G76" s="1767"/>
      <c r="H76" s="1767"/>
      <c r="I76" s="1767"/>
      <c r="J76" s="1767"/>
      <c r="K76" s="1767"/>
      <c r="L76" s="1767"/>
      <c r="M76" s="1767"/>
      <c r="N76" s="1767"/>
      <c r="O76" s="1767"/>
      <c r="P76" s="1767"/>
      <c r="Q76" s="1767"/>
      <c r="R76" s="1767"/>
      <c r="S76" s="1767"/>
      <c r="T76" s="1767"/>
      <c r="U76" s="1767"/>
      <c r="V76" s="1767"/>
      <c r="W76" s="1767"/>
      <c r="X76" s="1767"/>
      <c r="Y76" s="1767"/>
      <c r="Z76" s="1767"/>
      <c r="AA76" s="1767"/>
      <c r="AB76" s="1767"/>
      <c r="AC76" s="1767"/>
      <c r="AD76" s="1767"/>
      <c r="AE76" s="1767"/>
      <c r="AF76" s="1767"/>
      <c r="AG76" s="1767"/>
      <c r="AH76" s="1767"/>
      <c r="AI76" s="1767"/>
      <c r="AJ76" s="1767"/>
      <c r="AK76" s="1767"/>
      <c r="AL76" s="1767"/>
      <c r="AM76" s="1767"/>
      <c r="AN76" s="1767"/>
      <c r="AO76" s="1767"/>
      <c r="AP76" s="1767"/>
      <c r="AQ76" s="1767"/>
      <c r="AR76" s="1767"/>
      <c r="AS76" s="1767"/>
      <c r="AT76" s="1767"/>
      <c r="AU76" s="1767"/>
      <c r="AV76" s="1767"/>
      <c r="AW76" s="1767"/>
      <c r="AX76" s="1767"/>
      <c r="AY76" s="1767"/>
      <c r="AZ76" s="1767"/>
      <c r="BA76" s="1767"/>
      <c r="BB76" s="1767"/>
      <c r="BC76" s="1767"/>
      <c r="BD76" s="1767"/>
      <c r="BE76" s="1767"/>
      <c r="BF76" s="1767"/>
      <c r="BG76" s="1767"/>
      <c r="BH76" s="1767"/>
      <c r="BI76" s="1767"/>
      <c r="BJ76" s="1767"/>
      <c r="BK76" s="1767"/>
      <c r="BL76" s="1767"/>
      <c r="BM76" s="1767"/>
      <c r="BN76" s="1767"/>
      <c r="BO76" s="1767"/>
      <c r="BP76" s="1767"/>
      <c r="BQ76" s="1767"/>
      <c r="BR76" s="1767"/>
      <c r="BS76" s="1767"/>
      <c r="BT76" s="1768"/>
    </row>
    <row r="77" spans="2:72" ht="15" customHeight="1" x14ac:dyDescent="0.2">
      <c r="B77" s="1766"/>
      <c r="C77" s="1767"/>
      <c r="D77" s="1767"/>
      <c r="E77" s="1767"/>
      <c r="F77" s="1767"/>
      <c r="G77" s="1767"/>
      <c r="H77" s="1767"/>
      <c r="I77" s="1767"/>
      <c r="J77" s="1767"/>
      <c r="K77" s="1767"/>
      <c r="L77" s="1767"/>
      <c r="M77" s="1767"/>
      <c r="N77" s="1767"/>
      <c r="O77" s="1767"/>
      <c r="P77" s="1767"/>
      <c r="Q77" s="1767"/>
      <c r="R77" s="1767"/>
      <c r="S77" s="1767"/>
      <c r="T77" s="1767"/>
      <c r="U77" s="1767"/>
      <c r="V77" s="1767"/>
      <c r="W77" s="1767"/>
      <c r="X77" s="1767"/>
      <c r="Y77" s="1767"/>
      <c r="Z77" s="1767"/>
      <c r="AA77" s="1767"/>
      <c r="AB77" s="1767"/>
      <c r="AC77" s="1767"/>
      <c r="AD77" s="1767"/>
      <c r="AE77" s="1767"/>
      <c r="AF77" s="1767"/>
      <c r="AG77" s="1767"/>
      <c r="AH77" s="1767"/>
      <c r="AI77" s="1767"/>
      <c r="AJ77" s="1767"/>
      <c r="AK77" s="1767"/>
      <c r="AL77" s="1767"/>
      <c r="AM77" s="1767"/>
      <c r="AN77" s="1767"/>
      <c r="AO77" s="1767"/>
      <c r="AP77" s="1767"/>
      <c r="AQ77" s="1767"/>
      <c r="AR77" s="1767"/>
      <c r="AS77" s="1767"/>
      <c r="AT77" s="1767"/>
      <c r="AU77" s="1767"/>
      <c r="AV77" s="1767"/>
      <c r="AW77" s="1767"/>
      <c r="AX77" s="1767"/>
      <c r="AY77" s="1767"/>
      <c r="AZ77" s="1767"/>
      <c r="BA77" s="1767"/>
      <c r="BB77" s="1767"/>
      <c r="BC77" s="1767"/>
      <c r="BD77" s="1767"/>
      <c r="BE77" s="1767"/>
      <c r="BF77" s="1767"/>
      <c r="BG77" s="1767"/>
      <c r="BH77" s="1767"/>
      <c r="BI77" s="1767"/>
      <c r="BJ77" s="1767"/>
      <c r="BK77" s="1767"/>
      <c r="BL77" s="1767"/>
      <c r="BM77" s="1767"/>
      <c r="BN77" s="1767"/>
      <c r="BO77" s="1767"/>
      <c r="BP77" s="1767"/>
      <c r="BQ77" s="1767"/>
      <c r="BR77" s="1767"/>
      <c r="BS77" s="1767"/>
      <c r="BT77" s="1768"/>
    </row>
    <row r="78" spans="2:72" ht="15" customHeight="1" x14ac:dyDescent="0.2">
      <c r="B78" s="1766"/>
      <c r="C78" s="1767"/>
      <c r="D78" s="1767"/>
      <c r="E78" s="1767"/>
      <c r="F78" s="1767"/>
      <c r="G78" s="1767"/>
      <c r="H78" s="1767"/>
      <c r="I78" s="1767"/>
      <c r="J78" s="1767"/>
      <c r="K78" s="1767"/>
      <c r="L78" s="1767"/>
      <c r="M78" s="1767"/>
      <c r="N78" s="1767"/>
      <c r="O78" s="1767"/>
      <c r="P78" s="1767"/>
      <c r="Q78" s="1767"/>
      <c r="R78" s="1767"/>
      <c r="S78" s="1767"/>
      <c r="T78" s="1767"/>
      <c r="U78" s="1767"/>
      <c r="V78" s="1767"/>
      <c r="W78" s="1767"/>
      <c r="X78" s="1767"/>
      <c r="Y78" s="1767"/>
      <c r="Z78" s="1767"/>
      <c r="AA78" s="1767"/>
      <c r="AB78" s="1767"/>
      <c r="AC78" s="1767"/>
      <c r="AD78" s="1767"/>
      <c r="AE78" s="1767"/>
      <c r="AF78" s="1767"/>
      <c r="AG78" s="1767"/>
      <c r="AH78" s="1767"/>
      <c r="AI78" s="1767"/>
      <c r="AJ78" s="1767"/>
      <c r="AK78" s="1767"/>
      <c r="AL78" s="1767"/>
      <c r="AM78" s="1767"/>
      <c r="AN78" s="1767"/>
      <c r="AO78" s="1767"/>
      <c r="AP78" s="1767"/>
      <c r="AQ78" s="1767"/>
      <c r="AR78" s="1767"/>
      <c r="AS78" s="1767"/>
      <c r="AT78" s="1767"/>
      <c r="AU78" s="1767"/>
      <c r="AV78" s="1767"/>
      <c r="AW78" s="1767"/>
      <c r="AX78" s="1767"/>
      <c r="AY78" s="1767"/>
      <c r="AZ78" s="1767"/>
      <c r="BA78" s="1767"/>
      <c r="BB78" s="1767"/>
      <c r="BC78" s="1767"/>
      <c r="BD78" s="1767"/>
      <c r="BE78" s="1767"/>
      <c r="BF78" s="1767"/>
      <c r="BG78" s="1767"/>
      <c r="BH78" s="1767"/>
      <c r="BI78" s="1767"/>
      <c r="BJ78" s="1767"/>
      <c r="BK78" s="1767"/>
      <c r="BL78" s="1767"/>
      <c r="BM78" s="1767"/>
      <c r="BN78" s="1767"/>
      <c r="BO78" s="1767"/>
      <c r="BP78" s="1767"/>
      <c r="BQ78" s="1767"/>
      <c r="BR78" s="1767"/>
      <c r="BS78" s="1767"/>
      <c r="BT78" s="1768"/>
    </row>
    <row r="79" spans="2:72" ht="15" customHeight="1" x14ac:dyDescent="0.2">
      <c r="B79" s="1766"/>
      <c r="C79" s="1767"/>
      <c r="D79" s="1767"/>
      <c r="E79" s="1767"/>
      <c r="F79" s="1767"/>
      <c r="G79" s="1767"/>
      <c r="H79" s="1767"/>
      <c r="I79" s="1767"/>
      <c r="J79" s="1767"/>
      <c r="K79" s="1767"/>
      <c r="L79" s="1767"/>
      <c r="M79" s="1767"/>
      <c r="N79" s="1767"/>
      <c r="O79" s="1767"/>
      <c r="P79" s="1767"/>
      <c r="Q79" s="1767"/>
      <c r="R79" s="1767"/>
      <c r="S79" s="1767"/>
      <c r="T79" s="1767"/>
      <c r="U79" s="1767"/>
      <c r="V79" s="1767"/>
      <c r="W79" s="1767"/>
      <c r="X79" s="1767"/>
      <c r="Y79" s="1767"/>
      <c r="Z79" s="1767"/>
      <c r="AA79" s="1767"/>
      <c r="AB79" s="1767"/>
      <c r="AC79" s="1767"/>
      <c r="AD79" s="1767"/>
      <c r="AE79" s="1767"/>
      <c r="AF79" s="1767"/>
      <c r="AG79" s="1767"/>
      <c r="AH79" s="1767"/>
      <c r="AI79" s="1767"/>
      <c r="AJ79" s="1767"/>
      <c r="AK79" s="1767"/>
      <c r="AL79" s="1767"/>
      <c r="AM79" s="1767"/>
      <c r="AN79" s="1767"/>
      <c r="AO79" s="1767"/>
      <c r="AP79" s="1767"/>
      <c r="AQ79" s="1767"/>
      <c r="AR79" s="1767"/>
      <c r="AS79" s="1767"/>
      <c r="AT79" s="1767"/>
      <c r="AU79" s="1767"/>
      <c r="AV79" s="1767"/>
      <c r="AW79" s="1767"/>
      <c r="AX79" s="1767"/>
      <c r="AY79" s="1767"/>
      <c r="AZ79" s="1767"/>
      <c r="BA79" s="1767"/>
      <c r="BB79" s="1767"/>
      <c r="BC79" s="1767"/>
      <c r="BD79" s="1767"/>
      <c r="BE79" s="1767"/>
      <c r="BF79" s="1767"/>
      <c r="BG79" s="1767"/>
      <c r="BH79" s="1767"/>
      <c r="BI79" s="1767"/>
      <c r="BJ79" s="1767"/>
      <c r="BK79" s="1767"/>
      <c r="BL79" s="1767"/>
      <c r="BM79" s="1767"/>
      <c r="BN79" s="1767"/>
      <c r="BO79" s="1767"/>
      <c r="BP79" s="1767"/>
      <c r="BQ79" s="1767"/>
      <c r="BR79" s="1767"/>
      <c r="BS79" s="1767"/>
      <c r="BT79" s="1768"/>
    </row>
    <row r="80" spans="2:72" ht="15" customHeight="1" x14ac:dyDescent="0.2">
      <c r="B80" s="1766"/>
      <c r="C80" s="1767"/>
      <c r="D80" s="1767"/>
      <c r="E80" s="1767"/>
      <c r="F80" s="1767"/>
      <c r="G80" s="1767"/>
      <c r="H80" s="1767"/>
      <c r="I80" s="1767"/>
      <c r="J80" s="1767"/>
      <c r="K80" s="1767"/>
      <c r="L80" s="1767"/>
      <c r="M80" s="1767"/>
      <c r="N80" s="1767"/>
      <c r="O80" s="1767"/>
      <c r="P80" s="1767"/>
      <c r="Q80" s="1767"/>
      <c r="R80" s="1767"/>
      <c r="S80" s="1767"/>
      <c r="T80" s="1767"/>
      <c r="U80" s="1767"/>
      <c r="V80" s="1767"/>
      <c r="W80" s="1767"/>
      <c r="X80" s="1767"/>
      <c r="Y80" s="1767"/>
      <c r="Z80" s="1767"/>
      <c r="AA80" s="1767"/>
      <c r="AB80" s="1767"/>
      <c r="AC80" s="1767"/>
      <c r="AD80" s="1767"/>
      <c r="AE80" s="1767"/>
      <c r="AF80" s="1767"/>
      <c r="AG80" s="1767"/>
      <c r="AH80" s="1767"/>
      <c r="AI80" s="1767"/>
      <c r="AJ80" s="1767"/>
      <c r="AK80" s="1767"/>
      <c r="AL80" s="1767"/>
      <c r="AM80" s="1767"/>
      <c r="AN80" s="1767"/>
      <c r="AO80" s="1767"/>
      <c r="AP80" s="1767"/>
      <c r="AQ80" s="1767"/>
      <c r="AR80" s="1767"/>
      <c r="AS80" s="1767"/>
      <c r="AT80" s="1767"/>
      <c r="AU80" s="1767"/>
      <c r="AV80" s="1767"/>
      <c r="AW80" s="1767"/>
      <c r="AX80" s="1767"/>
      <c r="AY80" s="1767"/>
      <c r="AZ80" s="1767"/>
      <c r="BA80" s="1767"/>
      <c r="BB80" s="1767"/>
      <c r="BC80" s="1767"/>
      <c r="BD80" s="1767"/>
      <c r="BE80" s="1767"/>
      <c r="BF80" s="1767"/>
      <c r="BG80" s="1767"/>
      <c r="BH80" s="1767"/>
      <c r="BI80" s="1767"/>
      <c r="BJ80" s="1767"/>
      <c r="BK80" s="1767"/>
      <c r="BL80" s="1767"/>
      <c r="BM80" s="1767"/>
      <c r="BN80" s="1767"/>
      <c r="BO80" s="1767"/>
      <c r="BP80" s="1767"/>
      <c r="BQ80" s="1767"/>
      <c r="BR80" s="1767"/>
      <c r="BS80" s="1767"/>
      <c r="BT80" s="1768"/>
    </row>
    <row r="81" spans="2:72" ht="15" customHeight="1" x14ac:dyDescent="0.2">
      <c r="B81" s="1766"/>
      <c r="C81" s="1767"/>
      <c r="D81" s="1767"/>
      <c r="E81" s="1767"/>
      <c r="F81" s="1767"/>
      <c r="G81" s="1767"/>
      <c r="H81" s="1767"/>
      <c r="I81" s="1767"/>
      <c r="J81" s="1767"/>
      <c r="K81" s="1767"/>
      <c r="L81" s="1767"/>
      <c r="M81" s="1767"/>
      <c r="N81" s="1767"/>
      <c r="O81" s="1767"/>
      <c r="P81" s="1767"/>
      <c r="Q81" s="1767"/>
      <c r="R81" s="1767"/>
      <c r="S81" s="1767"/>
      <c r="T81" s="1767"/>
      <c r="U81" s="1767"/>
      <c r="V81" s="1767"/>
      <c r="W81" s="1767"/>
      <c r="X81" s="1767"/>
      <c r="Y81" s="1767"/>
      <c r="Z81" s="1767"/>
      <c r="AA81" s="1767"/>
      <c r="AB81" s="1767"/>
      <c r="AC81" s="1767"/>
      <c r="AD81" s="1767"/>
      <c r="AE81" s="1767"/>
      <c r="AF81" s="1767"/>
      <c r="AG81" s="1767"/>
      <c r="AH81" s="1767"/>
      <c r="AI81" s="1767"/>
      <c r="AJ81" s="1767"/>
      <c r="AK81" s="1767"/>
      <c r="AL81" s="1767"/>
      <c r="AM81" s="1767"/>
      <c r="AN81" s="1767"/>
      <c r="AO81" s="1767"/>
      <c r="AP81" s="1767"/>
      <c r="AQ81" s="1767"/>
      <c r="AR81" s="1767"/>
      <c r="AS81" s="1767"/>
      <c r="AT81" s="1767"/>
      <c r="AU81" s="1767"/>
      <c r="AV81" s="1767"/>
      <c r="AW81" s="1767"/>
      <c r="AX81" s="1767"/>
      <c r="AY81" s="1767"/>
      <c r="AZ81" s="1767"/>
      <c r="BA81" s="1767"/>
      <c r="BB81" s="1767"/>
      <c r="BC81" s="1767"/>
      <c r="BD81" s="1767"/>
      <c r="BE81" s="1767"/>
      <c r="BF81" s="1767"/>
      <c r="BG81" s="1767"/>
      <c r="BH81" s="1767"/>
      <c r="BI81" s="1767"/>
      <c r="BJ81" s="1767"/>
      <c r="BK81" s="1767"/>
      <c r="BL81" s="1767"/>
      <c r="BM81" s="1767"/>
      <c r="BN81" s="1767"/>
      <c r="BO81" s="1767"/>
      <c r="BP81" s="1767"/>
      <c r="BQ81" s="1767"/>
      <c r="BR81" s="1767"/>
      <c r="BS81" s="1767"/>
      <c r="BT81" s="1768"/>
    </row>
    <row r="82" spans="2:72" ht="15" customHeight="1" x14ac:dyDescent="0.2">
      <c r="B82" s="1766"/>
      <c r="C82" s="1767"/>
      <c r="D82" s="1767"/>
      <c r="E82" s="1767"/>
      <c r="F82" s="1767"/>
      <c r="G82" s="1767"/>
      <c r="H82" s="1767"/>
      <c r="I82" s="1767"/>
      <c r="J82" s="1767"/>
      <c r="K82" s="1767"/>
      <c r="L82" s="1767"/>
      <c r="M82" s="1767"/>
      <c r="N82" s="1767"/>
      <c r="O82" s="1767"/>
      <c r="P82" s="1767"/>
      <c r="Q82" s="1767"/>
      <c r="R82" s="1767"/>
      <c r="S82" s="1767"/>
      <c r="T82" s="1767"/>
      <c r="U82" s="1767"/>
      <c r="V82" s="1767"/>
      <c r="W82" s="1767"/>
      <c r="X82" s="1767"/>
      <c r="Y82" s="1767"/>
      <c r="Z82" s="1767"/>
      <c r="AA82" s="1767"/>
      <c r="AB82" s="1767"/>
      <c r="AC82" s="1767"/>
      <c r="AD82" s="1767"/>
      <c r="AE82" s="1767"/>
      <c r="AF82" s="1767"/>
      <c r="AG82" s="1767"/>
      <c r="AH82" s="1767"/>
      <c r="AI82" s="1767"/>
      <c r="AJ82" s="1767"/>
      <c r="AK82" s="1767"/>
      <c r="AL82" s="1767"/>
      <c r="AM82" s="1767"/>
      <c r="AN82" s="1767"/>
      <c r="AO82" s="1767"/>
      <c r="AP82" s="1767"/>
      <c r="AQ82" s="1767"/>
      <c r="AR82" s="1767"/>
      <c r="AS82" s="1767"/>
      <c r="AT82" s="1767"/>
      <c r="AU82" s="1767"/>
      <c r="AV82" s="1767"/>
      <c r="AW82" s="1767"/>
      <c r="AX82" s="1767"/>
      <c r="AY82" s="1767"/>
      <c r="AZ82" s="1767"/>
      <c r="BA82" s="1767"/>
      <c r="BB82" s="1767"/>
      <c r="BC82" s="1767"/>
      <c r="BD82" s="1767"/>
      <c r="BE82" s="1767"/>
      <c r="BF82" s="1767"/>
      <c r="BG82" s="1767"/>
      <c r="BH82" s="1767"/>
      <c r="BI82" s="1767"/>
      <c r="BJ82" s="1767"/>
      <c r="BK82" s="1767"/>
      <c r="BL82" s="1767"/>
      <c r="BM82" s="1767"/>
      <c r="BN82" s="1767"/>
      <c r="BO82" s="1767"/>
      <c r="BP82" s="1767"/>
      <c r="BQ82" s="1767"/>
      <c r="BR82" s="1767"/>
      <c r="BS82" s="1767"/>
      <c r="BT82" s="1768"/>
    </row>
    <row r="83" spans="2:72" ht="15" customHeight="1" thickBot="1" x14ac:dyDescent="0.25">
      <c r="B83" s="1769"/>
      <c r="C83" s="1770"/>
      <c r="D83" s="1770"/>
      <c r="E83" s="1770"/>
      <c r="F83" s="1770"/>
      <c r="G83" s="1770"/>
      <c r="H83" s="1770"/>
      <c r="I83" s="1770"/>
      <c r="J83" s="1770"/>
      <c r="K83" s="1770"/>
      <c r="L83" s="1770"/>
      <c r="M83" s="1770"/>
      <c r="N83" s="1770"/>
      <c r="O83" s="1770"/>
      <c r="P83" s="1770"/>
      <c r="Q83" s="1770"/>
      <c r="R83" s="1770"/>
      <c r="S83" s="1770"/>
      <c r="T83" s="1770"/>
      <c r="U83" s="1770"/>
      <c r="V83" s="1770"/>
      <c r="W83" s="1770"/>
      <c r="X83" s="1770"/>
      <c r="Y83" s="1770"/>
      <c r="Z83" s="1770"/>
      <c r="AA83" s="1770"/>
      <c r="AB83" s="1770"/>
      <c r="AC83" s="1770"/>
      <c r="AD83" s="1770"/>
      <c r="AE83" s="1770"/>
      <c r="AF83" s="1770"/>
      <c r="AG83" s="1770"/>
      <c r="AH83" s="1770"/>
      <c r="AI83" s="1770"/>
      <c r="AJ83" s="1770"/>
      <c r="AK83" s="1770"/>
      <c r="AL83" s="1770"/>
      <c r="AM83" s="1770"/>
      <c r="AN83" s="1770"/>
      <c r="AO83" s="1770"/>
      <c r="AP83" s="1770"/>
      <c r="AQ83" s="1770"/>
      <c r="AR83" s="1770"/>
      <c r="AS83" s="1770"/>
      <c r="AT83" s="1770"/>
      <c r="AU83" s="1770"/>
      <c r="AV83" s="1770"/>
      <c r="AW83" s="1770"/>
      <c r="AX83" s="1770"/>
      <c r="AY83" s="1770"/>
      <c r="AZ83" s="1770"/>
      <c r="BA83" s="1770"/>
      <c r="BB83" s="1770"/>
      <c r="BC83" s="1770"/>
      <c r="BD83" s="1770"/>
      <c r="BE83" s="1770"/>
      <c r="BF83" s="1770"/>
      <c r="BG83" s="1770"/>
      <c r="BH83" s="1770"/>
      <c r="BI83" s="1770"/>
      <c r="BJ83" s="1770"/>
      <c r="BK83" s="1770"/>
      <c r="BL83" s="1770"/>
      <c r="BM83" s="1770"/>
      <c r="BN83" s="1770"/>
      <c r="BO83" s="1770"/>
      <c r="BP83" s="1770"/>
      <c r="BQ83" s="1770"/>
      <c r="BR83" s="1770"/>
      <c r="BS83" s="1770"/>
      <c r="BT83" s="1771"/>
    </row>
  </sheetData>
  <dataConsolidate/>
  <mergeCells count="14">
    <mergeCell ref="AF2:AJ2"/>
    <mergeCell ref="E3:U3"/>
    <mergeCell ref="Y3:AB3"/>
    <mergeCell ref="E4:O4"/>
    <mergeCell ref="Q4:R4"/>
    <mergeCell ref="S4:U4"/>
    <mergeCell ref="V4:X4"/>
    <mergeCell ref="Y4:AF4"/>
    <mergeCell ref="B7:BT83"/>
    <mergeCell ref="B5:D5"/>
    <mergeCell ref="E5:L5"/>
    <mergeCell ref="O5:Q5"/>
    <mergeCell ref="R5:Y5"/>
    <mergeCell ref="Z5:AI5"/>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66675</xdr:colOff>
                    <xdr:row>9</xdr:row>
                    <xdr:rowOff>104775</xdr:rowOff>
                  </from>
                  <to>
                    <xdr:col>100</xdr:col>
                    <xdr:colOff>28575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M64"/>
  <sheetViews>
    <sheetView showGridLines="0" zoomScaleNormal="100" workbookViewId="0">
      <selection activeCell="AK34" sqref="AK34"/>
    </sheetView>
  </sheetViews>
  <sheetFormatPr baseColWidth="10" defaultColWidth="9.140625" defaultRowHeight="12.75" x14ac:dyDescent="0.2"/>
  <cols>
    <col min="1" max="1" width="1.85546875"/>
    <col min="2" max="2" width="3.5703125"/>
    <col min="3" max="4" width="2.85546875"/>
    <col min="5" max="5" width="1.140625"/>
    <col min="6" max="6" width="2.85546875"/>
    <col min="7" max="7" width="1.42578125"/>
    <col min="8" max="9" width="2.85546875"/>
    <col min="10" max="10" width="1.28515625"/>
    <col min="11" max="13" width="2.85546875"/>
    <col min="14" max="14" width="1.140625"/>
    <col min="15" max="26" width="2.85546875"/>
    <col min="27" max="27" width="5.28515625" bestFit="1" customWidth="1"/>
    <col min="28" max="34" width="2.85546875"/>
    <col min="35" max="35" width="7.28515625"/>
    <col min="36" max="36" width="5.85546875"/>
    <col min="37" max="37" width="1.42578125"/>
    <col min="38" max="38" width="3.5703125"/>
    <col min="39" max="1025" width="0" hidden="1"/>
  </cols>
  <sheetData>
    <row r="1" spans="1:36" ht="11.25" customHeight="1" x14ac:dyDescent="0.2">
      <c r="H1" s="288"/>
      <c r="P1" s="109"/>
      <c r="AA1" s="289"/>
      <c r="AE1" s="289"/>
      <c r="AF1" s="289"/>
      <c r="AG1" s="289"/>
      <c r="AH1" s="289"/>
      <c r="AI1" s="289"/>
      <c r="AJ1" s="289"/>
    </row>
    <row r="2" spans="1:36" s="291" customFormat="1" ht="16.5" customHeight="1" x14ac:dyDescent="0.3">
      <c r="I2" s="289"/>
      <c r="O2" s="292" t="s">
        <v>959</v>
      </c>
      <c r="AE2" s="293"/>
      <c r="AF2" s="1997"/>
      <c r="AG2" s="1997"/>
      <c r="AH2" s="1997"/>
      <c r="AI2" s="1997"/>
      <c r="AJ2" s="1997"/>
    </row>
    <row r="3" spans="1:36" ht="13.5" customHeight="1" x14ac:dyDescent="0.2">
      <c r="A3" s="291"/>
      <c r="B3" s="296" t="s">
        <v>675</v>
      </c>
      <c r="C3" s="297"/>
      <c r="D3" s="297"/>
      <c r="E3" s="1981" t="str">
        <f>+Portada!F3</f>
        <v>Janeth Patricia Cando Arias</v>
      </c>
      <c r="F3" s="1981"/>
      <c r="G3" s="1981"/>
      <c r="H3" s="1981"/>
      <c r="I3" s="1981"/>
      <c r="J3" s="1981"/>
      <c r="K3" s="1981"/>
      <c r="L3" s="1981"/>
      <c r="M3" s="1981"/>
      <c r="N3" s="1981"/>
      <c r="O3" s="1981"/>
      <c r="P3" s="1981"/>
      <c r="Q3" s="1981"/>
      <c r="R3" s="1981"/>
      <c r="S3" s="1981"/>
      <c r="T3" s="1981"/>
      <c r="U3" s="1981"/>
      <c r="V3" s="297"/>
      <c r="W3" s="297" t="s">
        <v>456</v>
      </c>
      <c r="X3" s="297"/>
      <c r="Y3" s="1981" t="str">
        <f>+Portada!AE3</f>
        <v>22.959.221-1</v>
      </c>
      <c r="Z3" s="1981"/>
      <c r="AA3" s="1981"/>
      <c r="AB3" s="1981"/>
      <c r="AC3" s="297"/>
      <c r="AD3" s="297"/>
      <c r="AE3" s="297"/>
      <c r="AF3" s="297"/>
      <c r="AG3" s="297"/>
      <c r="AH3" s="298"/>
      <c r="AI3" s="297"/>
      <c r="AJ3" s="299"/>
    </row>
    <row r="4" spans="1:36" ht="13.5" customHeight="1" x14ac:dyDescent="0.2">
      <c r="A4" s="291"/>
      <c r="B4" s="300" t="s">
        <v>676</v>
      </c>
      <c r="C4" s="301"/>
      <c r="D4" s="301"/>
      <c r="E4" s="1978" t="str">
        <f>+Portada!AU4</f>
        <v>Coronel Souper N° 4060</v>
      </c>
      <c r="F4" s="1978"/>
      <c r="G4" s="1978"/>
      <c r="H4" s="1978"/>
      <c r="I4" s="1978"/>
      <c r="J4" s="1978"/>
      <c r="K4" s="1978"/>
      <c r="L4" s="1978"/>
      <c r="M4" s="1978"/>
      <c r="N4" s="1978"/>
      <c r="O4" s="1978"/>
      <c r="P4" s="1978"/>
      <c r="Q4" s="1978"/>
      <c r="R4" s="1978"/>
      <c r="S4" s="1982" t="str">
        <f>+Portada!AP5</f>
        <v>Depto.</v>
      </c>
      <c r="T4" s="1982"/>
      <c r="U4" s="1982"/>
      <c r="V4" s="1978" t="str">
        <f>+Portada!AU5</f>
        <v>N°2502 B</v>
      </c>
      <c r="W4" s="1978"/>
      <c r="X4" s="301"/>
      <c r="Y4" s="1978" t="str">
        <f>+Portada!AU6</f>
        <v>Mirador Souper</v>
      </c>
      <c r="Z4" s="1978"/>
      <c r="AA4" s="1978"/>
      <c r="AB4" s="1978"/>
      <c r="AC4" s="1978"/>
      <c r="AD4" s="1978"/>
      <c r="AE4" s="1978"/>
      <c r="AF4" s="1978"/>
      <c r="AG4" s="301"/>
      <c r="AH4" s="303"/>
      <c r="AI4" s="301"/>
      <c r="AJ4" s="304"/>
    </row>
    <row r="5" spans="1:36" ht="13.5" customHeight="1" x14ac:dyDescent="0.2">
      <c r="A5" s="291"/>
      <c r="B5" s="1977" t="s">
        <v>457</v>
      </c>
      <c r="C5" s="1977"/>
      <c r="D5" s="1977"/>
      <c r="E5" s="1978" t="str">
        <f>+Portada!AU8</f>
        <v>Estación Central</v>
      </c>
      <c r="F5" s="1978"/>
      <c r="G5" s="1978"/>
      <c r="H5" s="1978"/>
      <c r="I5" s="1978"/>
      <c r="J5" s="1978"/>
      <c r="K5" s="1978"/>
      <c r="L5" s="1978"/>
      <c r="M5" s="301"/>
      <c r="N5" s="301"/>
      <c r="O5" s="1979" t="s">
        <v>677</v>
      </c>
      <c r="P5" s="1979"/>
      <c r="Q5" s="1979"/>
      <c r="R5" s="1979" t="str">
        <f>+Portada!AU7</f>
        <v>Metropolitana de Santiago</v>
      </c>
      <c r="S5" s="1979"/>
      <c r="T5" s="1979"/>
      <c r="U5" s="1979"/>
      <c r="V5" s="1979"/>
      <c r="W5" s="1979"/>
      <c r="X5" s="1979"/>
      <c r="Y5" s="1979"/>
      <c r="Z5" s="1978"/>
      <c r="AA5" s="1978"/>
      <c r="AB5" s="1978"/>
      <c r="AC5" s="1978"/>
      <c r="AD5" s="1978"/>
      <c r="AE5" s="1978"/>
      <c r="AF5" s="1978"/>
      <c r="AG5" s="1978"/>
      <c r="AH5" s="1978"/>
      <c r="AI5" s="1978"/>
      <c r="AJ5" s="304"/>
    </row>
    <row r="6" spans="1:36" ht="13.5" customHeight="1" x14ac:dyDescent="0.3">
      <c r="A6" s="291"/>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row>
    <row r="7" spans="1:36" x14ac:dyDescent="0.2">
      <c r="B7" s="381"/>
      <c r="C7" s="382"/>
      <c r="D7" s="114"/>
      <c r="E7" s="114"/>
      <c r="F7" s="114"/>
      <c r="G7" s="114"/>
      <c r="H7" s="114"/>
      <c r="I7" s="114"/>
      <c r="J7" s="114"/>
      <c r="K7" s="114"/>
      <c r="L7" s="114"/>
      <c r="M7" s="114"/>
      <c r="N7" s="382"/>
      <c r="O7" s="114"/>
      <c r="P7" s="114"/>
      <c r="Q7" s="114"/>
      <c r="R7" s="114"/>
      <c r="S7" s="114"/>
      <c r="T7" s="114"/>
      <c r="U7" s="114"/>
      <c r="V7" s="114"/>
      <c r="W7" s="114"/>
      <c r="X7" s="114"/>
      <c r="Y7" s="114"/>
      <c r="Z7" s="114"/>
      <c r="AA7" s="114"/>
      <c r="AB7" s="114"/>
      <c r="AC7" s="114"/>
      <c r="AD7" s="114"/>
      <c r="AE7" s="114"/>
      <c r="AF7" s="114"/>
      <c r="AG7" s="114"/>
      <c r="AH7" s="114"/>
      <c r="AI7" s="114"/>
      <c r="AJ7" s="383"/>
    </row>
    <row r="8" spans="1:36" ht="12.75" customHeight="1" x14ac:dyDescent="0.25">
      <c r="B8" s="2034" t="s">
        <v>960</v>
      </c>
      <c r="C8" s="2034"/>
      <c r="D8" s="2034"/>
      <c r="E8" s="2034"/>
      <c r="F8" s="2034"/>
      <c r="G8" s="2034"/>
      <c r="H8" s="2034"/>
      <c r="I8" s="2034"/>
      <c r="J8" s="2034"/>
      <c r="K8" s="2034"/>
      <c r="L8" s="2034"/>
      <c r="M8" s="2034"/>
      <c r="N8" s="2034"/>
      <c r="O8" s="2034"/>
      <c r="P8" s="369"/>
      <c r="Q8" s="369"/>
      <c r="R8" s="369"/>
      <c r="S8" s="369"/>
      <c r="T8" s="369"/>
      <c r="U8" s="369"/>
      <c r="V8" s="369"/>
      <c r="W8" s="369"/>
      <c r="X8" s="369"/>
      <c r="Y8" s="369"/>
      <c r="Z8" s="369"/>
      <c r="AA8" s="369"/>
      <c r="AB8" s="369"/>
      <c r="AC8" s="369"/>
      <c r="AD8" s="369"/>
      <c r="AE8" s="369"/>
      <c r="AF8" s="369"/>
      <c r="AG8" s="369"/>
      <c r="AH8" s="369"/>
      <c r="AI8" s="369"/>
      <c r="AJ8" s="371"/>
    </row>
    <row r="9" spans="1:36" ht="11.25" customHeight="1" x14ac:dyDescent="0.2">
      <c r="B9" s="2035" t="str">
        <f>+Portada!B12</f>
        <v>Propiedad</v>
      </c>
      <c r="C9" s="2036" t="str">
        <f>+Portada!D12</f>
        <v xml:space="preserve">El bien es un departamento que se encuentra en Coronel Souper N° 4060. El edificio se desarrolla en un volumen de 30 pisos y 3 subterráneos el cual está conectado por 4 ascensores. Los espacios comunes se encuentran en primer piso más azotea y cuenta con sala multiuso, lavandería, gimnasio, quinchos. La propiedad se encuentra en el piso 25 con orientación oeste, tiene 41 m² interiores, sin terraza. El departamento cuenta con living comedor, cocina empotrada, 2 dormitorios, 1 baño de uso común. </v>
      </c>
      <c r="D9" s="2036"/>
      <c r="E9" s="2036"/>
      <c r="F9" s="2036"/>
      <c r="G9" s="2036"/>
      <c r="H9" s="2036"/>
      <c r="I9" s="2036"/>
      <c r="J9" s="2036"/>
      <c r="K9" s="2036"/>
      <c r="L9" s="2036"/>
      <c r="M9" s="2036"/>
      <c r="N9" s="2036"/>
      <c r="O9" s="2036"/>
      <c r="P9" s="2036"/>
      <c r="Q9" s="2036"/>
      <c r="R9" s="2036"/>
      <c r="S9" s="2036"/>
      <c r="T9" s="2036"/>
      <c r="U9" s="2036"/>
      <c r="V9" s="2036"/>
      <c r="W9" s="2036"/>
      <c r="X9" s="2036"/>
      <c r="Y9" s="2036"/>
      <c r="Z9" s="2036"/>
      <c r="AA9" s="2036"/>
      <c r="AB9" s="2036"/>
      <c r="AC9" s="2036"/>
      <c r="AD9" s="2036"/>
      <c r="AE9" s="2036"/>
      <c r="AF9" s="2036"/>
      <c r="AG9" s="2036"/>
      <c r="AH9" s="2036"/>
      <c r="AI9" s="2036"/>
      <c r="AJ9" s="2036"/>
    </row>
    <row r="10" spans="1:36" x14ac:dyDescent="0.2">
      <c r="B10" s="2035"/>
      <c r="C10" s="2036"/>
      <c r="D10" s="2036"/>
      <c r="E10" s="2036"/>
      <c r="F10" s="2036"/>
      <c r="G10" s="2036"/>
      <c r="H10" s="2036"/>
      <c r="I10" s="2036"/>
      <c r="J10" s="2036"/>
      <c r="K10" s="2036"/>
      <c r="L10" s="2036"/>
      <c r="M10" s="2036"/>
      <c r="N10" s="2036"/>
      <c r="O10" s="2036"/>
      <c r="P10" s="2036"/>
      <c r="Q10" s="2036"/>
      <c r="R10" s="2036"/>
      <c r="S10" s="2036"/>
      <c r="T10" s="2036"/>
      <c r="U10" s="2036"/>
      <c r="V10" s="2036"/>
      <c r="W10" s="2036"/>
      <c r="X10" s="2036"/>
      <c r="Y10" s="2036"/>
      <c r="Z10" s="2036"/>
      <c r="AA10" s="2036"/>
      <c r="AB10" s="2036"/>
      <c r="AC10" s="2036"/>
      <c r="AD10" s="2036"/>
      <c r="AE10" s="2036"/>
      <c r="AF10" s="2036"/>
      <c r="AG10" s="2036"/>
      <c r="AH10" s="2036"/>
      <c r="AI10" s="2036"/>
      <c r="AJ10" s="2036"/>
    </row>
    <row r="11" spans="1:36" x14ac:dyDescent="0.2">
      <c r="B11" s="2035"/>
      <c r="C11" s="2036"/>
      <c r="D11" s="2036"/>
      <c r="E11" s="2036"/>
      <c r="F11" s="2036"/>
      <c r="G11" s="2036"/>
      <c r="H11" s="2036"/>
      <c r="I11" s="2036"/>
      <c r="J11" s="2036"/>
      <c r="K11" s="2036"/>
      <c r="L11" s="2036"/>
      <c r="M11" s="2036"/>
      <c r="N11" s="2036"/>
      <c r="O11" s="2036"/>
      <c r="P11" s="2036"/>
      <c r="Q11" s="2036"/>
      <c r="R11" s="2036"/>
      <c r="S11" s="2036"/>
      <c r="T11" s="2036"/>
      <c r="U11" s="2036"/>
      <c r="V11" s="2036"/>
      <c r="W11" s="2036"/>
      <c r="X11" s="2036"/>
      <c r="Y11" s="2036"/>
      <c r="Z11" s="2036"/>
      <c r="AA11" s="2036"/>
      <c r="AB11" s="2036"/>
      <c r="AC11" s="2036"/>
      <c r="AD11" s="2036"/>
      <c r="AE11" s="2036"/>
      <c r="AF11" s="2036"/>
      <c r="AG11" s="2036"/>
      <c r="AH11" s="2036"/>
      <c r="AI11" s="2036"/>
      <c r="AJ11" s="2036"/>
    </row>
    <row r="12" spans="1:36" x14ac:dyDescent="0.2">
      <c r="B12" s="2035"/>
      <c r="C12" s="2036"/>
      <c r="D12" s="2036"/>
      <c r="E12" s="2036"/>
      <c r="F12" s="2036"/>
      <c r="G12" s="2036"/>
      <c r="H12" s="2036"/>
      <c r="I12" s="2036"/>
      <c r="J12" s="2036"/>
      <c r="K12" s="2036"/>
      <c r="L12" s="2036"/>
      <c r="M12" s="2036"/>
      <c r="N12" s="2036"/>
      <c r="O12" s="2036"/>
      <c r="P12" s="2036"/>
      <c r="Q12" s="2036"/>
      <c r="R12" s="2036"/>
      <c r="S12" s="2036"/>
      <c r="T12" s="2036"/>
      <c r="U12" s="2036"/>
      <c r="V12" s="2036"/>
      <c r="W12" s="2036"/>
      <c r="X12" s="2036"/>
      <c r="Y12" s="2036"/>
      <c r="Z12" s="2036"/>
      <c r="AA12" s="2036"/>
      <c r="AB12" s="2036"/>
      <c r="AC12" s="2036"/>
      <c r="AD12" s="2036"/>
      <c r="AE12" s="2036"/>
      <c r="AF12" s="2036"/>
      <c r="AG12" s="2036"/>
      <c r="AH12" s="2036"/>
      <c r="AI12" s="2036"/>
      <c r="AJ12" s="2036"/>
    </row>
    <row r="13" spans="1:36" x14ac:dyDescent="0.2">
      <c r="B13" s="2035"/>
      <c r="C13" s="2036"/>
      <c r="D13" s="2036"/>
      <c r="E13" s="2036"/>
      <c r="F13" s="2036"/>
      <c r="G13" s="2036"/>
      <c r="H13" s="2036"/>
      <c r="I13" s="2036"/>
      <c r="J13" s="2036"/>
      <c r="K13" s="2036"/>
      <c r="L13" s="2036"/>
      <c r="M13" s="2036"/>
      <c r="N13" s="2036"/>
      <c r="O13" s="2036"/>
      <c r="P13" s="2036"/>
      <c r="Q13" s="2036"/>
      <c r="R13" s="2036"/>
      <c r="S13" s="2036"/>
      <c r="T13" s="2036"/>
      <c r="U13" s="2036"/>
      <c r="V13" s="2036"/>
      <c r="W13" s="2036"/>
      <c r="X13" s="2036"/>
      <c r="Y13" s="2036"/>
      <c r="Z13" s="2036"/>
      <c r="AA13" s="2036"/>
      <c r="AB13" s="2036"/>
      <c r="AC13" s="2036"/>
      <c r="AD13" s="2036"/>
      <c r="AE13" s="2036"/>
      <c r="AF13" s="2036"/>
      <c r="AG13" s="2036"/>
      <c r="AH13" s="2036"/>
      <c r="AI13" s="2036"/>
      <c r="AJ13" s="2036"/>
    </row>
    <row r="14" spans="1:36" x14ac:dyDescent="0.2">
      <c r="B14" s="2037" t="str">
        <f>+Portada!B18</f>
        <v>Sector</v>
      </c>
      <c r="C14" s="2038"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Libertador Bernardo Ohiggins.</v>
      </c>
      <c r="D14" s="2038"/>
      <c r="E14" s="2038"/>
      <c r="F14" s="2038"/>
      <c r="G14" s="2038"/>
      <c r="H14" s="2038"/>
      <c r="I14" s="2038"/>
      <c r="J14" s="2038"/>
      <c r="K14" s="2038"/>
      <c r="L14" s="2038"/>
      <c r="M14" s="2038"/>
      <c r="N14" s="2038"/>
      <c r="O14" s="2038"/>
      <c r="P14" s="2038"/>
      <c r="Q14" s="2038"/>
      <c r="R14" s="2038"/>
      <c r="S14" s="2038"/>
      <c r="T14" s="2038"/>
      <c r="U14" s="2038"/>
      <c r="V14" s="2038"/>
      <c r="W14" s="2038"/>
      <c r="X14" s="2038"/>
      <c r="Y14" s="2038"/>
      <c r="Z14" s="2038"/>
      <c r="AA14" s="2038"/>
      <c r="AB14" s="2038"/>
      <c r="AC14" s="2038"/>
      <c r="AD14" s="2038"/>
      <c r="AE14" s="2038"/>
      <c r="AF14" s="2038"/>
      <c r="AG14" s="2038"/>
      <c r="AH14" s="2038"/>
      <c r="AI14" s="2038"/>
      <c r="AJ14" s="2038"/>
    </row>
    <row r="15" spans="1:36" ht="12.75" customHeight="1" x14ac:dyDescent="0.2">
      <c r="B15" s="2037"/>
      <c r="C15" s="2038"/>
      <c r="D15" s="2038"/>
      <c r="E15" s="2038"/>
      <c r="F15" s="2038"/>
      <c r="G15" s="2038"/>
      <c r="H15" s="2038"/>
      <c r="I15" s="2038"/>
      <c r="J15" s="2038"/>
      <c r="K15" s="2038"/>
      <c r="L15" s="2038"/>
      <c r="M15" s="2038"/>
      <c r="N15" s="2038"/>
      <c r="O15" s="2038"/>
      <c r="P15" s="2038"/>
      <c r="Q15" s="2038"/>
      <c r="R15" s="2038"/>
      <c r="S15" s="2038"/>
      <c r="T15" s="2038"/>
      <c r="U15" s="2038"/>
      <c r="V15" s="2038"/>
      <c r="W15" s="2038"/>
      <c r="X15" s="2038"/>
      <c r="Y15" s="2038"/>
      <c r="Z15" s="2038"/>
      <c r="AA15" s="2038"/>
      <c r="AB15" s="2038"/>
      <c r="AC15" s="2038"/>
      <c r="AD15" s="2038"/>
      <c r="AE15" s="2038"/>
      <c r="AF15" s="2038"/>
      <c r="AG15" s="2038"/>
      <c r="AH15" s="2038"/>
      <c r="AI15" s="2038"/>
      <c r="AJ15" s="2038"/>
    </row>
    <row r="16" spans="1:36" ht="13.5" customHeight="1" x14ac:dyDescent="0.2">
      <c r="B16" s="2037"/>
      <c r="C16" s="2038"/>
      <c r="D16" s="2038"/>
      <c r="E16" s="2038"/>
      <c r="F16" s="2038"/>
      <c r="G16" s="2038"/>
      <c r="H16" s="2038"/>
      <c r="I16" s="2038"/>
      <c r="J16" s="2038"/>
      <c r="K16" s="2038"/>
      <c r="L16" s="2038"/>
      <c r="M16" s="2038"/>
      <c r="N16" s="2038"/>
      <c r="O16" s="2038"/>
      <c r="P16" s="2038"/>
      <c r="Q16" s="2038"/>
      <c r="R16" s="2038"/>
      <c r="S16" s="2038"/>
      <c r="T16" s="2038"/>
      <c r="U16" s="2038"/>
      <c r="V16" s="2038"/>
      <c r="W16" s="2038"/>
      <c r="X16" s="2038"/>
      <c r="Y16" s="2038"/>
      <c r="Z16" s="2038"/>
      <c r="AA16" s="2038"/>
      <c r="AB16" s="2038"/>
      <c r="AC16" s="2038"/>
      <c r="AD16" s="2038"/>
      <c r="AE16" s="2038"/>
      <c r="AF16" s="2038"/>
      <c r="AG16" s="2038"/>
      <c r="AH16" s="2038"/>
      <c r="AI16" s="2038"/>
      <c r="AJ16" s="2038"/>
    </row>
    <row r="17" spans="2:36" ht="13.5" customHeight="1" x14ac:dyDescent="0.2">
      <c r="B17" s="2039" t="s">
        <v>961</v>
      </c>
      <c r="C17" s="2039"/>
      <c r="D17" s="2039"/>
      <c r="E17" s="2039"/>
      <c r="F17" s="2039"/>
      <c r="G17" s="2039"/>
      <c r="H17" s="2039"/>
      <c r="I17" s="2039"/>
      <c r="J17" s="2040" t="str">
        <f>+Portada!M21</f>
        <v>La propiedad se rige por la normativa</v>
      </c>
      <c r="K17" s="2040"/>
      <c r="L17" s="2040"/>
      <c r="M17" s="2040"/>
      <c r="N17" s="2040"/>
      <c r="O17" s="2040"/>
      <c r="P17" s="2040"/>
      <c r="Q17" s="2040"/>
      <c r="R17" s="2040"/>
      <c r="S17" s="2040"/>
      <c r="T17" s="2040"/>
      <c r="U17" s="2040"/>
      <c r="V17" s="2040"/>
      <c r="W17" s="2040"/>
      <c r="X17" s="2040"/>
      <c r="Y17" s="2040"/>
      <c r="Z17" s="2040"/>
      <c r="AA17" s="2040"/>
      <c r="AB17" s="2040"/>
      <c r="AC17" s="2040"/>
      <c r="AD17" s="2040"/>
      <c r="AE17" s="2040"/>
      <c r="AF17" s="2040"/>
      <c r="AG17" s="2040"/>
      <c r="AH17" s="2040"/>
      <c r="AI17" s="2040"/>
      <c r="AJ17" s="2040"/>
    </row>
    <row r="18" spans="2:36" x14ac:dyDescent="0.2">
      <c r="B18" s="2030" t="s">
        <v>962</v>
      </c>
      <c r="C18" s="2030"/>
      <c r="D18" s="2030"/>
      <c r="E18" s="2030"/>
      <c r="F18" s="2030"/>
      <c r="G18" s="2030"/>
      <c r="H18" s="2030"/>
      <c r="I18" s="2030"/>
      <c r="J18" s="2030"/>
      <c r="K18" s="2030"/>
      <c r="L18" s="2030"/>
      <c r="M18" s="2030"/>
      <c r="N18" s="2030"/>
      <c r="O18" s="2030"/>
      <c r="P18" s="2030"/>
      <c r="Q18" s="2030"/>
      <c r="R18" s="2030"/>
      <c r="S18" s="2030"/>
      <c r="T18" s="2030"/>
      <c r="U18" s="2030"/>
      <c r="V18" s="2030"/>
      <c r="W18" s="2030"/>
      <c r="X18" s="2030"/>
      <c r="Y18" s="2030"/>
      <c r="Z18" s="2030"/>
      <c r="AA18" s="2030"/>
      <c r="AB18" s="2030"/>
      <c r="AC18" s="2030"/>
      <c r="AD18" s="384"/>
      <c r="AE18" s="384"/>
      <c r="AF18" s="384"/>
      <c r="AG18" s="384"/>
      <c r="AH18" s="384"/>
      <c r="AI18" s="384"/>
      <c r="AJ18" s="111"/>
    </row>
    <row r="19" spans="2:36" ht="12" customHeight="1" x14ac:dyDescent="0.2">
      <c r="B19" s="2025" t="s">
        <v>520</v>
      </c>
      <c r="C19" s="2025"/>
      <c r="D19" s="2025"/>
      <c r="E19" s="385" t="s">
        <v>462</v>
      </c>
      <c r="F19" s="2031" t="str">
        <f>+Portada!F22</f>
        <v>Medio</v>
      </c>
      <c r="G19" s="2031"/>
      <c r="H19" s="2031"/>
      <c r="I19" s="2031"/>
      <c r="J19" s="2031"/>
      <c r="K19" s="2031"/>
      <c r="L19" s="2025" t="s">
        <v>963</v>
      </c>
      <c r="M19" s="2025"/>
      <c r="N19" s="2025"/>
      <c r="O19" s="2025"/>
      <c r="P19" s="2029" t="str">
        <f>+Portada!S22</f>
        <v>Habitacional</v>
      </c>
      <c r="Q19" s="2029"/>
      <c r="R19" s="2029"/>
      <c r="S19" s="2029"/>
      <c r="T19" s="386"/>
      <c r="U19" s="2025" t="s">
        <v>522</v>
      </c>
      <c r="V19" s="2025"/>
      <c r="W19" s="2025"/>
      <c r="X19" s="2025"/>
      <c r="Y19" s="2025"/>
      <c r="Z19" s="2029" t="str">
        <f>+Portada!AE22</f>
        <v>NO</v>
      </c>
      <c r="AA19" s="2029"/>
      <c r="AB19" s="2029"/>
      <c r="AC19" s="2029"/>
      <c r="AD19" s="387" t="str">
        <f>+Portada!BB32</f>
        <v>Comentarios Relevantes</v>
      </c>
      <c r="AE19" s="388"/>
      <c r="AF19" s="388"/>
      <c r="AG19" s="388"/>
      <c r="AH19" s="388"/>
      <c r="AI19" s="388"/>
      <c r="AJ19" s="389"/>
    </row>
    <row r="20" spans="2:36" x14ac:dyDescent="0.2">
      <c r="B20" s="2025" t="s">
        <v>529</v>
      </c>
      <c r="C20" s="2025"/>
      <c r="D20" s="2025"/>
      <c r="E20" s="385" t="s">
        <v>462</v>
      </c>
      <c r="F20" s="2031" t="str">
        <f>+Portada!F23</f>
        <v>Estable</v>
      </c>
      <c r="G20" s="2031"/>
      <c r="H20" s="2031"/>
      <c r="I20" s="2031"/>
      <c r="J20" s="2031"/>
      <c r="K20" s="2031"/>
      <c r="L20" s="2025" t="s">
        <v>964</v>
      </c>
      <c r="M20" s="2025"/>
      <c r="N20" s="2025"/>
      <c r="O20" s="2025"/>
      <c r="P20" s="2029" t="str">
        <f>+Portada!S23</f>
        <v>Urbana</v>
      </c>
      <c r="Q20" s="2029"/>
      <c r="R20" s="2029"/>
      <c r="S20" s="2029"/>
      <c r="T20" s="386"/>
      <c r="U20" s="2025" t="s">
        <v>727</v>
      </c>
      <c r="V20" s="2025"/>
      <c r="W20" s="2025"/>
      <c r="X20" s="2025"/>
      <c r="Y20" s="2025"/>
      <c r="Z20" s="2029" t="str">
        <f>+Portada!AE23</f>
        <v>Red Aérea</v>
      </c>
      <c r="AA20" s="2029"/>
      <c r="AB20" s="2029"/>
      <c r="AC20" s="2029"/>
      <c r="AD20" s="2032">
        <f>+Portada!BB30</f>
        <v>0</v>
      </c>
      <c r="AE20" s="2032"/>
      <c r="AF20" s="2032"/>
      <c r="AG20" s="2032"/>
      <c r="AH20" s="2032"/>
      <c r="AI20" s="2032"/>
      <c r="AJ20" s="2032"/>
    </row>
    <row r="21" spans="2:36" x14ac:dyDescent="0.2">
      <c r="B21" s="2025" t="s">
        <v>541</v>
      </c>
      <c r="C21" s="2025"/>
      <c r="D21" s="2025"/>
      <c r="E21" s="385" t="s">
        <v>462</v>
      </c>
      <c r="F21" s="2031" t="str">
        <f>+Portada!F24</f>
        <v>Media</v>
      </c>
      <c r="G21" s="2031"/>
      <c r="H21" s="2031"/>
      <c r="I21" s="2031"/>
      <c r="J21" s="2031"/>
      <c r="K21" s="2031"/>
      <c r="L21" s="2025" t="s">
        <v>965</v>
      </c>
      <c r="M21" s="2025"/>
      <c r="N21" s="2025"/>
      <c r="O21" s="2025"/>
      <c r="P21" s="2029" t="str">
        <f>+Portada!S24</f>
        <v>Hormigón</v>
      </c>
      <c r="Q21" s="2029"/>
      <c r="R21" s="2029"/>
      <c r="S21" s="2029"/>
      <c r="T21" s="386"/>
      <c r="U21" s="2025" t="s">
        <v>543</v>
      </c>
      <c r="V21" s="2025"/>
      <c r="W21" s="2025"/>
      <c r="X21" s="2025"/>
      <c r="Y21" s="2025"/>
      <c r="Z21" s="2029" t="str">
        <f>+Portada!AE24</f>
        <v>Matriz Pública</v>
      </c>
      <c r="AA21" s="2029"/>
      <c r="AB21" s="2029"/>
      <c r="AC21" s="2029"/>
      <c r="AD21" s="2032"/>
      <c r="AE21" s="2032"/>
      <c r="AF21" s="2032"/>
      <c r="AG21" s="2032"/>
      <c r="AH21" s="2032"/>
      <c r="AI21" s="2032"/>
      <c r="AJ21" s="2032"/>
    </row>
    <row r="22" spans="2:36" x14ac:dyDescent="0.2">
      <c r="B22" s="2025" t="s">
        <v>550</v>
      </c>
      <c r="C22" s="2025"/>
      <c r="D22" s="2025"/>
      <c r="E22" s="385" t="s">
        <v>462</v>
      </c>
      <c r="F22" s="2031" t="str">
        <f>+Portada!F25</f>
        <v>Estrato Medio</v>
      </c>
      <c r="G22" s="2031"/>
      <c r="H22" s="2031"/>
      <c r="I22" s="2031"/>
      <c r="J22" s="2031"/>
      <c r="K22" s="2031"/>
      <c r="L22" s="2025" t="s">
        <v>966</v>
      </c>
      <c r="M22" s="2025"/>
      <c r="N22" s="2025"/>
      <c r="O22" s="2025"/>
      <c r="P22" s="2029" t="str">
        <f>+Portada!S25</f>
        <v>Pastelón</v>
      </c>
      <c r="Q22" s="2029"/>
      <c r="R22" s="2029"/>
      <c r="S22" s="2029"/>
      <c r="T22" s="386"/>
      <c r="U22" s="2025" t="s">
        <v>552</v>
      </c>
      <c r="V22" s="2025"/>
      <c r="W22" s="2025"/>
      <c r="X22" s="2025"/>
      <c r="Y22" s="2025"/>
      <c r="Z22" s="2029" t="str">
        <f>+Portada!AE25</f>
        <v>Full Eléctrica</v>
      </c>
      <c r="AA22" s="2029"/>
      <c r="AB22" s="2029"/>
      <c r="AC22" s="2029"/>
      <c r="AD22" s="2032"/>
      <c r="AE22" s="2032"/>
      <c r="AF22" s="2032"/>
      <c r="AG22" s="2032"/>
      <c r="AH22" s="2032"/>
      <c r="AI22" s="2032"/>
      <c r="AJ22" s="2032"/>
    </row>
    <row r="23" spans="2:36" ht="13.5" x14ac:dyDescent="0.25">
      <c r="B23" s="2025" t="s">
        <v>557</v>
      </c>
      <c r="C23" s="2025"/>
      <c r="D23" s="2025"/>
      <c r="E23" s="385" t="s">
        <v>462</v>
      </c>
      <c r="F23" s="390" t="str">
        <f>+Portada!F26</f>
        <v>NO</v>
      </c>
      <c r="G23" s="2033" t="str">
        <f>+Portada!G26</f>
        <v>/</v>
      </c>
      <c r="H23" s="2033"/>
      <c r="I23" s="2033"/>
      <c r="J23" s="2033"/>
      <c r="K23" s="2033"/>
      <c r="L23" s="2027" t="s">
        <v>967</v>
      </c>
      <c r="M23" s="2027"/>
      <c r="N23" s="2027"/>
      <c r="O23" s="2027"/>
      <c r="P23" s="2029" t="str">
        <f>+Portada!S26</f>
        <v>Solera</v>
      </c>
      <c r="Q23" s="2029"/>
      <c r="R23" s="2029"/>
      <c r="S23" s="2029"/>
      <c r="T23" s="386"/>
      <c r="U23" s="2025" t="s">
        <v>559</v>
      </c>
      <c r="V23" s="2025"/>
      <c r="W23" s="2025"/>
      <c r="X23" s="2025"/>
      <c r="Y23" s="2025"/>
      <c r="Z23" s="2029" t="str">
        <f>+Portada!AE26</f>
        <v>Renovación</v>
      </c>
      <c r="AA23" s="2029"/>
      <c r="AB23" s="2029"/>
      <c r="AC23" s="2029"/>
      <c r="AD23" s="2032"/>
      <c r="AE23" s="2032"/>
      <c r="AF23" s="2032"/>
      <c r="AG23" s="2032"/>
      <c r="AH23" s="2032"/>
      <c r="AI23" s="2032"/>
      <c r="AJ23" s="2032"/>
    </row>
    <row r="24" spans="2:36" ht="13.5" customHeight="1" x14ac:dyDescent="0.2">
      <c r="B24" s="377"/>
      <c r="AD24" s="2032"/>
      <c r="AE24" s="2032"/>
      <c r="AF24" s="2032"/>
      <c r="AG24" s="2032"/>
      <c r="AH24" s="2032"/>
      <c r="AI24" s="2032"/>
      <c r="AJ24" s="2032"/>
    </row>
    <row r="25" spans="2:36" ht="13.5" customHeight="1" x14ac:dyDescent="0.25">
      <c r="B25" s="2030" t="s">
        <v>523</v>
      </c>
      <c r="C25" s="2030"/>
      <c r="D25" s="2030"/>
      <c r="E25" s="2030"/>
      <c r="F25" s="2030"/>
      <c r="G25" s="2030"/>
      <c r="H25" s="2030"/>
      <c r="I25" s="2030"/>
      <c r="J25" s="2030"/>
      <c r="K25" s="2030"/>
      <c r="L25" s="2030"/>
      <c r="M25" s="2030"/>
      <c r="N25" s="2030"/>
      <c r="O25" s="2030"/>
      <c r="P25" s="2030"/>
      <c r="Q25" s="2030"/>
      <c r="R25" s="2030"/>
      <c r="S25" s="2030"/>
      <c r="T25" s="2030"/>
      <c r="U25" s="391" t="str">
        <f>+Portada!BB23</f>
        <v>Ingreso propiedad</v>
      </c>
      <c r="V25" s="392"/>
      <c r="W25" s="392"/>
      <c r="X25" s="392"/>
      <c r="Y25" s="392"/>
      <c r="Z25" s="393" t="s">
        <v>462</v>
      </c>
      <c r="AA25" s="392" t="str">
        <f>+Portada!BK23</f>
        <v>SI</v>
      </c>
      <c r="AB25" s="392"/>
      <c r="AC25" s="392"/>
      <c r="AD25" s="2032"/>
      <c r="AE25" s="2032"/>
      <c r="AF25" s="2032"/>
      <c r="AG25" s="2032"/>
      <c r="AH25" s="2032"/>
      <c r="AI25" s="2032"/>
      <c r="AJ25" s="2032"/>
    </row>
    <row r="26" spans="2:36" ht="13.5" customHeight="1" x14ac:dyDescent="0.25">
      <c r="B26" s="2025" t="s">
        <v>532</v>
      </c>
      <c r="C26" s="2025"/>
      <c r="D26" s="2025"/>
      <c r="E26" s="2025"/>
      <c r="F26" s="2025"/>
      <c r="G26" s="394" t="s">
        <v>968</v>
      </c>
      <c r="H26" s="2026">
        <f>+Portada!AP23</f>
        <v>45</v>
      </c>
      <c r="I26" s="2026"/>
      <c r="J26" s="395" t="s">
        <v>533</v>
      </c>
      <c r="K26" s="396"/>
      <c r="L26" s="2027" t="s">
        <v>534</v>
      </c>
      <c r="M26" s="2027"/>
      <c r="N26" s="2027"/>
      <c r="O26" s="2027"/>
      <c r="P26" s="394" t="s">
        <v>968</v>
      </c>
      <c r="Q26" s="2026">
        <f>+Portada!AX23</f>
        <v>5</v>
      </c>
      <c r="R26" s="2026"/>
      <c r="S26" s="395" t="s">
        <v>533</v>
      </c>
      <c r="T26" s="386"/>
      <c r="U26" s="391" t="str">
        <f>+Impresion!AQ15</f>
        <v>Afecto a expropi.</v>
      </c>
      <c r="V26" s="392"/>
      <c r="W26" s="392"/>
      <c r="X26" s="392"/>
      <c r="Y26" s="392"/>
      <c r="Z26" s="393" t="s">
        <v>462</v>
      </c>
      <c r="AA26" s="392" t="str">
        <f>+Impresion!AZ15</f>
        <v>NO</v>
      </c>
      <c r="AB26" s="392"/>
      <c r="AC26" s="392"/>
      <c r="AD26" s="2032"/>
      <c r="AE26" s="2032"/>
      <c r="AF26" s="2032"/>
      <c r="AG26" s="2032"/>
      <c r="AH26" s="2032"/>
      <c r="AI26" s="2032"/>
      <c r="AJ26" s="2032"/>
    </row>
    <row r="27" spans="2:36" ht="13.5" x14ac:dyDescent="0.25">
      <c r="B27" s="2025" t="s">
        <v>969</v>
      </c>
      <c r="C27" s="2025"/>
      <c r="D27" s="2025"/>
      <c r="E27" s="2025"/>
      <c r="F27" s="2025"/>
      <c r="G27" s="394" t="s">
        <v>968</v>
      </c>
      <c r="H27" s="2026">
        <f>+Portada!AP24</f>
        <v>10</v>
      </c>
      <c r="I27" s="2026"/>
      <c r="J27" s="395" t="s">
        <v>533</v>
      </c>
      <c r="K27" s="396"/>
      <c r="L27" s="2027" t="s">
        <v>544</v>
      </c>
      <c r="M27" s="2027"/>
      <c r="N27" s="2027"/>
      <c r="O27" s="2027"/>
      <c r="P27" s="394" t="s">
        <v>968</v>
      </c>
      <c r="Q27" s="2026">
        <f>+Portada!AX24</f>
        <v>15</v>
      </c>
      <c r="R27" s="2026"/>
      <c r="S27" s="395" t="s">
        <v>533</v>
      </c>
      <c r="T27" s="386"/>
      <c r="U27" s="75" t="str">
        <f>+Impresion!AQ16</f>
        <v xml:space="preserve">Fuente Información </v>
      </c>
      <c r="Z27" s="397" t="str">
        <f>+CONCATENATE(": ",Impresion!AZ16)</f>
        <v>: DOM, Plano Catastro</v>
      </c>
      <c r="AA27" s="398"/>
      <c r="AB27" s="398"/>
      <c r="AC27" s="398"/>
      <c r="AD27" s="2032"/>
      <c r="AE27" s="2032"/>
      <c r="AF27" s="2032"/>
      <c r="AG27" s="2032"/>
      <c r="AH27" s="2032"/>
      <c r="AI27" s="2032"/>
      <c r="AJ27" s="2032"/>
    </row>
    <row r="28" spans="2:36" ht="13.5" x14ac:dyDescent="0.25">
      <c r="B28" s="2025" t="s">
        <v>553</v>
      </c>
      <c r="C28" s="2025"/>
      <c r="D28" s="2025"/>
      <c r="E28" s="2025"/>
      <c r="F28" s="2025"/>
      <c r="G28" s="394" t="s">
        <v>968</v>
      </c>
      <c r="H28" s="2026">
        <f>+Portada!AP25</f>
        <v>0</v>
      </c>
      <c r="I28" s="2026"/>
      <c r="J28" s="395" t="s">
        <v>533</v>
      </c>
      <c r="K28" s="396"/>
      <c r="L28" s="2027" t="s">
        <v>554</v>
      </c>
      <c r="M28" s="2027"/>
      <c r="N28" s="2027"/>
      <c r="O28" s="2027"/>
      <c r="P28" s="394" t="s">
        <v>968</v>
      </c>
      <c r="Q28" s="2026">
        <f>+Portada!AX25</f>
        <v>0</v>
      </c>
      <c r="R28" s="2026"/>
      <c r="S28" s="395" t="s">
        <v>533</v>
      </c>
      <c r="T28" s="386"/>
      <c r="U28" s="391" t="str">
        <f>+Portada!BB27</f>
        <v/>
      </c>
      <c r="V28" s="392"/>
      <c r="W28" s="392"/>
      <c r="X28" s="392"/>
      <c r="Y28" s="392"/>
      <c r="Z28" s="393" t="s">
        <v>462</v>
      </c>
      <c r="AA28" s="392" t="e">
        <f>+Portada!#REF!</f>
        <v>#REF!</v>
      </c>
      <c r="AB28" s="392"/>
      <c r="AC28" s="392"/>
      <c r="AD28" s="2032"/>
      <c r="AE28" s="2032"/>
      <c r="AF28" s="2032"/>
      <c r="AG28" s="2032"/>
      <c r="AH28" s="2032"/>
      <c r="AI28" s="2032"/>
      <c r="AJ28" s="2032"/>
    </row>
    <row r="29" spans="2:36" ht="13.5" x14ac:dyDescent="0.25">
      <c r="B29" s="2025" t="s">
        <v>970</v>
      </c>
      <c r="C29" s="2025"/>
      <c r="D29" s="2025"/>
      <c r="E29" s="2025"/>
      <c r="F29" s="2025"/>
      <c r="G29" s="394" t="s">
        <v>968</v>
      </c>
      <c r="H29" s="2026">
        <f>+Portada!AP26</f>
        <v>15</v>
      </c>
      <c r="I29" s="2026"/>
      <c r="J29" s="395" t="s">
        <v>533</v>
      </c>
      <c r="K29" s="399"/>
      <c r="L29" s="2027" t="s">
        <v>561</v>
      </c>
      <c r="M29" s="2027"/>
      <c r="N29" s="2027"/>
      <c r="O29" s="2027"/>
      <c r="P29" s="394" t="s">
        <v>968</v>
      </c>
      <c r="Q29" s="2026">
        <f>+Portada!AX26</f>
        <v>10</v>
      </c>
      <c r="R29" s="2026"/>
      <c r="S29" s="395" t="s">
        <v>533</v>
      </c>
      <c r="T29" s="386"/>
      <c r="U29" s="2028" t="str">
        <f>+Portada!BB26</f>
        <v>Sello SEC</v>
      </c>
      <c r="V29" s="2028"/>
      <c r="W29" s="2028"/>
      <c r="X29" s="2028"/>
      <c r="Y29" s="2028"/>
      <c r="Z29" s="393"/>
      <c r="AA29" s="2022" t="str">
        <f>+Portada!BL26</f>
        <v>No Aplica/Full eléctrico</v>
      </c>
      <c r="AB29" s="2022"/>
      <c r="AC29" s="2022"/>
      <c r="AD29" s="2032"/>
      <c r="AE29" s="2032"/>
      <c r="AF29" s="2032"/>
      <c r="AG29" s="2032"/>
      <c r="AH29" s="2032"/>
      <c r="AI29" s="2032"/>
      <c r="AJ29" s="2032"/>
    </row>
    <row r="30" spans="2:36" ht="4.5" customHeight="1" x14ac:dyDescent="0.2">
      <c r="B30" s="377"/>
    </row>
    <row r="31" spans="2:36" ht="12.75" customHeight="1" x14ac:dyDescent="0.2">
      <c r="B31" s="400" t="s">
        <v>971</v>
      </c>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row>
    <row r="32" spans="2:36" ht="12.75" customHeight="1" x14ac:dyDescent="0.2">
      <c r="B32" s="401"/>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row>
    <row r="33" spans="2:39" s="402" customFormat="1" ht="12.75" customHeight="1" x14ac:dyDescent="0.2">
      <c r="B33" s="2023" t="s">
        <v>621</v>
      </c>
      <c r="C33" s="2023"/>
      <c r="D33" s="2023"/>
      <c r="E33" s="2023"/>
      <c r="F33" s="2023"/>
      <c r="G33" s="2023"/>
      <c r="H33" s="2023"/>
      <c r="I33" s="2023"/>
      <c r="J33" s="2023"/>
      <c r="K33" s="2023"/>
      <c r="L33" s="2024" t="s">
        <v>630</v>
      </c>
      <c r="M33" s="2024"/>
      <c r="N33" s="2024"/>
      <c r="O33" s="2024"/>
      <c r="P33" s="2023" t="s">
        <v>972</v>
      </c>
      <c r="Q33" s="2023"/>
      <c r="R33" s="2023"/>
      <c r="S33" s="2023"/>
      <c r="T33" s="2023"/>
      <c r="U33" s="2023"/>
      <c r="V33" s="2023"/>
      <c r="W33" s="2023"/>
      <c r="X33" s="2023"/>
      <c r="Y33" s="2023"/>
      <c r="Z33" s="2023"/>
      <c r="AA33" s="2023"/>
      <c r="AB33" s="2023" t="s">
        <v>792</v>
      </c>
      <c r="AC33" s="2023"/>
      <c r="AD33" s="2023"/>
      <c r="AE33" s="2023"/>
      <c r="AF33" s="2023"/>
      <c r="AG33" s="2023"/>
      <c r="AH33" s="2023"/>
      <c r="AI33" s="2023"/>
      <c r="AJ33" s="2023"/>
    </row>
    <row r="34" spans="2:39" ht="12.75" customHeight="1" x14ac:dyDescent="0.2">
      <c r="B34" s="2017" t="str">
        <f>CONCATENATE(Portada!B51," ",Portada!G51)</f>
        <v>Edificación Departamento N°2502 B</v>
      </c>
      <c r="C34" s="2017"/>
      <c r="D34" s="2017"/>
      <c r="E34" s="2017"/>
      <c r="F34" s="2017"/>
      <c r="G34" s="2017"/>
      <c r="H34" s="2017"/>
      <c r="I34" s="2017"/>
      <c r="J34" s="2017"/>
      <c r="K34" s="2017"/>
      <c r="L34" s="2018">
        <f>+Portada!AN51</f>
        <v>41</v>
      </c>
      <c r="M34" s="2018"/>
      <c r="N34" s="2018"/>
      <c r="O34" s="2018"/>
      <c r="P34" s="403" t="s">
        <v>646</v>
      </c>
      <c r="Q34" s="2019">
        <f t="shared" ref="Q34:Q41" si="0">+W34*$F$44</f>
        <v>1369875.98</v>
      </c>
      <c r="R34" s="2019"/>
      <c r="S34" s="2019"/>
      <c r="T34" s="2019"/>
      <c r="U34" s="2019"/>
      <c r="V34" s="403" t="s">
        <v>645</v>
      </c>
      <c r="W34" s="2020">
        <f>+Portada!BD51</f>
        <v>34</v>
      </c>
      <c r="X34" s="2020"/>
      <c r="Y34" s="2020"/>
      <c r="Z34" s="2020"/>
      <c r="AA34" s="2020"/>
      <c r="AB34" s="403" t="s">
        <v>646</v>
      </c>
      <c r="AC34" s="2021">
        <f>+Portada!BO51</f>
        <v>1394</v>
      </c>
      <c r="AD34" s="2021"/>
      <c r="AE34" s="2021"/>
      <c r="AF34" s="2021"/>
      <c r="AG34" s="2021"/>
      <c r="AH34" s="403" t="s">
        <v>645</v>
      </c>
      <c r="AI34" s="2021">
        <f>+Portada!BI51</f>
        <v>1394</v>
      </c>
      <c r="AJ34" s="2021"/>
      <c r="AK34" s="288"/>
      <c r="AL34" s="288"/>
      <c r="AM34" s="288"/>
    </row>
    <row r="35" spans="2:39" ht="12.75" customHeight="1" x14ac:dyDescent="0.2">
      <c r="B35" s="2017" t="str">
        <f>CONCATENATE(Portada!B52," ",Portada!G52)</f>
        <v xml:space="preserve"> </v>
      </c>
      <c r="C35" s="2017"/>
      <c r="D35" s="2017"/>
      <c r="E35" s="2017"/>
      <c r="F35" s="2017"/>
      <c r="G35" s="2017"/>
      <c r="H35" s="2017"/>
      <c r="I35" s="2017"/>
      <c r="J35" s="2017"/>
      <c r="K35" s="2017"/>
      <c r="L35" s="2018">
        <f>+Portada!AN52</f>
        <v>0</v>
      </c>
      <c r="M35" s="2018"/>
      <c r="N35" s="2018"/>
      <c r="O35" s="2018"/>
      <c r="P35" s="403" t="s">
        <v>646</v>
      </c>
      <c r="Q35" s="2019">
        <f t="shared" si="0"/>
        <v>0</v>
      </c>
      <c r="R35" s="2019"/>
      <c r="S35" s="2019"/>
      <c r="T35" s="2019"/>
      <c r="U35" s="2019"/>
      <c r="V35" s="403" t="s">
        <v>645</v>
      </c>
      <c r="W35" s="2020">
        <f>+Portada!BD52</f>
        <v>0</v>
      </c>
      <c r="X35" s="2020"/>
      <c r="Y35" s="2020"/>
      <c r="Z35" s="2020"/>
      <c r="AA35" s="2020"/>
      <c r="AB35" s="403" t="s">
        <v>646</v>
      </c>
      <c r="AC35" s="2021">
        <f>+Portada!BO52</f>
        <v>0</v>
      </c>
      <c r="AD35" s="2021"/>
      <c r="AE35" s="2021"/>
      <c r="AF35" s="2021"/>
      <c r="AG35" s="2021"/>
      <c r="AH35" s="403" t="s">
        <v>645</v>
      </c>
      <c r="AI35" s="2021">
        <f>+Portada!BI52</f>
        <v>0</v>
      </c>
      <c r="AJ35" s="2021"/>
    </row>
    <row r="36" spans="2:39" ht="12.75" customHeight="1" x14ac:dyDescent="0.2">
      <c r="B36" s="2017" t="str">
        <f>CONCATENATE(Portada!B53," ",Portada!G53)</f>
        <v xml:space="preserve"> </v>
      </c>
      <c r="C36" s="2017"/>
      <c r="D36" s="2017"/>
      <c r="E36" s="2017"/>
      <c r="F36" s="2017"/>
      <c r="G36" s="2017"/>
      <c r="H36" s="2017"/>
      <c r="I36" s="2017"/>
      <c r="J36" s="2017"/>
      <c r="K36" s="2017"/>
      <c r="L36" s="2018">
        <f>+Portada!AN53</f>
        <v>0</v>
      </c>
      <c r="M36" s="2018"/>
      <c r="N36" s="2018"/>
      <c r="O36" s="2018"/>
      <c r="P36" s="403" t="s">
        <v>646</v>
      </c>
      <c r="Q36" s="2019">
        <f t="shared" si="0"/>
        <v>0</v>
      </c>
      <c r="R36" s="2019"/>
      <c r="S36" s="2019"/>
      <c r="T36" s="2019"/>
      <c r="U36" s="2019"/>
      <c r="V36" s="403" t="s">
        <v>645</v>
      </c>
      <c r="W36" s="2020">
        <f>+Portada!BD53</f>
        <v>0</v>
      </c>
      <c r="X36" s="2020"/>
      <c r="Y36" s="2020"/>
      <c r="Z36" s="2020"/>
      <c r="AA36" s="2020"/>
      <c r="AB36" s="403" t="s">
        <v>646</v>
      </c>
      <c r="AC36" s="2021">
        <f>+Portada!BO53</f>
        <v>0</v>
      </c>
      <c r="AD36" s="2021"/>
      <c r="AE36" s="2021"/>
      <c r="AF36" s="2021"/>
      <c r="AG36" s="2021"/>
      <c r="AH36" s="403" t="s">
        <v>645</v>
      </c>
      <c r="AI36" s="2021">
        <f>+Portada!BI53</f>
        <v>0</v>
      </c>
      <c r="AJ36" s="2021"/>
    </row>
    <row r="37" spans="2:39" ht="12.75" customHeight="1" x14ac:dyDescent="0.2">
      <c r="B37" s="2017" t="str">
        <f>CONCATENATE(Portada!B54," ",Portada!G54)</f>
        <v xml:space="preserve"> </v>
      </c>
      <c r="C37" s="2017"/>
      <c r="D37" s="2017"/>
      <c r="E37" s="2017"/>
      <c r="F37" s="2017"/>
      <c r="G37" s="2017"/>
      <c r="H37" s="2017"/>
      <c r="I37" s="2017"/>
      <c r="J37" s="2017"/>
      <c r="K37" s="2017"/>
      <c r="L37" s="2018">
        <f>+Portada!AN54</f>
        <v>0</v>
      </c>
      <c r="M37" s="2018"/>
      <c r="N37" s="2018"/>
      <c r="O37" s="2018"/>
      <c r="P37" s="403" t="s">
        <v>646</v>
      </c>
      <c r="Q37" s="2019">
        <f t="shared" si="0"/>
        <v>0</v>
      </c>
      <c r="R37" s="2019"/>
      <c r="S37" s="2019"/>
      <c r="T37" s="2019"/>
      <c r="U37" s="2019"/>
      <c r="V37" s="403" t="s">
        <v>645</v>
      </c>
      <c r="W37" s="2020">
        <f>+Portada!BD54</f>
        <v>0</v>
      </c>
      <c r="X37" s="2020"/>
      <c r="Y37" s="2020"/>
      <c r="Z37" s="2020"/>
      <c r="AA37" s="2020"/>
      <c r="AB37" s="403" t="s">
        <v>646</v>
      </c>
      <c r="AC37" s="2021">
        <f>+Portada!BO54</f>
        <v>0</v>
      </c>
      <c r="AD37" s="2021"/>
      <c r="AE37" s="2021"/>
      <c r="AF37" s="2021"/>
      <c r="AG37" s="2021"/>
      <c r="AH37" s="403" t="s">
        <v>645</v>
      </c>
      <c r="AI37" s="2021">
        <f>+Portada!BI54</f>
        <v>0</v>
      </c>
      <c r="AJ37" s="2021"/>
    </row>
    <row r="38" spans="2:39" ht="12.75" customHeight="1" x14ac:dyDescent="0.2">
      <c r="B38" s="2017" t="str">
        <f>CONCATENATE(Portada!B55," ",Portada!G55)</f>
        <v xml:space="preserve"> </v>
      </c>
      <c r="C38" s="2017"/>
      <c r="D38" s="2017"/>
      <c r="E38" s="2017"/>
      <c r="F38" s="2017"/>
      <c r="G38" s="2017"/>
      <c r="H38" s="2017"/>
      <c r="I38" s="2017"/>
      <c r="J38" s="2017"/>
      <c r="K38" s="2017"/>
      <c r="L38" s="2018">
        <f>+Portada!AN55</f>
        <v>0</v>
      </c>
      <c r="M38" s="2018"/>
      <c r="N38" s="2018"/>
      <c r="O38" s="2018"/>
      <c r="P38" s="403" t="s">
        <v>646</v>
      </c>
      <c r="Q38" s="2019">
        <f t="shared" si="0"/>
        <v>0</v>
      </c>
      <c r="R38" s="2019"/>
      <c r="S38" s="2019"/>
      <c r="T38" s="2019"/>
      <c r="U38" s="2019"/>
      <c r="V38" s="403" t="s">
        <v>645</v>
      </c>
      <c r="W38" s="2020">
        <f>+Portada!BD55</f>
        <v>0</v>
      </c>
      <c r="X38" s="2020"/>
      <c r="Y38" s="2020"/>
      <c r="Z38" s="2020"/>
      <c r="AA38" s="2020"/>
      <c r="AB38" s="403" t="s">
        <v>646</v>
      </c>
      <c r="AC38" s="2021">
        <f>+Portada!BO55</f>
        <v>0</v>
      </c>
      <c r="AD38" s="2021"/>
      <c r="AE38" s="2021"/>
      <c r="AF38" s="2021"/>
      <c r="AG38" s="2021"/>
      <c r="AH38" s="403" t="s">
        <v>645</v>
      </c>
      <c r="AI38" s="2021">
        <f>+Portada!BI55</f>
        <v>0</v>
      </c>
      <c r="AJ38" s="2021"/>
    </row>
    <row r="39" spans="2:39" ht="12.75" customHeight="1" x14ac:dyDescent="0.2">
      <c r="B39" s="2017" t="str">
        <f>CONCATENATE(Portada!B56," ",Portada!G56)</f>
        <v xml:space="preserve"> </v>
      </c>
      <c r="C39" s="2017"/>
      <c r="D39" s="2017"/>
      <c r="E39" s="2017"/>
      <c r="F39" s="2017"/>
      <c r="G39" s="2017"/>
      <c r="H39" s="2017"/>
      <c r="I39" s="2017"/>
      <c r="J39" s="2017"/>
      <c r="K39" s="2017"/>
      <c r="L39" s="2018">
        <f>+Portada!AN56</f>
        <v>0</v>
      </c>
      <c r="M39" s="2018"/>
      <c r="N39" s="2018"/>
      <c r="O39" s="2018"/>
      <c r="P39" s="403" t="s">
        <v>646</v>
      </c>
      <c r="Q39" s="2019">
        <f t="shared" si="0"/>
        <v>0</v>
      </c>
      <c r="R39" s="2019"/>
      <c r="S39" s="2019"/>
      <c r="T39" s="2019"/>
      <c r="U39" s="2019"/>
      <c r="V39" s="403" t="s">
        <v>645</v>
      </c>
      <c r="W39" s="2020">
        <f>+Portada!BD56</f>
        <v>0</v>
      </c>
      <c r="X39" s="2020"/>
      <c r="Y39" s="2020"/>
      <c r="Z39" s="2020"/>
      <c r="AA39" s="2020"/>
      <c r="AB39" s="403" t="s">
        <v>646</v>
      </c>
      <c r="AC39" s="2021">
        <f>+Portada!BO56</f>
        <v>0</v>
      </c>
      <c r="AD39" s="2021"/>
      <c r="AE39" s="2021"/>
      <c r="AF39" s="2021"/>
      <c r="AG39" s="2021"/>
      <c r="AH39" s="403" t="s">
        <v>645</v>
      </c>
      <c r="AI39" s="2021">
        <f>+Portada!BI56</f>
        <v>0</v>
      </c>
      <c r="AJ39" s="2021"/>
    </row>
    <row r="40" spans="2:39" ht="12.75" customHeight="1" x14ac:dyDescent="0.2">
      <c r="B40" s="2017" t="str">
        <f>CONCATENATE(Portada!B57," ",Portada!G57)</f>
        <v xml:space="preserve"> </v>
      </c>
      <c r="C40" s="2017"/>
      <c r="D40" s="2017"/>
      <c r="E40" s="2017"/>
      <c r="F40" s="2017"/>
      <c r="G40" s="2017"/>
      <c r="H40" s="2017"/>
      <c r="I40" s="2017"/>
      <c r="J40" s="2017"/>
      <c r="K40" s="2017"/>
      <c r="L40" s="2018">
        <f>+Portada!AN57</f>
        <v>0</v>
      </c>
      <c r="M40" s="2018"/>
      <c r="N40" s="2018"/>
      <c r="O40" s="2018"/>
      <c r="P40" s="403" t="s">
        <v>646</v>
      </c>
      <c r="Q40" s="2019">
        <f t="shared" si="0"/>
        <v>0</v>
      </c>
      <c r="R40" s="2019"/>
      <c r="S40" s="2019"/>
      <c r="T40" s="2019"/>
      <c r="U40" s="2019"/>
      <c r="V40" s="403" t="s">
        <v>645</v>
      </c>
      <c r="W40" s="2020">
        <f>+Portada!BD57</f>
        <v>0</v>
      </c>
      <c r="X40" s="2020"/>
      <c r="Y40" s="2020"/>
      <c r="Z40" s="2020"/>
      <c r="AA40" s="2020"/>
      <c r="AB40" s="403" t="s">
        <v>646</v>
      </c>
      <c r="AC40" s="2021">
        <f>+Portada!BO57</f>
        <v>0</v>
      </c>
      <c r="AD40" s="2021"/>
      <c r="AE40" s="2021"/>
      <c r="AF40" s="2021"/>
      <c r="AG40" s="2021"/>
      <c r="AH40" s="403" t="s">
        <v>645</v>
      </c>
      <c r="AI40" s="2021">
        <f>+Portada!BI57</f>
        <v>0</v>
      </c>
      <c r="AJ40" s="2021"/>
    </row>
    <row r="41" spans="2:39" ht="12.75" customHeight="1" x14ac:dyDescent="0.2">
      <c r="B41" s="2017" t="str">
        <f>CONCATENATE(Portada!B58," ",Portada!G58)</f>
        <v xml:space="preserve"> </v>
      </c>
      <c r="C41" s="2017"/>
      <c r="D41" s="2017"/>
      <c r="E41" s="2017"/>
      <c r="F41" s="2017"/>
      <c r="G41" s="2017"/>
      <c r="H41" s="2017"/>
      <c r="I41" s="2017"/>
      <c r="J41" s="2017"/>
      <c r="K41" s="2017"/>
      <c r="L41" s="2018">
        <f>+Portada!AN58</f>
        <v>0</v>
      </c>
      <c r="M41" s="2018"/>
      <c r="N41" s="2018"/>
      <c r="O41" s="2018"/>
      <c r="P41" s="403" t="s">
        <v>646</v>
      </c>
      <c r="Q41" s="2019">
        <f t="shared" si="0"/>
        <v>0</v>
      </c>
      <c r="R41" s="2019"/>
      <c r="S41" s="2019"/>
      <c r="T41" s="2019"/>
      <c r="U41" s="2019"/>
      <c r="V41" s="403" t="s">
        <v>645</v>
      </c>
      <c r="W41" s="2020">
        <f>+Portada!BD58</f>
        <v>0</v>
      </c>
      <c r="X41" s="2020"/>
      <c r="Y41" s="2020"/>
      <c r="Z41" s="2020"/>
      <c r="AA41" s="2020"/>
      <c r="AB41" s="403" t="s">
        <v>646</v>
      </c>
      <c r="AC41" s="2021">
        <f>+Portada!BO58</f>
        <v>0</v>
      </c>
      <c r="AD41" s="2021"/>
      <c r="AE41" s="2021"/>
      <c r="AF41" s="2021"/>
      <c r="AG41" s="2021"/>
      <c r="AH41" s="403" t="s">
        <v>645</v>
      </c>
      <c r="AI41" s="2021">
        <f>+Portada!BI58</f>
        <v>0</v>
      </c>
      <c r="AJ41" s="2021"/>
    </row>
    <row r="42" spans="2:39" ht="12.75" customHeight="1" x14ac:dyDescent="0.2">
      <c r="B42" s="404"/>
      <c r="C42" s="405"/>
      <c r="D42" s="405"/>
      <c r="E42" s="405"/>
      <c r="F42" s="405"/>
      <c r="G42" s="405"/>
      <c r="H42" s="405"/>
      <c r="I42" s="406"/>
      <c r="J42" s="407"/>
      <c r="K42" s="407"/>
      <c r="L42" s="407"/>
      <c r="M42" s="407"/>
      <c r="N42" s="407"/>
      <c r="O42" s="407"/>
      <c r="P42" s="408"/>
      <c r="Q42" s="409"/>
      <c r="R42" s="409"/>
      <c r="S42" s="2010" t="s">
        <v>973</v>
      </c>
      <c r="T42" s="2010"/>
      <c r="U42" s="2010"/>
      <c r="V42" s="2010"/>
      <c r="W42" s="2010"/>
      <c r="X42" s="2010"/>
      <c r="Y42" s="2010"/>
      <c r="Z42" s="2010"/>
      <c r="AA42" s="2010"/>
      <c r="AB42" s="410" t="s">
        <v>646</v>
      </c>
      <c r="AC42" s="2011">
        <f>SUM(AC34:AG41)</f>
        <v>1394</v>
      </c>
      <c r="AD42" s="2011"/>
      <c r="AE42" s="2011"/>
      <c r="AF42" s="2011"/>
      <c r="AG42" s="2011"/>
      <c r="AH42" s="410" t="s">
        <v>645</v>
      </c>
      <c r="AI42" s="2011">
        <f>SUM(AI34:AJ41)</f>
        <v>1394</v>
      </c>
      <c r="AJ42" s="2011"/>
    </row>
    <row r="43" spans="2:39" ht="12.75" customHeight="1" x14ac:dyDescent="0.2">
      <c r="B43" s="404"/>
      <c r="C43" s="405"/>
      <c r="D43" s="405"/>
      <c r="E43" s="405"/>
      <c r="F43" s="405"/>
      <c r="G43" s="405"/>
      <c r="H43" s="405"/>
      <c r="I43" s="406"/>
      <c r="J43" s="407"/>
      <c r="K43" s="407"/>
      <c r="L43" s="407"/>
      <c r="M43" s="407"/>
      <c r="N43" s="407"/>
      <c r="O43" s="407"/>
      <c r="P43" s="408"/>
      <c r="Q43" s="409"/>
      <c r="R43" s="409"/>
      <c r="S43" s="2010" t="s">
        <v>974</v>
      </c>
      <c r="T43" s="2010"/>
      <c r="U43" s="2010"/>
      <c r="V43" s="2010"/>
      <c r="W43" s="2010"/>
      <c r="X43" s="2010"/>
      <c r="Y43" s="2010"/>
      <c r="Z43" s="2010"/>
      <c r="AA43" s="2010"/>
      <c r="AB43" s="410" t="s">
        <v>646</v>
      </c>
      <c r="AC43" s="2011">
        <f>+Portada!BO63</f>
        <v>0</v>
      </c>
      <c r="AD43" s="2011"/>
      <c r="AE43" s="2011"/>
      <c r="AF43" s="2011"/>
      <c r="AG43" s="2011"/>
      <c r="AH43" s="410" t="s">
        <v>645</v>
      </c>
      <c r="AI43" s="2011">
        <f>+Portada!BI63</f>
        <v>0</v>
      </c>
      <c r="AJ43" s="2011"/>
    </row>
    <row r="44" spans="2:39" s="402" customFormat="1" ht="22.5" customHeight="1" x14ac:dyDescent="0.2">
      <c r="B44" s="2012" t="s">
        <v>975</v>
      </c>
      <c r="C44" s="2012"/>
      <c r="D44" s="2012"/>
      <c r="E44" s="2012"/>
      <c r="F44" s="2013">
        <f>+Portada!AQ71</f>
        <v>40290.47</v>
      </c>
      <c r="G44" s="2013"/>
      <c r="H44" s="2013"/>
      <c r="I44" s="2013"/>
      <c r="J44" s="2013"/>
      <c r="K44" s="2013"/>
      <c r="L44" s="411"/>
      <c r="M44" s="2014" t="s">
        <v>109</v>
      </c>
      <c r="N44" s="2014"/>
      <c r="O44" s="2014"/>
      <c r="P44" s="2015">
        <f>+Portada!BI69</f>
        <v>46154</v>
      </c>
      <c r="Q44" s="2015"/>
      <c r="R44" s="2015"/>
      <c r="S44" s="2015"/>
      <c r="T44" s="2015"/>
      <c r="U44" s="2015"/>
      <c r="V44" s="2015"/>
      <c r="W44" s="2015"/>
      <c r="X44" s="2015"/>
      <c r="Y44" s="2015"/>
      <c r="Z44" s="2015"/>
      <c r="AA44" s="2015"/>
      <c r="AB44" s="2007" t="s">
        <v>976</v>
      </c>
      <c r="AC44" s="2007"/>
      <c r="AD44" s="2007"/>
      <c r="AE44" s="2007"/>
      <c r="AF44" s="2007"/>
      <c r="AG44" s="2007"/>
      <c r="AH44" s="2007"/>
      <c r="AI44" s="2007"/>
      <c r="AJ44" s="2007"/>
    </row>
    <row r="45" spans="2:39" ht="21.75" customHeight="1" x14ac:dyDescent="0.2">
      <c r="B45" s="401"/>
      <c r="C45" s="75"/>
      <c r="D45" s="75"/>
      <c r="E45" s="75"/>
      <c r="F45" s="75"/>
      <c r="G45" s="75"/>
      <c r="H45" s="75"/>
      <c r="I45" s="75"/>
      <c r="J45" s="75"/>
      <c r="K45" s="75"/>
      <c r="L45" s="75"/>
      <c r="M45" s="75"/>
      <c r="N45" s="75"/>
      <c r="O45" s="75"/>
      <c r="P45" s="75"/>
      <c r="Q45" s="75"/>
      <c r="R45" s="75"/>
      <c r="S45" s="75"/>
      <c r="T45" s="75"/>
      <c r="U45" s="75"/>
      <c r="V45" s="75"/>
      <c r="W45" s="75"/>
      <c r="X45" s="75"/>
      <c r="Y45" s="75"/>
      <c r="Z45" s="75"/>
      <c r="AA45" s="412"/>
      <c r="AB45" s="73" t="s">
        <v>646</v>
      </c>
      <c r="AC45" s="2016">
        <f>+Portada!AY69</f>
        <v>56164915.18</v>
      </c>
      <c r="AD45" s="2016"/>
      <c r="AE45" s="2016"/>
      <c r="AF45" s="2016"/>
      <c r="AG45" s="2016"/>
      <c r="AH45" s="2016"/>
      <c r="AI45" s="2016"/>
      <c r="AJ45" s="2016"/>
      <c r="AK45" s="2006"/>
      <c r="AL45" s="2006"/>
    </row>
    <row r="46" spans="2:39" s="402" customFormat="1" ht="17.25" customHeight="1" x14ac:dyDescent="0.2">
      <c r="B46" s="2007" t="s">
        <v>977</v>
      </c>
      <c r="C46" s="2007"/>
      <c r="D46" s="2007"/>
      <c r="E46" s="2007"/>
      <c r="F46" s="2007"/>
      <c r="G46" s="2007"/>
      <c r="H46" s="2007"/>
      <c r="I46" s="2007"/>
      <c r="J46" s="2007"/>
      <c r="K46" s="2007"/>
      <c r="L46" s="2007"/>
      <c r="M46" s="2007" t="s">
        <v>978</v>
      </c>
      <c r="N46" s="2007"/>
      <c r="O46" s="2007"/>
      <c r="P46" s="2007"/>
      <c r="Q46" s="2007"/>
      <c r="R46" s="2007"/>
      <c r="S46" s="2007"/>
      <c r="T46" s="2007" t="s">
        <v>979</v>
      </c>
      <c r="U46" s="2007"/>
      <c r="V46" s="2007"/>
      <c r="W46" s="2007"/>
      <c r="X46" s="2007"/>
      <c r="Y46" s="2007"/>
      <c r="Z46" s="2007"/>
      <c r="AA46" s="2007"/>
      <c r="AB46" s="2007" t="s">
        <v>980</v>
      </c>
      <c r="AC46" s="2007"/>
      <c r="AD46" s="2007"/>
      <c r="AE46" s="2007"/>
      <c r="AF46" s="2007"/>
      <c r="AG46" s="2007"/>
      <c r="AH46" s="2007"/>
      <c r="AI46" s="2007"/>
      <c r="AJ46" s="2007"/>
    </row>
    <row r="47" spans="2:39" ht="20.25" customHeight="1" x14ac:dyDescent="0.2">
      <c r="B47" s="2008">
        <f ca="1">+Portada!BG73</f>
        <v>1394</v>
      </c>
      <c r="C47" s="2008"/>
      <c r="D47" s="2008"/>
      <c r="E47" s="2008"/>
      <c r="F47" s="2008"/>
      <c r="G47" s="2008"/>
      <c r="H47" s="2008"/>
      <c r="I47" s="2008"/>
      <c r="J47" s="2008"/>
      <c r="K47" s="2008"/>
      <c r="L47" s="2008"/>
      <c r="M47" s="2008">
        <f ca="1">+Portada!BG72</f>
        <v>1115.2</v>
      </c>
      <c r="N47" s="2008"/>
      <c r="O47" s="2008"/>
      <c r="P47" s="2008"/>
      <c r="Q47" s="2008"/>
      <c r="R47" s="2008"/>
      <c r="S47" s="2008"/>
      <c r="T47" s="2008">
        <f>+Portada!BG78</f>
        <v>1150.05</v>
      </c>
      <c r="U47" s="2008"/>
      <c r="V47" s="2008"/>
      <c r="W47" s="2008"/>
      <c r="X47" s="2008"/>
      <c r="Y47" s="2008"/>
      <c r="Z47" s="2008"/>
      <c r="AA47" s="2008"/>
      <c r="AB47" s="413" t="s">
        <v>645</v>
      </c>
      <c r="AC47" s="2009">
        <f>+Portada!AP69</f>
        <v>1394</v>
      </c>
      <c r="AD47" s="2009"/>
      <c r="AE47" s="2009"/>
      <c r="AF47" s="2009"/>
      <c r="AG47" s="2009"/>
      <c r="AH47" s="2009"/>
      <c r="AI47" s="2009"/>
      <c r="AJ47" s="2009"/>
      <c r="AK47" s="2006"/>
      <c r="AL47" s="2006"/>
    </row>
    <row r="48" spans="2:39" ht="12.75" customHeight="1" x14ac:dyDescent="0.2">
      <c r="B48" s="401"/>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412"/>
    </row>
    <row r="49" spans="2:36" ht="12.75" customHeight="1" x14ac:dyDescent="0.2">
      <c r="B49" s="401"/>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412"/>
    </row>
    <row r="50" spans="2:36" ht="12.75" customHeight="1" x14ac:dyDescent="0.2">
      <c r="B50" s="2002" t="s">
        <v>981</v>
      </c>
      <c r="C50" s="2002"/>
      <c r="D50" s="2002"/>
      <c r="E50" s="2002"/>
      <c r="F50" s="2002"/>
      <c r="G50" s="2002"/>
      <c r="H50" s="2002"/>
      <c r="I50" s="2002"/>
      <c r="J50" s="2002"/>
      <c r="K50" s="2002"/>
      <c r="L50" s="2003" t="s">
        <v>685</v>
      </c>
      <c r="M50" s="2003"/>
      <c r="N50" s="2003"/>
      <c r="O50" s="2003"/>
      <c r="P50" s="2003"/>
      <c r="Q50" s="2003"/>
      <c r="T50" s="2003" t="s">
        <v>982</v>
      </c>
      <c r="U50" s="2003"/>
      <c r="V50" s="2003"/>
      <c r="W50" s="2003"/>
      <c r="X50" s="2003"/>
      <c r="Y50" s="2003" t="s">
        <v>983</v>
      </c>
      <c r="Z50" s="2003"/>
      <c r="AA50" s="2003"/>
      <c r="AB50" s="2003"/>
      <c r="AJ50" s="111"/>
    </row>
    <row r="51" spans="2:36" ht="7.5" customHeight="1" x14ac:dyDescent="0.2">
      <c r="B51" s="414"/>
      <c r="C51" s="393"/>
      <c r="D51" s="393"/>
      <c r="E51" s="393"/>
      <c r="F51" s="393"/>
      <c r="G51" s="393"/>
      <c r="H51" s="393"/>
      <c r="I51" s="393"/>
      <c r="J51" s="393"/>
      <c r="K51" s="393"/>
      <c r="L51" s="415"/>
      <c r="M51" s="415"/>
      <c r="N51" s="415"/>
      <c r="O51" s="415"/>
      <c r="P51" s="415"/>
      <c r="Q51" s="416"/>
      <c r="T51" s="414"/>
      <c r="U51" s="393"/>
      <c r="V51" s="393"/>
      <c r="W51" s="393"/>
      <c r="X51" s="393"/>
      <c r="Y51" s="393"/>
      <c r="Z51" s="393"/>
      <c r="AA51" s="393"/>
      <c r="AB51" s="386"/>
      <c r="AJ51" s="111"/>
    </row>
    <row r="52" spans="2:36" ht="12.75" customHeight="1" x14ac:dyDescent="0.25">
      <c r="B52" s="1998" t="s">
        <v>636</v>
      </c>
      <c r="C52" s="1998"/>
      <c r="D52" s="1998"/>
      <c r="E52" s="1998"/>
      <c r="F52" s="1998"/>
      <c r="G52" s="1998"/>
      <c r="H52" s="1998"/>
      <c r="I52" s="1998"/>
      <c r="J52" s="1998"/>
      <c r="K52" s="1998"/>
      <c r="L52" s="1999">
        <f>+Portada!AN59</f>
        <v>41</v>
      </c>
      <c r="M52" s="1999"/>
      <c r="N52" s="1999"/>
      <c r="O52" s="1999"/>
      <c r="P52" s="1999"/>
      <c r="Q52" s="1999"/>
      <c r="T52" s="2003">
        <f>+Portada!T59</f>
        <v>0</v>
      </c>
      <c r="U52" s="2003"/>
      <c r="V52" s="2003"/>
      <c r="W52" s="2003"/>
      <c r="X52" s="2003"/>
      <c r="Y52" s="2004">
        <f>+Y56-T52</f>
        <v>2026</v>
      </c>
      <c r="Z52" s="2004"/>
      <c r="AA52" s="2005" t="s">
        <v>984</v>
      </c>
      <c r="AB52" s="2005"/>
      <c r="AJ52" s="111"/>
    </row>
    <row r="53" spans="2:36" ht="12.75" customHeight="1" x14ac:dyDescent="0.25">
      <c r="B53" s="1998" t="s">
        <v>641</v>
      </c>
      <c r="C53" s="1998"/>
      <c r="D53" s="1998"/>
      <c r="E53" s="1998"/>
      <c r="F53" s="1998"/>
      <c r="G53" s="1998"/>
      <c r="H53" s="1998"/>
      <c r="I53" s="1998"/>
      <c r="J53" s="1998"/>
      <c r="K53" s="1998"/>
      <c r="L53" s="1999">
        <f>+Portada!AN61</f>
        <v>0</v>
      </c>
      <c r="M53" s="1999"/>
      <c r="N53" s="1999"/>
      <c r="O53" s="1999"/>
      <c r="P53" s="1999"/>
      <c r="Q53" s="1999"/>
      <c r="AJ53" s="111"/>
    </row>
    <row r="54" spans="2:36" ht="12.75" customHeight="1" x14ac:dyDescent="0.25">
      <c r="B54" s="1998" t="s">
        <v>639</v>
      </c>
      <c r="C54" s="1998"/>
      <c r="D54" s="1998"/>
      <c r="E54" s="1998"/>
      <c r="F54" s="1998"/>
      <c r="G54" s="1998"/>
      <c r="H54" s="1998"/>
      <c r="I54" s="1998"/>
      <c r="J54" s="1998"/>
      <c r="K54" s="1998"/>
      <c r="L54" s="1999">
        <f>+Portada!AG60</f>
        <v>0</v>
      </c>
      <c r="M54" s="1999"/>
      <c r="N54" s="1999"/>
      <c r="O54" s="1999"/>
      <c r="P54" s="1999"/>
      <c r="Q54" s="1999"/>
      <c r="AJ54" s="111"/>
    </row>
    <row r="55" spans="2:36" ht="12.75" customHeight="1" x14ac:dyDescent="0.2">
      <c r="B55" s="377"/>
      <c r="Y55" s="2000">
        <f>+P44</f>
        <v>46154</v>
      </c>
      <c r="Z55" s="2000"/>
      <c r="AA55" s="2000"/>
      <c r="AB55" s="2000"/>
      <c r="AJ55" s="111"/>
    </row>
    <row r="56" spans="2:36" ht="12.75" customHeight="1" x14ac:dyDescent="0.2">
      <c r="B56" s="377"/>
      <c r="Y56" s="2001">
        <f>YEAR(Y55)</f>
        <v>2026</v>
      </c>
      <c r="Z56" s="2001"/>
      <c r="AA56" s="2001"/>
      <c r="AB56" s="2001"/>
      <c r="AJ56" s="111"/>
    </row>
    <row r="57" spans="2:36" ht="12.75" customHeight="1" x14ac:dyDescent="0.2">
      <c r="B57" s="377"/>
      <c r="AJ57" s="111"/>
    </row>
    <row r="58" spans="2:36" ht="12.75" customHeight="1" x14ac:dyDescent="0.2">
      <c r="B58" s="377"/>
      <c r="AJ58" s="111"/>
    </row>
    <row r="59" spans="2:36" ht="12.75" customHeight="1" x14ac:dyDescent="0.2">
      <c r="B59" s="377"/>
      <c r="AJ59" s="111"/>
    </row>
    <row r="60" spans="2:36" ht="12.75" customHeight="1" x14ac:dyDescent="0.2">
      <c r="B60" s="377"/>
      <c r="AJ60" s="111"/>
    </row>
    <row r="61" spans="2:36" ht="12.75" customHeight="1" x14ac:dyDescent="0.2">
      <c r="B61" s="377"/>
      <c r="AJ61" s="111"/>
    </row>
    <row r="62" spans="2:36" ht="12.75" customHeight="1" x14ac:dyDescent="0.2">
      <c r="B62" s="377"/>
      <c r="AJ62" s="111"/>
    </row>
    <row r="63" spans="2:36" ht="12.75" customHeight="1" x14ac:dyDescent="0.2">
      <c r="B63" s="377"/>
      <c r="AJ63" s="111"/>
    </row>
    <row r="64" spans="2:36" ht="12.75" customHeight="1" x14ac:dyDescent="0.2">
      <c r="B64" s="417"/>
      <c r="C64" s="240"/>
      <c r="D64" s="240"/>
      <c r="E64" s="240"/>
      <c r="F64" s="240"/>
      <c r="G64" s="240"/>
      <c r="H64" s="240"/>
      <c r="I64" s="240"/>
      <c r="J64" s="240"/>
      <c r="K64" s="240"/>
      <c r="L64" s="240"/>
      <c r="M64" s="240"/>
      <c r="N64" s="240"/>
      <c r="O64" s="240"/>
      <c r="P64" s="240"/>
      <c r="Q64" s="240"/>
      <c r="R64" s="240"/>
      <c r="S64" s="240"/>
      <c r="T64" s="240"/>
      <c r="U64" s="240"/>
      <c r="V64" s="240"/>
      <c r="W64" s="240"/>
      <c r="X64" s="240"/>
      <c r="Y64" s="240"/>
      <c r="Z64" s="240"/>
      <c r="AA64" s="240"/>
      <c r="AB64" s="240"/>
      <c r="AC64" s="240"/>
      <c r="AD64" s="240"/>
      <c r="AE64" s="240"/>
      <c r="AF64" s="240"/>
      <c r="AG64" s="240"/>
      <c r="AH64" s="240"/>
      <c r="AI64" s="240"/>
      <c r="AJ64" s="242"/>
    </row>
  </sheetData>
  <dataConsolidate/>
  <mergeCells count="159">
    <mergeCell ref="AF2:AJ2"/>
    <mergeCell ref="E3:U3"/>
    <mergeCell ref="Y3:AB3"/>
    <mergeCell ref="E4:R4"/>
    <mergeCell ref="S4:U4"/>
    <mergeCell ref="V4:W4"/>
    <mergeCell ref="Y4:AF4"/>
    <mergeCell ref="B5:D5"/>
    <mergeCell ref="E5:L5"/>
    <mergeCell ref="O5:Q5"/>
    <mergeCell ref="R5:Y5"/>
    <mergeCell ref="Z5:AI5"/>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Z23:AC23"/>
    <mergeCell ref="B25:T25"/>
    <mergeCell ref="B26:F26"/>
    <mergeCell ref="H26:I26"/>
    <mergeCell ref="L26:O26"/>
    <mergeCell ref="Q26:R26"/>
    <mergeCell ref="B27:F27"/>
    <mergeCell ref="H27:I27"/>
    <mergeCell ref="L27:O27"/>
    <mergeCell ref="Q27:R27"/>
    <mergeCell ref="B28:F28"/>
    <mergeCell ref="H28:I28"/>
    <mergeCell ref="L28:O28"/>
    <mergeCell ref="Q28:R28"/>
    <mergeCell ref="B29:F29"/>
    <mergeCell ref="H29:I29"/>
    <mergeCell ref="L29:O29"/>
    <mergeCell ref="Q29:R29"/>
    <mergeCell ref="U29:Y29"/>
    <mergeCell ref="AA29:AC29"/>
    <mergeCell ref="B33:K33"/>
    <mergeCell ref="L33:O33"/>
    <mergeCell ref="P33:AA33"/>
    <mergeCell ref="AB33:AJ33"/>
    <mergeCell ref="B34:K34"/>
    <mergeCell ref="L34:O34"/>
    <mergeCell ref="Q34:U34"/>
    <mergeCell ref="W34:AA34"/>
    <mergeCell ref="AC34:AG34"/>
    <mergeCell ref="AI34:AJ34"/>
    <mergeCell ref="B35:K35"/>
    <mergeCell ref="L35:O35"/>
    <mergeCell ref="Q35:U35"/>
    <mergeCell ref="W35:AA35"/>
    <mergeCell ref="AC35:AG35"/>
    <mergeCell ref="AI35:AJ35"/>
    <mergeCell ref="B36:K36"/>
    <mergeCell ref="L36:O36"/>
    <mergeCell ref="Q36:U36"/>
    <mergeCell ref="W36:AA36"/>
    <mergeCell ref="AC36:AG36"/>
    <mergeCell ref="AI36:AJ36"/>
    <mergeCell ref="B37:K37"/>
    <mergeCell ref="L37:O37"/>
    <mergeCell ref="Q37:U37"/>
    <mergeCell ref="W37:AA37"/>
    <mergeCell ref="AC37:AG37"/>
    <mergeCell ref="AI37:AJ37"/>
    <mergeCell ref="B38:K38"/>
    <mergeCell ref="L38:O38"/>
    <mergeCell ref="Q38:U38"/>
    <mergeCell ref="W38:AA38"/>
    <mergeCell ref="AC38:AG38"/>
    <mergeCell ref="AI38:AJ38"/>
    <mergeCell ref="B39:K39"/>
    <mergeCell ref="L39:O39"/>
    <mergeCell ref="Q39:U39"/>
    <mergeCell ref="W39:AA39"/>
    <mergeCell ref="AC39:AG39"/>
    <mergeCell ref="AI39:AJ39"/>
    <mergeCell ref="B40:K40"/>
    <mergeCell ref="L40:O40"/>
    <mergeCell ref="Q40:U40"/>
    <mergeCell ref="W40:AA40"/>
    <mergeCell ref="AC40:AG40"/>
    <mergeCell ref="AI40:AJ40"/>
    <mergeCell ref="B41:K41"/>
    <mergeCell ref="L41:O41"/>
    <mergeCell ref="Q41:U41"/>
    <mergeCell ref="W41:AA41"/>
    <mergeCell ref="AC41:AG41"/>
    <mergeCell ref="AI41:AJ41"/>
    <mergeCell ref="S42:AA42"/>
    <mergeCell ref="AC42:AG42"/>
    <mergeCell ref="AI42:AJ42"/>
    <mergeCell ref="S43:AA43"/>
    <mergeCell ref="AC43:AG43"/>
    <mergeCell ref="AI43:AJ43"/>
    <mergeCell ref="B44:E44"/>
    <mergeCell ref="F44:K44"/>
    <mergeCell ref="M44:O44"/>
    <mergeCell ref="P44:AA44"/>
    <mergeCell ref="AB44:AJ44"/>
    <mergeCell ref="AC45:AJ45"/>
    <mergeCell ref="AK45:AL45"/>
    <mergeCell ref="B46:L46"/>
    <mergeCell ref="M46:S46"/>
    <mergeCell ref="T46:AA46"/>
    <mergeCell ref="AB46:AJ46"/>
    <mergeCell ref="B47:L47"/>
    <mergeCell ref="M47:S47"/>
    <mergeCell ref="T47:AA47"/>
    <mergeCell ref="AC47:AJ47"/>
    <mergeCell ref="AK47:AL47"/>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130"/>
  <sheetViews>
    <sheetView topLeftCell="A89" workbookViewId="0">
      <selection activeCell="A130" sqref="A130"/>
    </sheetView>
  </sheetViews>
  <sheetFormatPr baseColWidth="10" defaultColWidth="9.140625" defaultRowHeight="12.75" x14ac:dyDescent="0.2"/>
  <cols>
    <col min="1" max="1" width="10.140625" style="595" bestFit="1" customWidth="1"/>
    <col min="2" max="2" width="9.140625" style="226"/>
  </cols>
  <sheetData>
    <row r="1" spans="1:2" x14ac:dyDescent="0.2">
      <c r="A1" s="595" t="s">
        <v>1804</v>
      </c>
      <c r="B1" s="226" t="s">
        <v>1805</v>
      </c>
    </row>
    <row r="2" spans="1:2" x14ac:dyDescent="0.2">
      <c r="A2" s="595">
        <v>43101</v>
      </c>
      <c r="B2" s="602">
        <v>26799.01</v>
      </c>
    </row>
    <row r="3" spans="1:2" x14ac:dyDescent="0.2">
      <c r="A3" s="595">
        <v>43102</v>
      </c>
      <c r="B3" s="602">
        <v>26799.87</v>
      </c>
    </row>
    <row r="4" spans="1:2" x14ac:dyDescent="0.2">
      <c r="A4" s="595">
        <v>43103</v>
      </c>
      <c r="B4" s="602">
        <v>26800.73</v>
      </c>
    </row>
    <row r="5" spans="1:2" x14ac:dyDescent="0.2">
      <c r="A5" s="595">
        <v>43104</v>
      </c>
      <c r="B5" s="602">
        <v>26801.599999999999</v>
      </c>
    </row>
    <row r="6" spans="1:2" x14ac:dyDescent="0.2">
      <c r="A6" s="595">
        <v>43105</v>
      </c>
      <c r="B6" s="602">
        <v>26802.46</v>
      </c>
    </row>
    <row r="7" spans="1:2" x14ac:dyDescent="0.2">
      <c r="A7" s="595">
        <v>43106</v>
      </c>
      <c r="B7" s="602">
        <v>26803.33</v>
      </c>
    </row>
    <row r="8" spans="1:2" x14ac:dyDescent="0.2">
      <c r="A8" s="595">
        <v>43107</v>
      </c>
      <c r="B8" s="602">
        <v>26804.19</v>
      </c>
    </row>
    <row r="9" spans="1:2" x14ac:dyDescent="0.2">
      <c r="A9" s="595">
        <v>43108</v>
      </c>
      <c r="B9" s="602">
        <v>26805.05</v>
      </c>
    </row>
    <row r="10" spans="1:2" x14ac:dyDescent="0.2">
      <c r="A10" s="595">
        <v>43109</v>
      </c>
      <c r="B10" s="602">
        <v>26805.919999999998</v>
      </c>
    </row>
    <row r="11" spans="1:2" x14ac:dyDescent="0.2">
      <c r="A11" s="595">
        <v>43110</v>
      </c>
      <c r="B11" s="602">
        <v>26806.78</v>
      </c>
    </row>
    <row r="12" spans="1:2" x14ac:dyDescent="0.2">
      <c r="A12" s="595">
        <v>43111</v>
      </c>
      <c r="B12" s="602">
        <v>26807.65</v>
      </c>
    </row>
    <row r="13" spans="1:2" x14ac:dyDescent="0.2">
      <c r="A13" s="595">
        <v>43112</v>
      </c>
      <c r="B13" s="602">
        <v>26808.51</v>
      </c>
    </row>
    <row r="14" spans="1:2" x14ac:dyDescent="0.2">
      <c r="A14" s="595">
        <v>43113</v>
      </c>
      <c r="B14" s="602">
        <v>26809.38</v>
      </c>
    </row>
    <row r="15" spans="1:2" x14ac:dyDescent="0.2">
      <c r="A15" s="595">
        <v>43114</v>
      </c>
      <c r="B15" s="602">
        <v>26810.240000000002</v>
      </c>
    </row>
    <row r="16" spans="1:2" x14ac:dyDescent="0.2">
      <c r="A16" s="595">
        <v>43115</v>
      </c>
      <c r="B16" s="602">
        <v>26811.11</v>
      </c>
    </row>
    <row r="17" spans="1:2" x14ac:dyDescent="0.2">
      <c r="A17" s="595">
        <v>43116</v>
      </c>
      <c r="B17" s="602">
        <v>26811.97</v>
      </c>
    </row>
    <row r="18" spans="1:2" x14ac:dyDescent="0.2">
      <c r="A18" s="595">
        <v>43117</v>
      </c>
      <c r="B18" s="602">
        <v>26812.84</v>
      </c>
    </row>
    <row r="19" spans="1:2" x14ac:dyDescent="0.2">
      <c r="A19" s="595">
        <v>43118</v>
      </c>
      <c r="B19" s="602">
        <v>26813.7</v>
      </c>
    </row>
    <row r="20" spans="1:2" x14ac:dyDescent="0.2">
      <c r="A20" s="595">
        <v>43119</v>
      </c>
      <c r="B20" s="602">
        <v>26814.560000000001</v>
      </c>
    </row>
    <row r="21" spans="1:2" x14ac:dyDescent="0.2">
      <c r="A21" s="595">
        <v>43120</v>
      </c>
      <c r="B21" s="602">
        <v>26815.43</v>
      </c>
    </row>
    <row r="22" spans="1:2" x14ac:dyDescent="0.2">
      <c r="A22" s="595">
        <v>43121</v>
      </c>
      <c r="B22" s="602">
        <v>26816.29</v>
      </c>
    </row>
    <row r="23" spans="1:2" x14ac:dyDescent="0.2">
      <c r="A23" s="595">
        <v>43122</v>
      </c>
      <c r="B23" s="602">
        <v>26817.16</v>
      </c>
    </row>
    <row r="24" spans="1:2" x14ac:dyDescent="0.2">
      <c r="A24" s="595">
        <v>43123</v>
      </c>
      <c r="B24" s="602">
        <v>26818.02</v>
      </c>
    </row>
    <row r="25" spans="1:2" x14ac:dyDescent="0.2">
      <c r="A25" s="595">
        <v>43124</v>
      </c>
      <c r="B25" s="602">
        <v>26818.89</v>
      </c>
    </row>
    <row r="26" spans="1:2" x14ac:dyDescent="0.2">
      <c r="A26" s="595">
        <v>43125</v>
      </c>
      <c r="B26" s="602">
        <v>26819.75</v>
      </c>
    </row>
    <row r="27" spans="1:2" x14ac:dyDescent="0.2">
      <c r="A27" s="595">
        <v>43126</v>
      </c>
      <c r="B27" s="602">
        <v>26820.62</v>
      </c>
    </row>
    <row r="28" spans="1:2" x14ac:dyDescent="0.2">
      <c r="A28" s="595">
        <v>43127</v>
      </c>
      <c r="B28" s="602">
        <v>26821.48</v>
      </c>
    </row>
    <row r="29" spans="1:2" x14ac:dyDescent="0.2">
      <c r="A29" s="595">
        <v>43128</v>
      </c>
      <c r="B29" s="602">
        <v>26822.35</v>
      </c>
    </row>
    <row r="30" spans="1:2" x14ac:dyDescent="0.2">
      <c r="A30" s="595">
        <v>43129</v>
      </c>
      <c r="B30" s="602">
        <v>26823.21</v>
      </c>
    </row>
    <row r="31" spans="1:2" x14ac:dyDescent="0.2">
      <c r="A31" s="595">
        <v>43130</v>
      </c>
      <c r="B31" s="602">
        <v>26824.080000000002</v>
      </c>
    </row>
    <row r="32" spans="1:2" x14ac:dyDescent="0.2">
      <c r="A32" s="595">
        <v>43131</v>
      </c>
      <c r="B32" s="602">
        <v>26824.94</v>
      </c>
    </row>
    <row r="33" spans="1:2" x14ac:dyDescent="0.2">
      <c r="A33" s="595">
        <v>43132</v>
      </c>
      <c r="B33" s="602">
        <v>26825.81</v>
      </c>
    </row>
    <row r="34" spans="1:2" x14ac:dyDescent="0.2">
      <c r="A34" s="595">
        <v>43133</v>
      </c>
      <c r="B34" s="602">
        <v>26826.67</v>
      </c>
    </row>
    <row r="35" spans="1:2" x14ac:dyDescent="0.2">
      <c r="A35" s="595">
        <v>43134</v>
      </c>
      <c r="B35" s="602">
        <v>26827.54</v>
      </c>
    </row>
    <row r="36" spans="1:2" x14ac:dyDescent="0.2">
      <c r="A36" s="595">
        <v>43135</v>
      </c>
      <c r="B36" s="602">
        <v>26828.400000000001</v>
      </c>
    </row>
    <row r="37" spans="1:2" x14ac:dyDescent="0.2">
      <c r="A37" s="595">
        <v>43136</v>
      </c>
      <c r="B37" s="602">
        <v>26829.27</v>
      </c>
    </row>
    <row r="38" spans="1:2" x14ac:dyDescent="0.2">
      <c r="A38" s="595">
        <v>43137</v>
      </c>
      <c r="B38" s="602">
        <v>26830.13</v>
      </c>
    </row>
    <row r="39" spans="1:2" x14ac:dyDescent="0.2">
      <c r="A39" s="595">
        <v>43138</v>
      </c>
      <c r="B39" s="602">
        <v>26831</v>
      </c>
    </row>
    <row r="40" spans="1:2" x14ac:dyDescent="0.2">
      <c r="A40" s="595">
        <v>43139</v>
      </c>
      <c r="B40" s="602">
        <v>26831.86</v>
      </c>
    </row>
    <row r="41" spans="1:2" x14ac:dyDescent="0.2">
      <c r="A41" s="595">
        <v>43140</v>
      </c>
      <c r="B41" s="602">
        <v>26832.73</v>
      </c>
    </row>
    <row r="42" spans="1:2" x14ac:dyDescent="0.2">
      <c r="A42" s="595">
        <v>43141</v>
      </c>
      <c r="B42" s="602">
        <v>26837.51</v>
      </c>
    </row>
    <row r="43" spans="1:2" x14ac:dyDescent="0.2">
      <c r="A43" s="595">
        <v>43142</v>
      </c>
      <c r="B43" s="602">
        <v>26842.29</v>
      </c>
    </row>
    <row r="44" spans="1:2" x14ac:dyDescent="0.2">
      <c r="A44" s="595">
        <v>43143</v>
      </c>
      <c r="B44" s="602">
        <v>26847.07</v>
      </c>
    </row>
    <row r="45" spans="1:2" x14ac:dyDescent="0.2">
      <c r="A45" s="595">
        <v>43144</v>
      </c>
      <c r="B45" s="602">
        <v>26851.86</v>
      </c>
    </row>
    <row r="46" spans="1:2" x14ac:dyDescent="0.2">
      <c r="A46" s="595">
        <v>43145</v>
      </c>
      <c r="B46" s="602">
        <v>26856.639999999999</v>
      </c>
    </row>
    <row r="47" spans="1:2" x14ac:dyDescent="0.2">
      <c r="A47" s="595">
        <v>43146</v>
      </c>
      <c r="B47" s="602">
        <v>26861.42</v>
      </c>
    </row>
    <row r="48" spans="1:2" x14ac:dyDescent="0.2">
      <c r="A48" s="595">
        <v>43147</v>
      </c>
      <c r="B48" s="602">
        <v>26866.21</v>
      </c>
    </row>
    <row r="49" spans="1:2" x14ac:dyDescent="0.2">
      <c r="A49" s="595">
        <v>43148</v>
      </c>
      <c r="B49" s="602">
        <v>26870.99</v>
      </c>
    </row>
    <row r="50" spans="1:2" x14ac:dyDescent="0.2">
      <c r="A50" s="595">
        <v>43149</v>
      </c>
      <c r="B50" s="602">
        <v>26875.78</v>
      </c>
    </row>
    <row r="51" spans="1:2" x14ac:dyDescent="0.2">
      <c r="A51" s="595">
        <v>43150</v>
      </c>
      <c r="B51" s="602">
        <v>26880.57</v>
      </c>
    </row>
    <row r="52" spans="1:2" x14ac:dyDescent="0.2">
      <c r="A52" s="595">
        <v>43151</v>
      </c>
      <c r="B52" s="602">
        <v>26885.360000000001</v>
      </c>
    </row>
    <row r="53" spans="1:2" x14ac:dyDescent="0.2">
      <c r="A53" s="595">
        <v>43152</v>
      </c>
      <c r="B53" s="602">
        <v>26890.15</v>
      </c>
    </row>
    <row r="54" spans="1:2" x14ac:dyDescent="0.2">
      <c r="A54" s="595">
        <v>43153</v>
      </c>
      <c r="B54" s="602">
        <v>26894.94</v>
      </c>
    </row>
    <row r="55" spans="1:2" x14ac:dyDescent="0.2">
      <c r="A55" s="595">
        <v>43154</v>
      </c>
      <c r="B55" s="602">
        <v>26899.73</v>
      </c>
    </row>
    <row r="56" spans="1:2" x14ac:dyDescent="0.2">
      <c r="A56" s="595">
        <v>43155</v>
      </c>
      <c r="B56" s="602">
        <v>26904.52</v>
      </c>
    </row>
    <row r="57" spans="1:2" x14ac:dyDescent="0.2">
      <c r="A57" s="595">
        <v>43156</v>
      </c>
      <c r="B57" s="602">
        <v>26909.31</v>
      </c>
    </row>
    <row r="58" spans="1:2" x14ac:dyDescent="0.2">
      <c r="A58" s="595">
        <v>43157</v>
      </c>
      <c r="B58" s="602">
        <v>26914.11</v>
      </c>
    </row>
    <row r="59" spans="1:2" x14ac:dyDescent="0.2">
      <c r="A59" s="595">
        <v>43158</v>
      </c>
      <c r="B59" s="602">
        <v>26918.9</v>
      </c>
    </row>
    <row r="60" spans="1:2" x14ac:dyDescent="0.2">
      <c r="A60" s="595">
        <v>43159</v>
      </c>
      <c r="B60" s="602">
        <v>26923.7</v>
      </c>
    </row>
    <row r="61" spans="1:2" x14ac:dyDescent="0.2">
      <c r="A61" s="595">
        <v>43160</v>
      </c>
      <c r="B61" s="602">
        <v>26928.49</v>
      </c>
    </row>
    <row r="62" spans="1:2" x14ac:dyDescent="0.2">
      <c r="A62" s="595">
        <v>43161</v>
      </c>
      <c r="B62" s="602">
        <v>26933.29</v>
      </c>
    </row>
    <row r="63" spans="1:2" x14ac:dyDescent="0.2">
      <c r="A63" s="595">
        <v>43162</v>
      </c>
      <c r="B63" s="602">
        <v>26938.09</v>
      </c>
    </row>
    <row r="64" spans="1:2" x14ac:dyDescent="0.2">
      <c r="A64" s="595">
        <v>43163</v>
      </c>
      <c r="B64" s="602">
        <v>26942.89</v>
      </c>
    </row>
    <row r="65" spans="1:2" x14ac:dyDescent="0.2">
      <c r="A65" s="595">
        <v>43164</v>
      </c>
      <c r="B65" s="602">
        <v>26947.69</v>
      </c>
    </row>
    <row r="66" spans="1:2" x14ac:dyDescent="0.2">
      <c r="A66" s="595">
        <v>43165</v>
      </c>
      <c r="B66" s="602">
        <v>26952.49</v>
      </c>
    </row>
    <row r="67" spans="1:2" x14ac:dyDescent="0.2">
      <c r="A67" s="595">
        <v>43166</v>
      </c>
      <c r="B67" s="602">
        <v>26957.29</v>
      </c>
    </row>
    <row r="68" spans="1:2" x14ac:dyDescent="0.2">
      <c r="A68" s="595">
        <v>43167</v>
      </c>
      <c r="B68" s="602">
        <v>26962.09</v>
      </c>
    </row>
    <row r="69" spans="1:2" x14ac:dyDescent="0.2">
      <c r="A69" s="595">
        <v>43168</v>
      </c>
      <c r="B69" s="602">
        <v>26966.89</v>
      </c>
    </row>
    <row r="70" spans="1:2" x14ac:dyDescent="0.2">
      <c r="A70" s="595">
        <v>43169</v>
      </c>
      <c r="B70" s="602">
        <v>26966.89</v>
      </c>
    </row>
    <row r="71" spans="1:2" x14ac:dyDescent="0.2">
      <c r="A71" s="595">
        <v>43170</v>
      </c>
      <c r="B71" s="602">
        <v>26966.89</v>
      </c>
    </row>
    <row r="72" spans="1:2" x14ac:dyDescent="0.2">
      <c r="A72" s="595">
        <v>43171</v>
      </c>
      <c r="B72" s="602">
        <v>26966.89</v>
      </c>
    </row>
    <row r="73" spans="1:2" x14ac:dyDescent="0.2">
      <c r="A73" s="595">
        <v>43172</v>
      </c>
      <c r="B73" s="602">
        <v>26966.89</v>
      </c>
    </row>
    <row r="74" spans="1:2" x14ac:dyDescent="0.2">
      <c r="A74" s="595">
        <v>43173</v>
      </c>
      <c r="B74" s="602">
        <v>26966.89</v>
      </c>
    </row>
    <row r="75" spans="1:2" x14ac:dyDescent="0.2">
      <c r="A75" s="595">
        <v>43174</v>
      </c>
      <c r="B75" s="602">
        <v>26966.89</v>
      </c>
    </row>
    <row r="76" spans="1:2" x14ac:dyDescent="0.2">
      <c r="A76" s="595">
        <v>43175</v>
      </c>
      <c r="B76" s="602">
        <v>26966.89</v>
      </c>
    </row>
    <row r="77" spans="1:2" x14ac:dyDescent="0.2">
      <c r="A77" s="595">
        <v>43176</v>
      </c>
      <c r="B77" s="602">
        <v>26966.89</v>
      </c>
    </row>
    <row r="78" spans="1:2" x14ac:dyDescent="0.2">
      <c r="A78" s="595">
        <v>43177</v>
      </c>
      <c r="B78" s="602">
        <v>26966.89</v>
      </c>
    </row>
    <row r="79" spans="1:2" x14ac:dyDescent="0.2">
      <c r="A79" s="595">
        <v>43178</v>
      </c>
      <c r="B79" s="602">
        <v>26966.89</v>
      </c>
    </row>
    <row r="80" spans="1:2" x14ac:dyDescent="0.2">
      <c r="A80" s="595">
        <v>43179</v>
      </c>
      <c r="B80" s="602">
        <v>26966.89</v>
      </c>
    </row>
    <row r="81" spans="1:2" x14ac:dyDescent="0.2">
      <c r="A81" s="595">
        <v>43180</v>
      </c>
      <c r="B81" s="602">
        <v>26966.89</v>
      </c>
    </row>
    <row r="82" spans="1:2" x14ac:dyDescent="0.2">
      <c r="A82" s="595">
        <v>43181</v>
      </c>
      <c r="B82" s="602">
        <v>26966.89</v>
      </c>
    </row>
    <row r="83" spans="1:2" x14ac:dyDescent="0.2">
      <c r="A83" s="595">
        <v>43182</v>
      </c>
      <c r="B83" s="602">
        <v>26966.89</v>
      </c>
    </row>
    <row r="84" spans="1:2" x14ac:dyDescent="0.2">
      <c r="A84" s="595">
        <v>43183</v>
      </c>
      <c r="B84" s="602">
        <v>26966.89</v>
      </c>
    </row>
    <row r="85" spans="1:2" x14ac:dyDescent="0.2">
      <c r="A85" s="595">
        <v>43184</v>
      </c>
      <c r="B85" s="602">
        <v>26966.89</v>
      </c>
    </row>
    <row r="86" spans="1:2" x14ac:dyDescent="0.2">
      <c r="A86" s="595">
        <v>43185</v>
      </c>
      <c r="B86" s="602">
        <v>26966.89</v>
      </c>
    </row>
    <row r="87" spans="1:2" x14ac:dyDescent="0.2">
      <c r="A87" s="595">
        <v>43186</v>
      </c>
      <c r="B87" s="602">
        <v>26966.89</v>
      </c>
    </row>
    <row r="88" spans="1:2" x14ac:dyDescent="0.2">
      <c r="A88" s="595">
        <v>43187</v>
      </c>
      <c r="B88" s="602">
        <v>26966.89</v>
      </c>
    </row>
    <row r="89" spans="1:2" x14ac:dyDescent="0.2">
      <c r="A89" s="595">
        <v>43188</v>
      </c>
      <c r="B89" s="602">
        <v>26966.89</v>
      </c>
    </row>
    <row r="90" spans="1:2" x14ac:dyDescent="0.2">
      <c r="A90" s="595">
        <v>43189</v>
      </c>
      <c r="B90" s="602">
        <v>26966.89</v>
      </c>
    </row>
    <row r="91" spans="1:2" x14ac:dyDescent="0.2">
      <c r="A91" s="595">
        <v>43190</v>
      </c>
      <c r="B91" s="602">
        <v>26966.89</v>
      </c>
    </row>
    <row r="92" spans="1:2" x14ac:dyDescent="0.2">
      <c r="A92" s="595">
        <v>43191</v>
      </c>
      <c r="B92" s="602">
        <v>26966.89</v>
      </c>
    </row>
    <row r="93" spans="1:2" x14ac:dyDescent="0.2">
      <c r="A93" s="595">
        <v>43192</v>
      </c>
      <c r="B93" s="602">
        <v>26966.89</v>
      </c>
    </row>
    <row r="94" spans="1:2" x14ac:dyDescent="0.2">
      <c r="A94" s="595">
        <v>43193</v>
      </c>
      <c r="B94" s="602">
        <v>26966.89</v>
      </c>
    </row>
    <row r="95" spans="1:2" x14ac:dyDescent="0.2">
      <c r="A95" s="595">
        <v>43194</v>
      </c>
      <c r="B95" s="602">
        <v>26966.89</v>
      </c>
    </row>
    <row r="96" spans="1:2" x14ac:dyDescent="0.2">
      <c r="A96" s="595">
        <v>43195</v>
      </c>
      <c r="B96" s="602">
        <v>26966.89</v>
      </c>
    </row>
    <row r="97" spans="1:2" x14ac:dyDescent="0.2">
      <c r="A97" s="595">
        <v>43196</v>
      </c>
      <c r="B97" s="602">
        <v>26966.89</v>
      </c>
    </row>
    <row r="98" spans="1:2" x14ac:dyDescent="0.2">
      <c r="A98" s="595">
        <v>43197</v>
      </c>
      <c r="B98" s="602">
        <v>26966.89</v>
      </c>
    </row>
    <row r="99" spans="1:2" x14ac:dyDescent="0.2">
      <c r="A99" s="595">
        <v>43198</v>
      </c>
      <c r="B99" s="602">
        <v>26966.89</v>
      </c>
    </row>
    <row r="100" spans="1:2" x14ac:dyDescent="0.2">
      <c r="A100" s="595">
        <v>43199</v>
      </c>
      <c r="B100" s="602">
        <v>26966.89</v>
      </c>
    </row>
    <row r="101" spans="1:2" x14ac:dyDescent="0.2">
      <c r="A101" s="595">
        <v>43200</v>
      </c>
      <c r="B101" s="602">
        <v>26968.69</v>
      </c>
    </row>
    <row r="102" spans="1:2" x14ac:dyDescent="0.2">
      <c r="A102" s="595">
        <v>43201</v>
      </c>
      <c r="B102" s="602">
        <v>26970.48</v>
      </c>
    </row>
    <row r="103" spans="1:2" x14ac:dyDescent="0.2">
      <c r="A103" s="595">
        <v>43202</v>
      </c>
      <c r="B103" s="602">
        <v>26972.28</v>
      </c>
    </row>
    <row r="104" spans="1:2" x14ac:dyDescent="0.2">
      <c r="A104" s="595">
        <v>43203</v>
      </c>
      <c r="B104" s="602">
        <v>26974.07</v>
      </c>
    </row>
    <row r="105" spans="1:2" x14ac:dyDescent="0.2">
      <c r="A105" s="595">
        <v>43204</v>
      </c>
      <c r="B105" s="602">
        <v>26975.87</v>
      </c>
    </row>
    <row r="106" spans="1:2" x14ac:dyDescent="0.2">
      <c r="A106" s="595">
        <v>43205</v>
      </c>
      <c r="B106" s="602">
        <v>26977.67</v>
      </c>
    </row>
    <row r="107" spans="1:2" x14ac:dyDescent="0.2">
      <c r="A107" s="595">
        <v>43206</v>
      </c>
      <c r="B107" s="602">
        <v>26979.46</v>
      </c>
    </row>
    <row r="108" spans="1:2" x14ac:dyDescent="0.2">
      <c r="A108" s="595">
        <v>43207</v>
      </c>
      <c r="B108" s="602">
        <v>26981.26</v>
      </c>
    </row>
    <row r="109" spans="1:2" x14ac:dyDescent="0.2">
      <c r="A109" s="595">
        <v>43208</v>
      </c>
      <c r="B109" s="602">
        <v>26983.06</v>
      </c>
    </row>
    <row r="110" spans="1:2" x14ac:dyDescent="0.2">
      <c r="A110" s="595">
        <v>43209</v>
      </c>
      <c r="B110" s="602">
        <v>26984.86</v>
      </c>
    </row>
    <row r="111" spans="1:2" x14ac:dyDescent="0.2">
      <c r="A111" s="595">
        <v>43210</v>
      </c>
      <c r="B111" s="602">
        <v>26986.65</v>
      </c>
    </row>
    <row r="112" spans="1:2" x14ac:dyDescent="0.2">
      <c r="A112" s="595">
        <v>43211</v>
      </c>
      <c r="B112" s="602">
        <v>26988.45</v>
      </c>
    </row>
    <row r="113" spans="1:2" x14ac:dyDescent="0.2">
      <c r="A113" s="595">
        <v>43212</v>
      </c>
      <c r="B113" s="602">
        <v>26990.25</v>
      </c>
    </row>
    <row r="114" spans="1:2" x14ac:dyDescent="0.2">
      <c r="A114" s="595">
        <v>43213</v>
      </c>
      <c r="B114" s="602">
        <v>26992.05</v>
      </c>
    </row>
    <row r="115" spans="1:2" x14ac:dyDescent="0.2">
      <c r="A115" s="595">
        <v>43214</v>
      </c>
      <c r="B115" s="602">
        <v>26993.84</v>
      </c>
    </row>
    <row r="116" spans="1:2" x14ac:dyDescent="0.2">
      <c r="A116" s="595">
        <v>43215</v>
      </c>
      <c r="B116" s="602">
        <v>26995.64</v>
      </c>
    </row>
    <row r="117" spans="1:2" x14ac:dyDescent="0.2">
      <c r="A117" s="595">
        <v>43216</v>
      </c>
      <c r="B117" s="602">
        <v>26997.439999999999</v>
      </c>
    </row>
    <row r="118" spans="1:2" x14ac:dyDescent="0.2">
      <c r="A118" s="595">
        <v>43217</v>
      </c>
      <c r="B118" s="602">
        <v>26999.24</v>
      </c>
    </row>
    <row r="119" spans="1:2" x14ac:dyDescent="0.2">
      <c r="A119" s="595">
        <v>43218</v>
      </c>
      <c r="B119" s="602">
        <v>27001.040000000001</v>
      </c>
    </row>
    <row r="120" spans="1:2" x14ac:dyDescent="0.2">
      <c r="A120" s="595">
        <v>43219</v>
      </c>
      <c r="B120" s="602">
        <v>27002.83</v>
      </c>
    </row>
    <row r="121" spans="1:2" x14ac:dyDescent="0.2">
      <c r="A121" s="595">
        <v>43220</v>
      </c>
      <c r="B121" s="602">
        <v>27004.63</v>
      </c>
    </row>
    <row r="122" spans="1:2" x14ac:dyDescent="0.2">
      <c r="A122" s="595">
        <v>43221</v>
      </c>
      <c r="B122" s="602">
        <v>27006.43</v>
      </c>
    </row>
    <row r="123" spans="1:2" x14ac:dyDescent="0.2">
      <c r="A123" s="595">
        <v>43222</v>
      </c>
      <c r="B123" s="602">
        <v>27008.23</v>
      </c>
    </row>
    <row r="124" spans="1:2" x14ac:dyDescent="0.2">
      <c r="A124" s="595">
        <v>43223</v>
      </c>
      <c r="B124" s="602">
        <v>27010.03</v>
      </c>
    </row>
    <row r="125" spans="1:2" x14ac:dyDescent="0.2">
      <c r="A125" s="595">
        <v>43224</v>
      </c>
      <c r="B125" s="602">
        <v>27011.83</v>
      </c>
    </row>
    <row r="126" spans="1:2" x14ac:dyDescent="0.2">
      <c r="A126" s="595">
        <v>43225</v>
      </c>
      <c r="B126" s="602">
        <v>27013.63</v>
      </c>
    </row>
    <row r="127" spans="1:2" x14ac:dyDescent="0.2">
      <c r="A127" s="595">
        <v>43226</v>
      </c>
      <c r="B127" s="602">
        <v>27015.43</v>
      </c>
    </row>
    <row r="128" spans="1:2" x14ac:dyDescent="0.2">
      <c r="A128" s="595">
        <v>43227</v>
      </c>
      <c r="B128" s="602">
        <v>27017.22</v>
      </c>
    </row>
    <row r="129" spans="1:2" x14ac:dyDescent="0.2">
      <c r="A129" s="595">
        <v>43228</v>
      </c>
      <c r="B129" s="602">
        <v>27019.02</v>
      </c>
    </row>
    <row r="130" spans="1:2" x14ac:dyDescent="0.2">
      <c r="A130" s="595">
        <v>43229</v>
      </c>
      <c r="B130" s="602">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3" tint="0.39997558519241921"/>
  </sheetPr>
  <dimension ref="B3:H31"/>
  <sheetViews>
    <sheetView showGridLines="0" zoomScale="85" zoomScaleNormal="85" workbookViewId="0">
      <selection activeCell="H36" sqref="H36"/>
    </sheetView>
  </sheetViews>
  <sheetFormatPr baseColWidth="10" defaultColWidth="11.42578125" defaultRowHeight="12.75" x14ac:dyDescent="0.2"/>
  <cols>
    <col min="3" max="3" width="127.28515625" customWidth="1"/>
  </cols>
  <sheetData>
    <row r="3" spans="2:3" x14ac:dyDescent="0.2">
      <c r="B3" s="850" t="s">
        <v>1847</v>
      </c>
      <c r="C3" s="386"/>
    </row>
    <row r="5" spans="2:3" x14ac:dyDescent="0.2">
      <c r="B5" s="849" t="s">
        <v>1836</v>
      </c>
      <c r="C5" s="849"/>
    </row>
    <row r="6" spans="2:3" x14ac:dyDescent="0.2">
      <c r="B6" s="849" t="s">
        <v>1837</v>
      </c>
      <c r="C6" s="849"/>
    </row>
    <row r="7" spans="2:3" x14ac:dyDescent="0.2">
      <c r="B7" s="849" t="s">
        <v>1838</v>
      </c>
      <c r="C7" s="849"/>
    </row>
    <row r="8" spans="2:3" x14ac:dyDescent="0.2">
      <c r="B8" s="849" t="s">
        <v>1839</v>
      </c>
      <c r="C8" s="849"/>
    </row>
    <row r="9" spans="2:3" x14ac:dyDescent="0.2">
      <c r="B9" s="849" t="s">
        <v>1840</v>
      </c>
      <c r="C9" s="849"/>
    </row>
    <row r="13" spans="2:3" x14ac:dyDescent="0.2">
      <c r="B13" s="850" t="s">
        <v>1853</v>
      </c>
      <c r="C13" s="386"/>
    </row>
    <row r="15" spans="2:3" x14ac:dyDescent="0.2">
      <c r="B15" s="849" t="s">
        <v>1848</v>
      </c>
      <c r="C15" s="849"/>
    </row>
    <row r="16" spans="2:3" x14ac:dyDescent="0.2">
      <c r="B16" s="849" t="s">
        <v>1849</v>
      </c>
      <c r="C16" s="849"/>
    </row>
    <row r="17" spans="2:8" x14ac:dyDescent="0.2">
      <c r="B17" s="849" t="s">
        <v>1850</v>
      </c>
      <c r="C17" s="849"/>
    </row>
    <row r="18" spans="2:8" x14ac:dyDescent="0.2">
      <c r="B18" s="849" t="s">
        <v>1851</v>
      </c>
      <c r="C18" s="849"/>
    </row>
    <row r="19" spans="2:8" x14ac:dyDescent="0.2">
      <c r="B19" s="849" t="s">
        <v>1852</v>
      </c>
      <c r="C19" s="849"/>
    </row>
    <row r="23" spans="2:8" x14ac:dyDescent="0.2">
      <c r="C23" t="s">
        <v>620</v>
      </c>
      <c r="H23" s="994" t="s">
        <v>2597</v>
      </c>
    </row>
    <row r="25" spans="2:8" x14ac:dyDescent="0.2">
      <c r="H25" t="s">
        <v>2599</v>
      </c>
    </row>
    <row r="26" spans="2:8" x14ac:dyDescent="0.2">
      <c r="H26" t="s">
        <v>2598</v>
      </c>
    </row>
    <row r="29" spans="2:8" x14ac:dyDescent="0.2">
      <c r="H29" s="994" t="s">
        <v>2600</v>
      </c>
    </row>
    <row r="31" spans="2:8" x14ac:dyDescent="0.2">
      <c r="H31" t="s">
        <v>2601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B1:K37"/>
  <sheetViews>
    <sheetView zoomScale="85" zoomScaleNormal="85" workbookViewId="0">
      <selection activeCell="G29" sqref="G29"/>
    </sheetView>
  </sheetViews>
  <sheetFormatPr baseColWidth="10" defaultColWidth="11.42578125" defaultRowHeight="12.75" x14ac:dyDescent="0.2"/>
  <cols>
    <col min="2" max="3" width="48.140625" customWidth="1"/>
    <col min="4" max="5" width="6.7109375" customWidth="1"/>
    <col min="6" max="7" width="48.140625" customWidth="1"/>
  </cols>
  <sheetData>
    <row r="1" spans="2:11" ht="15" x14ac:dyDescent="0.25">
      <c r="B1" s="958" t="s">
        <v>1934</v>
      </c>
      <c r="F1" s="958" t="s">
        <v>1935</v>
      </c>
      <c r="J1" t="s">
        <v>1421</v>
      </c>
      <c r="K1" t="s">
        <v>1758</v>
      </c>
    </row>
    <row r="2" spans="2:11" x14ac:dyDescent="0.2">
      <c r="J2" t="s">
        <v>1520</v>
      </c>
      <c r="K2" t="s">
        <v>1760</v>
      </c>
    </row>
    <row r="3" spans="2:11" ht="14.25" x14ac:dyDescent="0.2">
      <c r="B3" s="959" t="s">
        <v>1936</v>
      </c>
      <c r="C3" s="960" t="s">
        <v>1969</v>
      </c>
      <c r="F3" s="959" t="s">
        <v>1936</v>
      </c>
      <c r="G3" s="960" t="s">
        <v>1969</v>
      </c>
      <c r="J3" t="s">
        <v>1972</v>
      </c>
      <c r="K3" t="s">
        <v>1762</v>
      </c>
    </row>
    <row r="4" spans="2:11" ht="14.25" x14ac:dyDescent="0.2">
      <c r="B4" s="961" t="s">
        <v>1937</v>
      </c>
      <c r="F4" s="961" t="s">
        <v>1937</v>
      </c>
      <c r="J4" t="s">
        <v>1164</v>
      </c>
      <c r="K4" t="s">
        <v>1764</v>
      </c>
    </row>
    <row r="5" spans="2:11" ht="14.25" x14ac:dyDescent="0.2">
      <c r="B5" s="959" t="s">
        <v>1938</v>
      </c>
      <c r="C5" s="983" t="str">
        <f>'FICHA SOLIC'!E39</f>
        <v>Mirador Souper</v>
      </c>
      <c r="F5" s="959" t="s">
        <v>1939</v>
      </c>
      <c r="G5" s="960" t="str">
        <f>'FICHA SOLIC'!E39</f>
        <v>Mirador Souper</v>
      </c>
      <c r="J5" t="s">
        <v>1973</v>
      </c>
      <c r="K5" t="s">
        <v>1766</v>
      </c>
    </row>
    <row r="6" spans="2:11" ht="14.25" x14ac:dyDescent="0.2">
      <c r="B6" s="959" t="s">
        <v>478</v>
      </c>
      <c r="C6" s="983" t="str">
        <f>'FICHA SOLIC'!E37</f>
        <v>Metropolitana de Santiago</v>
      </c>
      <c r="F6" s="959" t="s">
        <v>478</v>
      </c>
      <c r="G6" s="960" t="str">
        <f>'FICHA SOLIC'!E37</f>
        <v>Metropolitana de Santiago</v>
      </c>
      <c r="J6" t="s">
        <v>1974</v>
      </c>
      <c r="K6" t="s">
        <v>1768</v>
      </c>
    </row>
    <row r="7" spans="2:11" ht="14.25" x14ac:dyDescent="0.2">
      <c r="B7" s="959" t="s">
        <v>484</v>
      </c>
      <c r="C7" s="983" t="str">
        <f>'FICHA SOLIC'!E36</f>
        <v>Estación Central</v>
      </c>
      <c r="F7" s="959" t="s">
        <v>484</v>
      </c>
      <c r="G7" s="960" t="str">
        <f>'FICHA SOLIC'!E36</f>
        <v>Estación Central</v>
      </c>
      <c r="J7" t="s">
        <v>1975</v>
      </c>
      <c r="K7" t="s">
        <v>1770</v>
      </c>
    </row>
    <row r="8" spans="2:11" ht="14.25" x14ac:dyDescent="0.2">
      <c r="B8" s="959" t="s">
        <v>1940</v>
      </c>
      <c r="C8" s="984" t="str">
        <f>portadaDir</f>
        <v>Coronel Souper N° 4060</v>
      </c>
      <c r="F8" s="959" t="s">
        <v>1940</v>
      </c>
      <c r="G8" s="960" t="str">
        <f>LEFT(portadaDir,MIN(FIND({0;1;2;3;4;5;6;7;8;9},portadaDir&amp;"0123456789"))-1)</f>
        <v xml:space="preserve">Coronel Souper N° </v>
      </c>
      <c r="J8" t="s">
        <v>1976</v>
      </c>
      <c r="K8" t="s">
        <v>1772</v>
      </c>
    </row>
    <row r="9" spans="2:11" ht="14.25" x14ac:dyDescent="0.2">
      <c r="B9" s="959" t="s">
        <v>2592</v>
      </c>
      <c r="C9" s="985" t="str">
        <f>+C21</f>
        <v>N°2502 B</v>
      </c>
      <c r="F9" s="959" t="s">
        <v>1968</v>
      </c>
      <c r="G9" s="960" t="str">
        <f>RIGHT(portadaDir,LEN(portadaDir)-MIN(FIND({0;1;2;3;4;5;6;7;8;9},portadaDir&amp;"0123456789"))+1)</f>
        <v>4060</v>
      </c>
      <c r="J9" t="s">
        <v>1662</v>
      </c>
      <c r="K9" t="s">
        <v>1774</v>
      </c>
    </row>
    <row r="10" spans="2:11" ht="14.25" x14ac:dyDescent="0.2">
      <c r="B10" s="959" t="s">
        <v>1941</v>
      </c>
      <c r="C10" s="985" t="str">
        <f>RIGHT(Antecedentes!J8,4)</f>
        <v>2018</v>
      </c>
      <c r="F10" s="959" t="s">
        <v>1941</v>
      </c>
      <c r="G10" s="960" t="str">
        <f>RIGHT(Antecedentes!J7,LEN(Antecedentes!J7)-MIN(FIND({" "},Antecedentes!J7&amp;" "))+1)</f>
        <v xml:space="preserve"> 65 28-04-2014</v>
      </c>
      <c r="J10" t="s">
        <v>1977</v>
      </c>
      <c r="K10" t="s">
        <v>1776</v>
      </c>
    </row>
    <row r="11" spans="2:11" ht="14.25" x14ac:dyDescent="0.2">
      <c r="B11" s="959" t="s">
        <v>1942</v>
      </c>
      <c r="C11" s="983" t="str">
        <f>Antecedentes!AT7</f>
        <v>SI</v>
      </c>
      <c r="F11" s="959" t="s">
        <v>1942</v>
      </c>
      <c r="G11" s="960" t="str">
        <f>Antecedentes!AT7</f>
        <v>SI</v>
      </c>
      <c r="J11" t="s">
        <v>1978</v>
      </c>
      <c r="K11" t="s">
        <v>1778</v>
      </c>
    </row>
    <row r="12" spans="2:11" ht="14.25" x14ac:dyDescent="0.2">
      <c r="B12" s="959" t="s">
        <v>1943</v>
      </c>
      <c r="C12" s="983" t="s">
        <v>489</v>
      </c>
      <c r="F12" s="959" t="s">
        <v>1943</v>
      </c>
      <c r="G12" s="960" t="str">
        <f>'FICHA SOLIC'!K34</f>
        <v>No</v>
      </c>
      <c r="J12" t="s">
        <v>1979</v>
      </c>
      <c r="K12" t="s">
        <v>741</v>
      </c>
    </row>
    <row r="13" spans="2:11" ht="14.25" x14ac:dyDescent="0.2">
      <c r="B13" s="959" t="s">
        <v>1944</v>
      </c>
      <c r="C13" s="983" t="str">
        <f>tipoPropiedad</f>
        <v>Departamento</v>
      </c>
      <c r="F13" s="959" t="s">
        <v>1945</v>
      </c>
      <c r="G13" s="960">
        <f>Portada!BK6</f>
        <v>0</v>
      </c>
    </row>
    <row r="14" spans="2:11" ht="14.25" x14ac:dyDescent="0.2">
      <c r="B14" s="959" t="s">
        <v>1946</v>
      </c>
      <c r="C14" s="983" t="str">
        <f>+tipoEstructuraCell</f>
        <v>HORMIGON ARMADO</v>
      </c>
      <c r="F14" s="959" t="s">
        <v>1947</v>
      </c>
      <c r="G14" s="960">
        <f>Portada!BR6</f>
        <v>0</v>
      </c>
    </row>
    <row r="15" spans="2:11" ht="14.25" x14ac:dyDescent="0.2">
      <c r="B15" s="959" t="s">
        <v>1948</v>
      </c>
      <c r="C15" s="983"/>
      <c r="F15" s="959" t="s">
        <v>1949</v>
      </c>
      <c r="G15" s="960" t="str">
        <f>AgrupNombre</f>
        <v>Mirador Souper</v>
      </c>
    </row>
    <row r="16" spans="2:11" ht="14.25" x14ac:dyDescent="0.2">
      <c r="B16" s="961" t="s">
        <v>1950</v>
      </c>
      <c r="F16" s="959" t="s">
        <v>1946</v>
      </c>
      <c r="G16" s="960" t="str">
        <f>VLOOKUP(VLOOKUP("Edificación",Portada!B51:V58,21,),J1:K12,2)</f>
        <v>Albañilería / Madera</v>
      </c>
    </row>
    <row r="17" spans="2:11" ht="14.25" x14ac:dyDescent="0.2">
      <c r="B17" s="959" t="s">
        <v>1951</v>
      </c>
      <c r="C17" s="967">
        <f>Portada!AP69</f>
        <v>1394</v>
      </c>
      <c r="F17" s="959" t="s">
        <v>1948</v>
      </c>
      <c r="G17" s="960" t="e">
        <f>VLOOKUP(VLOOKUP("Edificación",Portada!B52:V58,21,),J1:K12,2)</f>
        <v>#N/A</v>
      </c>
      <c r="K17" t="s">
        <v>1995</v>
      </c>
    </row>
    <row r="18" spans="2:11" ht="14.25" x14ac:dyDescent="0.2">
      <c r="B18" s="959" t="s">
        <v>1952</v>
      </c>
      <c r="C18" s="967">
        <f ca="1">Portada!BG73</f>
        <v>1394</v>
      </c>
    </row>
    <row r="19" spans="2:11" ht="14.25" x14ac:dyDescent="0.2">
      <c r="B19" s="961" t="s">
        <v>1953</v>
      </c>
      <c r="C19" s="226"/>
      <c r="F19" t="s">
        <v>1991</v>
      </c>
    </row>
    <row r="20" spans="2:11" ht="14.25" x14ac:dyDescent="0.2">
      <c r="B20" s="959" t="s">
        <v>1954</v>
      </c>
      <c r="C20" s="967" t="str">
        <f>+rolPropiedad</f>
        <v>694-416</v>
      </c>
      <c r="F20" t="s">
        <v>1989</v>
      </c>
    </row>
    <row r="21" spans="2:11" ht="14.25" x14ac:dyDescent="0.2">
      <c r="B21" s="959" t="s">
        <v>1955</v>
      </c>
      <c r="C21" s="980" t="str">
        <f>+'FICHA SOLIC'!E35</f>
        <v>N°2502 B</v>
      </c>
    </row>
    <row r="22" spans="2:11" ht="14.1" customHeight="1" x14ac:dyDescent="0.2">
      <c r="B22" s="959" t="s">
        <v>1956</v>
      </c>
      <c r="C22" s="978">
        <f>IF(AND(Portada!BI61&lt;&gt;"0,00",Portada!BI61&lt;&gt;"",Portada!BI61&lt;&gt;0),Portada!BI61,0)</f>
        <v>0</v>
      </c>
      <c r="F22" s="966" t="s">
        <v>1990</v>
      </c>
    </row>
    <row r="23" spans="2:11" ht="15" x14ac:dyDescent="0.2">
      <c r="B23" s="959" t="s">
        <v>1957</v>
      </c>
      <c r="C23" s="978">
        <f>IF(AND(Portada!BI61&lt;&gt;"0,00",Portada!BI61&lt;&gt;"",Portada!BI61&lt;&gt;0),Portada!AN61,0)</f>
        <v>0</v>
      </c>
      <c r="F23" s="965">
        <f>+C22+C24+C26-C17</f>
        <v>0</v>
      </c>
    </row>
    <row r="24" spans="2:11" ht="14.25" x14ac:dyDescent="0.2">
      <c r="B24" s="959" t="s">
        <v>1958</v>
      </c>
      <c r="C24" s="978">
        <f>IF(tipoPropiedad="Casa",SUMIF(Portada!B51:B58,"=Edificación",Portada!BI51:BI58),SUMIFS(Portada!BI51:BI58,Portada!Y51:Y58,"&lt;&gt;*"&amp;"no"&amp;"*",Portada!B51:B58,"=Edificación"))</f>
        <v>1394</v>
      </c>
    </row>
    <row r="25" spans="2:11" ht="14.25" x14ac:dyDescent="0.2">
      <c r="B25" s="959" t="s">
        <v>1959</v>
      </c>
      <c r="C25" s="979">
        <f>IF(tipoPropiedad="Casa",SUMIF(Portada!B51:B58,"=Edificación",Portada!AN51:AN58),SUMIFS(Portada!AN51:AN58,Portada!Y51:Y58,"&lt;&gt;*"&amp;"no"&amp;"*",Portada!B51:B58,"=Edificación"))</f>
        <v>41</v>
      </c>
      <c r="F25" t="s">
        <v>1993</v>
      </c>
    </row>
    <row r="26" spans="2:11" ht="14.25" x14ac:dyDescent="0.2">
      <c r="B26" s="959" t="s">
        <v>1960</v>
      </c>
      <c r="C26" s="979">
        <f>IF(SUM(SUMIFS(Portada!BI51:BI58,Portada!Y51:Y58,"&lt;&gt;*"&amp;"no"&amp;"*",Portada!B51:B58,{"Piscina";"OO.CC"}))&gt;0,SUM(SUMIFS(Portada!BI51:BI58,Portada!Y51:Y58,"&lt;&gt;*"&amp;"no"&amp;"*",Portada!B51:B58,{"Piscina";"OO.CC"})),0)</f>
        <v>0</v>
      </c>
    </row>
    <row r="27" spans="2:11" ht="14.25" x14ac:dyDescent="0.2">
      <c r="B27" s="959" t="s">
        <v>1961</v>
      </c>
      <c r="C27" s="977">
        <f>IF(SUM(SUMIFS(Portada!AN51:AN58,Portada!Y51:Y58,"&lt;&gt;*"&amp;"no"&amp;"*",Portada!B51:B58,{"Piscina";"OO.CC"}))&gt;0,SUM(SUMIFS(Portada!AN51:AN58,Portada!Y51:Y58,"&lt;&gt;*"&amp;"no"&amp;"*",Portada!B51:B58,{"Piscina";"OO.CC"})),0)</f>
        <v>0</v>
      </c>
    </row>
    <row r="28" spans="2:11" ht="14.25" x14ac:dyDescent="0.2">
      <c r="B28" s="961" t="s">
        <v>1962</v>
      </c>
    </row>
    <row r="29" spans="2:11" ht="14.25" x14ac:dyDescent="0.2">
      <c r="B29" s="959" t="s">
        <v>1963</v>
      </c>
      <c r="C29" s="977" t="str">
        <f>IFERROR(VLOOKUP("Estac"&amp; "*",Portada!B51:O58,14,"FALSE"),"")</f>
        <v/>
      </c>
    </row>
    <row r="30" spans="2:11" ht="14.25" x14ac:dyDescent="0.2">
      <c r="B30" s="959" t="s">
        <v>1964</v>
      </c>
      <c r="C30" s="977" t="str">
        <f>IFERROR(VLOOKUP("Estac. " &amp; "*",Portada!B51:G58,6,),"")</f>
        <v/>
      </c>
    </row>
    <row r="31" spans="2:11" ht="14.25" x14ac:dyDescent="0.2">
      <c r="B31" s="959" t="s">
        <v>1951</v>
      </c>
      <c r="C31" s="978">
        <f>IFERROR(VLOOKUP("Estac. "&amp;"*",Portada!B51:BI58,60,FALSE),0)</f>
        <v>0</v>
      </c>
    </row>
    <row r="32" spans="2:11" ht="14.25" x14ac:dyDescent="0.2">
      <c r="B32" s="959" t="s">
        <v>1952</v>
      </c>
      <c r="C32" s="978">
        <f>IFERROR(VLOOKUP("Estac. "&amp;"*",Portada!B51:BO58,66,FALSE),0)</f>
        <v>0</v>
      </c>
    </row>
    <row r="33" spans="2:6" ht="14.25" x14ac:dyDescent="0.2">
      <c r="B33" s="961" t="s">
        <v>1965</v>
      </c>
      <c r="C33" s="224"/>
      <c r="F33" s="595"/>
    </row>
    <row r="34" spans="2:6" ht="14.25" x14ac:dyDescent="0.2">
      <c r="B34" s="959" t="s">
        <v>1966</v>
      </c>
      <c r="C34" s="968" t="str">
        <f>IFERROR(VLOOKUP("Bodega",Portada!B51:O58,14,FALSE),"")</f>
        <v/>
      </c>
    </row>
    <row r="35" spans="2:6" ht="14.25" x14ac:dyDescent="0.2">
      <c r="B35" s="959" t="s">
        <v>1967</v>
      </c>
      <c r="C35" s="968" t="str">
        <f>IFERROR(VLOOKUP("Bodega",Portada!B51:G58,6,),"")</f>
        <v/>
      </c>
    </row>
    <row r="36" spans="2:6" ht="14.25" x14ac:dyDescent="0.2">
      <c r="B36" s="959" t="s">
        <v>1951</v>
      </c>
      <c r="C36" s="978">
        <f>IFERROR(VLOOKUP("Bodega",Portada!B51:BI58,60,FALSE),0)</f>
        <v>0</v>
      </c>
    </row>
    <row r="37" spans="2:6" ht="14.25" x14ac:dyDescent="0.2">
      <c r="B37" s="959" t="s">
        <v>1952</v>
      </c>
      <c r="C37" s="978">
        <f>IFERROR(VLOOKUP("Bodega",Portada!B51:BO58,66,FALSE),0)</f>
        <v>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pageSetUpPr fitToPage="1"/>
  </sheetPr>
  <dimension ref="A1:AMJ57"/>
  <sheetViews>
    <sheetView showGridLines="0" topLeftCell="A28" zoomScale="70" zoomScaleNormal="70" workbookViewId="0">
      <selection activeCell="E42" sqref="E42:G42"/>
    </sheetView>
  </sheetViews>
  <sheetFormatPr baseColWidth="10" defaultColWidth="9.140625" defaultRowHeight="15.75" customHeight="1" x14ac:dyDescent="0.2"/>
  <cols>
    <col min="1" max="1" width="14" style="564" customWidth="1"/>
    <col min="2" max="9" width="17.7109375" style="564" customWidth="1"/>
    <col min="10" max="10" width="14" style="564" customWidth="1"/>
    <col min="11" max="1023" width="9.140625" style="564" customWidth="1"/>
    <col min="1024" max="1028" width="9.140625" style="443" customWidth="1"/>
    <col min="1029" max="16384" width="9.140625" style="443"/>
  </cols>
  <sheetData>
    <row r="1" spans="1:1024" ht="22.5" customHeight="1" x14ac:dyDescent="0.2">
      <c r="A1" s="443"/>
      <c r="B1" s="443"/>
      <c r="C1" s="443"/>
      <c r="D1" s="443"/>
      <c r="E1" s="443"/>
      <c r="F1" s="443"/>
      <c r="G1" s="443"/>
      <c r="H1" s="443"/>
      <c r="I1" s="443"/>
    </row>
    <row r="2" spans="1:1024" ht="22.5" customHeight="1" x14ac:dyDescent="0.2">
      <c r="A2" s="443"/>
      <c r="B2" s="443"/>
      <c r="C2" s="443"/>
      <c r="D2" s="443"/>
      <c r="E2" s="443"/>
      <c r="F2" s="443"/>
      <c r="G2" s="443"/>
      <c r="H2" s="443"/>
      <c r="I2" s="443"/>
    </row>
    <row r="3" spans="1:1024" ht="22.5" customHeight="1" x14ac:dyDescent="0.2">
      <c r="A3" s="443"/>
      <c r="B3" s="443"/>
      <c r="C3" s="443"/>
      <c r="D3" s="443"/>
      <c r="E3" s="443"/>
      <c r="F3" s="443"/>
      <c r="G3" s="443"/>
      <c r="H3" s="443"/>
      <c r="I3" s="443"/>
    </row>
    <row r="4" spans="1:1024" ht="22.5" customHeight="1" x14ac:dyDescent="0.2">
      <c r="B4" s="2043" t="s">
        <v>455</v>
      </c>
      <c r="C4" s="2044"/>
      <c r="D4" s="2044"/>
      <c r="E4" s="2044"/>
      <c r="F4" s="2044"/>
      <c r="G4" s="2044"/>
      <c r="H4" s="2044"/>
      <c r="I4" s="2045"/>
      <c r="AQ4" s="565"/>
      <c r="AR4" s="565"/>
      <c r="AS4" s="565"/>
      <c r="AT4" s="565"/>
      <c r="AU4" s="565"/>
      <c r="AV4" s="565"/>
      <c r="AW4" s="565"/>
      <c r="AX4" s="565"/>
      <c r="AY4" s="565"/>
      <c r="AZ4" s="565"/>
      <c r="BA4" s="565"/>
      <c r="BB4" s="565"/>
      <c r="BC4" s="565"/>
      <c r="BD4" s="565"/>
      <c r="BE4" s="565"/>
      <c r="BF4" s="565"/>
      <c r="BG4" s="565"/>
      <c r="BH4" s="565"/>
      <c r="BI4" s="565"/>
      <c r="BJ4" s="565"/>
      <c r="BK4" s="565"/>
      <c r="BL4" s="565"/>
      <c r="BM4" s="565"/>
      <c r="BN4" s="565"/>
      <c r="BO4" s="565"/>
      <c r="BP4" s="565"/>
      <c r="BQ4" s="565"/>
      <c r="BR4" s="565"/>
      <c r="BS4" s="565"/>
      <c r="BT4" s="565"/>
      <c r="BU4" s="565"/>
      <c r="BV4" s="565"/>
      <c r="BW4" s="565"/>
      <c r="BX4" s="565"/>
      <c r="BY4" s="565"/>
      <c r="BZ4" s="565"/>
      <c r="CA4" s="565"/>
      <c r="CB4" s="565"/>
      <c r="CC4" s="565"/>
      <c r="CD4" s="565"/>
      <c r="CE4" s="565"/>
      <c r="CF4" s="565"/>
      <c r="CG4" s="565"/>
      <c r="CH4" s="565"/>
      <c r="CI4" s="565"/>
      <c r="CJ4" s="565"/>
      <c r="CK4" s="565"/>
      <c r="CL4" s="565"/>
      <c r="CM4" s="565"/>
      <c r="CN4" s="565"/>
      <c r="CO4" s="565"/>
      <c r="CP4" s="565"/>
      <c r="CQ4" s="565"/>
      <c r="CR4" s="565"/>
      <c r="CS4" s="565"/>
      <c r="CT4" s="565"/>
      <c r="CU4" s="565"/>
      <c r="CV4" s="565"/>
      <c r="CW4" s="565"/>
      <c r="CX4" s="565"/>
      <c r="CY4" s="565"/>
      <c r="CZ4" s="565"/>
      <c r="DA4" s="565"/>
      <c r="DB4" s="565"/>
      <c r="DC4" s="565"/>
      <c r="DD4" s="565"/>
      <c r="DE4" s="565"/>
      <c r="DF4" s="565"/>
      <c r="DG4" s="565"/>
      <c r="DH4" s="565"/>
      <c r="DI4" s="565"/>
      <c r="DJ4" s="565"/>
      <c r="DK4" s="565"/>
      <c r="DL4" s="565"/>
      <c r="DM4" s="565"/>
      <c r="DN4" s="565"/>
      <c r="DO4" s="565"/>
      <c r="DP4" s="565"/>
      <c r="DQ4" s="565"/>
      <c r="DR4" s="565"/>
      <c r="DS4" s="565"/>
      <c r="DT4" s="565"/>
      <c r="DU4" s="565"/>
      <c r="DV4" s="565"/>
      <c r="DW4" s="565"/>
      <c r="DX4" s="565"/>
      <c r="DY4" s="565"/>
      <c r="DZ4" s="565"/>
      <c r="EA4" s="565"/>
      <c r="EB4" s="565"/>
      <c r="EC4" s="565"/>
      <c r="ED4" s="565"/>
      <c r="EE4" s="565"/>
      <c r="EF4" s="565"/>
      <c r="EG4" s="565"/>
      <c r="EH4" s="565"/>
      <c r="EI4" s="565"/>
      <c r="EJ4" s="565"/>
      <c r="EK4" s="565"/>
      <c r="EL4" s="565"/>
      <c r="EM4" s="565"/>
      <c r="EN4" s="565"/>
      <c r="EO4" s="565"/>
      <c r="EP4" s="565"/>
      <c r="EQ4" s="565"/>
      <c r="ER4" s="565"/>
      <c r="ES4" s="565"/>
      <c r="ET4" s="565"/>
      <c r="EU4" s="565"/>
      <c r="EV4" s="565"/>
      <c r="EW4" s="565"/>
      <c r="EX4" s="565"/>
      <c r="EY4" s="565"/>
      <c r="EZ4" s="565"/>
      <c r="FA4" s="565"/>
      <c r="FB4" s="565"/>
      <c r="FC4" s="565"/>
      <c r="FD4" s="565"/>
      <c r="FE4" s="565"/>
      <c r="FF4" s="565"/>
      <c r="FG4" s="565"/>
      <c r="FH4" s="565"/>
      <c r="FI4" s="565"/>
      <c r="FJ4" s="565"/>
      <c r="FK4" s="565"/>
      <c r="FL4" s="565"/>
      <c r="FM4" s="565"/>
      <c r="FN4" s="565"/>
      <c r="FO4" s="565"/>
      <c r="FP4" s="565"/>
      <c r="FQ4" s="565"/>
      <c r="FR4" s="565"/>
      <c r="FS4" s="565"/>
      <c r="FT4" s="565"/>
      <c r="FU4" s="565"/>
      <c r="FV4" s="565"/>
      <c r="FW4" s="565"/>
      <c r="FX4" s="565"/>
      <c r="FY4" s="565"/>
      <c r="FZ4" s="565"/>
      <c r="GA4" s="565"/>
      <c r="GB4" s="565"/>
      <c r="GC4" s="565"/>
      <c r="GD4" s="565"/>
      <c r="GE4" s="565"/>
      <c r="GF4" s="565"/>
      <c r="GG4" s="565"/>
      <c r="GH4" s="565"/>
      <c r="GI4" s="565"/>
      <c r="GJ4" s="565"/>
      <c r="GK4" s="565"/>
      <c r="GL4" s="565"/>
      <c r="GM4" s="565"/>
      <c r="GN4" s="565"/>
      <c r="GO4" s="565"/>
      <c r="GP4" s="565"/>
      <c r="GQ4" s="565"/>
      <c r="GR4" s="565"/>
      <c r="GS4" s="565"/>
      <c r="GT4" s="565"/>
      <c r="GU4" s="565"/>
      <c r="GV4" s="565"/>
      <c r="GW4" s="565"/>
      <c r="GX4" s="565"/>
      <c r="GY4" s="565"/>
      <c r="GZ4" s="565"/>
      <c r="HA4" s="565"/>
      <c r="HB4" s="565"/>
      <c r="HC4" s="565"/>
      <c r="HD4" s="565"/>
      <c r="HE4" s="565"/>
      <c r="HF4" s="565"/>
      <c r="HG4" s="565"/>
      <c r="HH4" s="565"/>
      <c r="HI4" s="565"/>
      <c r="HJ4" s="565"/>
      <c r="HK4" s="565"/>
      <c r="HL4" s="565"/>
      <c r="HM4" s="565"/>
      <c r="HN4" s="565"/>
      <c r="HO4" s="565"/>
      <c r="HP4" s="565"/>
      <c r="HQ4" s="565"/>
      <c r="HR4" s="565"/>
      <c r="HS4" s="565"/>
      <c r="HT4" s="565"/>
      <c r="HU4" s="565"/>
      <c r="HV4" s="565"/>
      <c r="HW4" s="565"/>
      <c r="HX4" s="565"/>
      <c r="HY4" s="565"/>
      <c r="HZ4" s="565"/>
      <c r="IA4" s="565"/>
      <c r="IB4" s="565"/>
      <c r="IC4" s="565"/>
      <c r="ID4" s="565"/>
      <c r="IE4" s="565"/>
      <c r="IF4" s="565"/>
      <c r="IG4" s="565"/>
      <c r="IH4" s="565"/>
      <c r="II4" s="565"/>
      <c r="IJ4" s="565"/>
      <c r="IK4" s="565"/>
      <c r="IL4" s="565"/>
      <c r="IM4" s="565"/>
      <c r="IN4" s="565"/>
      <c r="IO4" s="565"/>
      <c r="IP4" s="565"/>
      <c r="IQ4" s="565"/>
      <c r="IR4" s="565"/>
      <c r="IS4" s="565"/>
      <c r="IT4" s="565"/>
      <c r="IU4" s="565"/>
      <c r="IV4" s="565"/>
      <c r="IW4" s="565"/>
      <c r="IX4" s="565"/>
      <c r="IY4" s="565"/>
      <c r="IZ4" s="565"/>
      <c r="JA4" s="565"/>
      <c r="JB4" s="565"/>
      <c r="JC4" s="565"/>
      <c r="JD4" s="565"/>
      <c r="JE4" s="565"/>
      <c r="JF4" s="565"/>
      <c r="JG4" s="565"/>
      <c r="JH4" s="565"/>
      <c r="JI4" s="565"/>
      <c r="JJ4" s="565"/>
      <c r="JK4" s="565"/>
      <c r="JL4" s="565"/>
      <c r="JM4" s="565"/>
      <c r="JN4" s="565"/>
      <c r="JO4" s="565"/>
      <c r="JP4" s="565"/>
      <c r="JQ4" s="565"/>
      <c r="JR4" s="565"/>
      <c r="JS4" s="565"/>
      <c r="JT4" s="565"/>
      <c r="JU4" s="565"/>
      <c r="JV4" s="565"/>
      <c r="JW4" s="565"/>
      <c r="JX4" s="565"/>
      <c r="JY4" s="565"/>
      <c r="JZ4" s="565"/>
      <c r="KA4" s="565"/>
      <c r="KB4" s="565"/>
      <c r="KC4" s="565"/>
      <c r="KD4" s="565"/>
      <c r="KE4" s="565"/>
      <c r="KF4" s="565"/>
      <c r="KG4" s="565"/>
      <c r="KH4" s="565"/>
      <c r="KI4" s="565"/>
      <c r="KJ4" s="565"/>
      <c r="KK4" s="565"/>
      <c r="KL4" s="565"/>
      <c r="KM4" s="565"/>
      <c r="KN4" s="565"/>
      <c r="KO4" s="565"/>
      <c r="KP4" s="565"/>
      <c r="KQ4" s="565"/>
      <c r="KR4" s="565"/>
      <c r="KS4" s="565"/>
      <c r="KT4" s="565"/>
      <c r="KU4" s="565"/>
      <c r="KV4" s="565"/>
      <c r="KW4" s="565"/>
      <c r="KX4" s="565"/>
      <c r="KY4" s="565"/>
      <c r="KZ4" s="565"/>
      <c r="LA4" s="565"/>
      <c r="LB4" s="565"/>
      <c r="LC4" s="565"/>
      <c r="LD4" s="565"/>
      <c r="LE4" s="565"/>
      <c r="LF4" s="565"/>
      <c r="LG4" s="565"/>
      <c r="LH4" s="565"/>
      <c r="LI4" s="565"/>
      <c r="LJ4" s="565"/>
      <c r="LK4" s="565"/>
      <c r="LL4" s="565"/>
      <c r="LM4" s="565"/>
      <c r="LN4" s="565"/>
      <c r="LO4" s="565"/>
      <c r="LP4" s="565"/>
      <c r="LQ4" s="565"/>
      <c r="LR4" s="565"/>
      <c r="LS4" s="565"/>
      <c r="LT4" s="565"/>
      <c r="LU4" s="565"/>
      <c r="LV4" s="565"/>
      <c r="LW4" s="565"/>
      <c r="LX4" s="565"/>
      <c r="LY4" s="565"/>
      <c r="LZ4" s="565"/>
      <c r="MA4" s="565"/>
      <c r="MB4" s="565"/>
      <c r="MC4" s="565"/>
      <c r="MD4" s="565"/>
      <c r="ME4" s="565"/>
      <c r="MF4" s="565"/>
      <c r="MG4" s="565"/>
      <c r="MH4" s="565"/>
      <c r="MI4" s="565"/>
      <c r="MJ4" s="565"/>
      <c r="MK4" s="565"/>
      <c r="ML4" s="565"/>
      <c r="MM4" s="565"/>
      <c r="MN4" s="565"/>
      <c r="MO4" s="565"/>
      <c r="MP4" s="565"/>
      <c r="MQ4" s="565"/>
      <c r="MR4" s="565"/>
      <c r="MS4" s="565"/>
      <c r="MT4" s="565"/>
      <c r="MU4" s="565"/>
      <c r="MV4" s="565"/>
      <c r="MW4" s="565"/>
      <c r="MX4" s="565"/>
      <c r="MY4" s="565"/>
      <c r="MZ4" s="565"/>
      <c r="NA4" s="565"/>
      <c r="NB4" s="565"/>
      <c r="NC4" s="565"/>
      <c r="ND4" s="565"/>
      <c r="NE4" s="565"/>
      <c r="NF4" s="565"/>
      <c r="NG4" s="565"/>
      <c r="NH4" s="565"/>
      <c r="NI4" s="565"/>
      <c r="NJ4" s="565"/>
      <c r="NK4" s="565"/>
      <c r="NL4" s="565"/>
      <c r="NM4" s="565"/>
      <c r="NN4" s="565"/>
      <c r="NO4" s="565"/>
      <c r="NP4" s="565"/>
      <c r="NQ4" s="565"/>
      <c r="NR4" s="565"/>
      <c r="NS4" s="565"/>
      <c r="NT4" s="565"/>
      <c r="NU4" s="565"/>
      <c r="NV4" s="565"/>
      <c r="NW4" s="565"/>
      <c r="NX4" s="565"/>
      <c r="NY4" s="565"/>
      <c r="NZ4" s="565"/>
      <c r="OA4" s="565"/>
      <c r="OB4" s="565"/>
      <c r="OC4" s="565"/>
      <c r="OD4" s="565"/>
      <c r="OE4" s="565"/>
      <c r="OF4" s="565"/>
      <c r="OG4" s="565"/>
      <c r="OH4" s="565"/>
      <c r="OI4" s="565"/>
      <c r="OJ4" s="565"/>
      <c r="OK4" s="565"/>
      <c r="OL4" s="565"/>
      <c r="OM4" s="565"/>
      <c r="ON4" s="565"/>
      <c r="OO4" s="565"/>
      <c r="OP4" s="565"/>
      <c r="OQ4" s="565"/>
      <c r="OR4" s="565"/>
      <c r="OS4" s="565"/>
      <c r="OT4" s="565"/>
      <c r="OU4" s="565"/>
      <c r="OV4" s="565"/>
      <c r="OW4" s="565"/>
      <c r="OX4" s="565"/>
      <c r="OY4" s="565"/>
      <c r="OZ4" s="565"/>
      <c r="PA4" s="565"/>
      <c r="PB4" s="565"/>
      <c r="PC4" s="565"/>
      <c r="PD4" s="565"/>
      <c r="PE4" s="565"/>
      <c r="PF4" s="565"/>
      <c r="PG4" s="565"/>
      <c r="PH4" s="565"/>
      <c r="PI4" s="565"/>
      <c r="PJ4" s="565"/>
      <c r="PK4" s="565"/>
      <c r="PL4" s="565"/>
      <c r="PM4" s="565"/>
      <c r="PN4" s="565"/>
      <c r="PO4" s="565"/>
      <c r="PP4" s="565"/>
      <c r="PQ4" s="565"/>
      <c r="PR4" s="565"/>
      <c r="PS4" s="565"/>
      <c r="PT4" s="565"/>
      <c r="PU4" s="565"/>
      <c r="PV4" s="565"/>
      <c r="PW4" s="565"/>
      <c r="PX4" s="565"/>
      <c r="PY4" s="565"/>
      <c r="PZ4" s="565"/>
      <c r="QA4" s="565"/>
      <c r="QB4" s="565"/>
      <c r="QC4" s="565"/>
      <c r="QD4" s="565"/>
      <c r="QE4" s="565"/>
      <c r="QF4" s="565"/>
      <c r="QG4" s="565"/>
      <c r="QH4" s="565"/>
      <c r="QI4" s="565"/>
      <c r="QJ4" s="565"/>
      <c r="QK4" s="565"/>
      <c r="QL4" s="565"/>
      <c r="QM4" s="565"/>
      <c r="QN4" s="565"/>
      <c r="QO4" s="565"/>
      <c r="QP4" s="565"/>
      <c r="QQ4" s="565"/>
      <c r="QR4" s="565"/>
      <c r="QS4" s="565"/>
      <c r="QT4" s="565"/>
      <c r="QU4" s="565"/>
      <c r="QV4" s="565"/>
      <c r="QW4" s="565"/>
      <c r="QX4" s="565"/>
      <c r="QY4" s="565"/>
      <c r="QZ4" s="565"/>
      <c r="RA4" s="565"/>
      <c r="RB4" s="565"/>
      <c r="RC4" s="565"/>
      <c r="RD4" s="565"/>
      <c r="RE4" s="565"/>
      <c r="RF4" s="565"/>
      <c r="RG4" s="565"/>
      <c r="RH4" s="565"/>
      <c r="RI4" s="565"/>
      <c r="RJ4" s="565"/>
      <c r="RK4" s="565"/>
      <c r="RL4" s="565"/>
      <c r="RM4" s="565"/>
      <c r="RN4" s="565"/>
      <c r="RO4" s="565"/>
      <c r="RP4" s="565"/>
      <c r="RQ4" s="565"/>
      <c r="RR4" s="565"/>
      <c r="RS4" s="565"/>
      <c r="RT4" s="565"/>
      <c r="RU4" s="565"/>
      <c r="RV4" s="565"/>
      <c r="RW4" s="565"/>
      <c r="RX4" s="565"/>
      <c r="RY4" s="565"/>
      <c r="RZ4" s="565"/>
      <c r="SA4" s="565"/>
      <c r="SB4" s="565"/>
      <c r="SC4" s="565"/>
      <c r="SD4" s="565"/>
      <c r="SE4" s="565"/>
      <c r="SF4" s="565"/>
      <c r="SG4" s="565"/>
      <c r="SH4" s="565"/>
      <c r="SI4" s="565"/>
      <c r="SJ4" s="565"/>
      <c r="SK4" s="565"/>
      <c r="SL4" s="565"/>
      <c r="SM4" s="565"/>
      <c r="SN4" s="565"/>
      <c r="SO4" s="565"/>
      <c r="SP4" s="565"/>
      <c r="SQ4" s="565"/>
      <c r="SR4" s="565"/>
      <c r="SS4" s="565"/>
      <c r="ST4" s="565"/>
      <c r="SU4" s="565"/>
      <c r="SV4" s="565"/>
      <c r="SW4" s="565"/>
      <c r="SX4" s="565"/>
      <c r="SY4" s="565"/>
      <c r="SZ4" s="565"/>
      <c r="TA4" s="565"/>
      <c r="TB4" s="565"/>
      <c r="TC4" s="565"/>
      <c r="TD4" s="565"/>
      <c r="TE4" s="565"/>
      <c r="TF4" s="565"/>
      <c r="TG4" s="565"/>
      <c r="TH4" s="565"/>
      <c r="TI4" s="565"/>
      <c r="TJ4" s="565"/>
      <c r="TK4" s="565"/>
      <c r="TL4" s="565"/>
      <c r="TM4" s="565"/>
      <c r="TN4" s="565"/>
      <c r="TO4" s="565"/>
      <c r="TP4" s="565"/>
      <c r="TQ4" s="565"/>
      <c r="TR4" s="565"/>
      <c r="TS4" s="565"/>
      <c r="TT4" s="565"/>
      <c r="TU4" s="565"/>
      <c r="TV4" s="565"/>
      <c r="TW4" s="565"/>
      <c r="TX4" s="565"/>
      <c r="TY4" s="565"/>
      <c r="TZ4" s="565"/>
      <c r="UA4" s="565"/>
      <c r="UB4" s="565"/>
      <c r="UC4" s="565"/>
      <c r="UD4" s="565"/>
      <c r="UE4" s="565"/>
      <c r="UF4" s="565"/>
      <c r="UG4" s="565"/>
      <c r="UH4" s="565"/>
      <c r="UI4" s="565"/>
      <c r="UJ4" s="565"/>
      <c r="UK4" s="565"/>
      <c r="UL4" s="565"/>
      <c r="UM4" s="565"/>
      <c r="UN4" s="565"/>
      <c r="UO4" s="565"/>
      <c r="UP4" s="565"/>
      <c r="UQ4" s="565"/>
      <c r="UR4" s="565"/>
      <c r="US4" s="565"/>
      <c r="UT4" s="565"/>
      <c r="UU4" s="565"/>
      <c r="UV4" s="565"/>
      <c r="UW4" s="565"/>
      <c r="UX4" s="565"/>
      <c r="UY4" s="565"/>
      <c r="UZ4" s="565"/>
      <c r="VA4" s="565"/>
      <c r="VB4" s="565"/>
      <c r="VC4" s="565"/>
      <c r="VD4" s="565"/>
      <c r="VE4" s="565"/>
      <c r="VF4" s="565"/>
      <c r="VG4" s="565"/>
      <c r="VH4" s="565"/>
      <c r="VI4" s="565"/>
      <c r="VJ4" s="565"/>
      <c r="VK4" s="565"/>
      <c r="VL4" s="565"/>
      <c r="VM4" s="565"/>
      <c r="VN4" s="565"/>
      <c r="VO4" s="565"/>
      <c r="VP4" s="565"/>
      <c r="VQ4" s="565"/>
      <c r="VR4" s="565"/>
      <c r="VS4" s="565"/>
      <c r="VT4" s="565"/>
      <c r="VU4" s="565"/>
      <c r="VV4" s="565"/>
      <c r="VW4" s="565"/>
      <c r="VX4" s="565"/>
      <c r="VY4" s="565"/>
      <c r="VZ4" s="565"/>
      <c r="WA4" s="565"/>
      <c r="WB4" s="565"/>
      <c r="WC4" s="565"/>
      <c r="WD4" s="565"/>
      <c r="WE4" s="565"/>
      <c r="WF4" s="565"/>
      <c r="WG4" s="565"/>
      <c r="WH4" s="565"/>
      <c r="WI4" s="565"/>
      <c r="WJ4" s="565"/>
      <c r="WK4" s="565"/>
      <c r="WL4" s="565"/>
      <c r="WM4" s="565"/>
      <c r="WN4" s="565"/>
      <c r="WO4" s="565"/>
      <c r="WP4" s="565"/>
      <c r="WQ4" s="565"/>
      <c r="WR4" s="565"/>
      <c r="WS4" s="565"/>
      <c r="WT4" s="565"/>
      <c r="WU4" s="565"/>
      <c r="WV4" s="565"/>
      <c r="WW4" s="565"/>
      <c r="WX4" s="565"/>
      <c r="WY4" s="565"/>
      <c r="WZ4" s="565"/>
      <c r="XA4" s="565"/>
      <c r="XB4" s="565"/>
      <c r="XC4" s="565"/>
      <c r="XD4" s="565"/>
      <c r="XE4" s="565"/>
      <c r="XF4" s="565"/>
      <c r="XG4" s="565"/>
      <c r="XH4" s="565"/>
      <c r="XI4" s="565"/>
      <c r="XJ4" s="565"/>
      <c r="XK4" s="565"/>
      <c r="XL4" s="565"/>
      <c r="XM4" s="565"/>
      <c r="XN4" s="565"/>
      <c r="XO4" s="565"/>
      <c r="XP4" s="565"/>
      <c r="XQ4" s="565"/>
      <c r="XR4" s="565"/>
      <c r="XS4" s="565"/>
      <c r="XT4" s="565"/>
      <c r="XU4" s="565"/>
      <c r="XV4" s="565"/>
      <c r="XW4" s="565"/>
      <c r="XX4" s="565"/>
      <c r="XY4" s="565"/>
      <c r="XZ4" s="565"/>
      <c r="YA4" s="565"/>
      <c r="YB4" s="565"/>
      <c r="YC4" s="565"/>
      <c r="YD4" s="565"/>
      <c r="YE4" s="565"/>
      <c r="YF4" s="565"/>
      <c r="YG4" s="565"/>
      <c r="YH4" s="565"/>
      <c r="YI4" s="565"/>
      <c r="YJ4" s="565"/>
      <c r="YK4" s="565"/>
      <c r="YL4" s="565"/>
      <c r="YM4" s="565"/>
      <c r="YN4" s="565"/>
      <c r="YO4" s="565"/>
      <c r="YP4" s="565"/>
      <c r="YQ4" s="565"/>
      <c r="YR4" s="565"/>
      <c r="YS4" s="565"/>
      <c r="YT4" s="565"/>
      <c r="YU4" s="565"/>
      <c r="YV4" s="565"/>
      <c r="YW4" s="565"/>
      <c r="YX4" s="565"/>
      <c r="YY4" s="565"/>
      <c r="YZ4" s="565"/>
      <c r="ZA4" s="565"/>
      <c r="ZB4" s="565"/>
      <c r="ZC4" s="565"/>
      <c r="ZD4" s="565"/>
      <c r="ZE4" s="565"/>
      <c r="ZF4" s="565"/>
      <c r="ZG4" s="565"/>
      <c r="ZH4" s="565"/>
      <c r="ZI4" s="565"/>
      <c r="ZJ4" s="565"/>
      <c r="ZK4" s="565"/>
      <c r="ZL4" s="565"/>
      <c r="ZM4" s="565"/>
      <c r="ZN4" s="565"/>
      <c r="ZO4" s="565"/>
      <c r="ZP4" s="565"/>
      <c r="ZQ4" s="565"/>
      <c r="ZR4" s="565"/>
      <c r="ZS4" s="565"/>
      <c r="ZT4" s="565"/>
      <c r="ZU4" s="565"/>
      <c r="ZV4" s="565"/>
      <c r="ZW4" s="565"/>
      <c r="ZX4" s="565"/>
      <c r="ZY4" s="565"/>
      <c r="ZZ4" s="565"/>
      <c r="AAA4" s="565"/>
      <c r="AAB4" s="565"/>
      <c r="AAC4" s="565"/>
      <c r="AAD4" s="565"/>
      <c r="AAE4" s="565"/>
      <c r="AAF4" s="565"/>
      <c r="AAG4" s="565"/>
      <c r="AAH4" s="565"/>
      <c r="AAI4" s="565"/>
      <c r="AAJ4" s="565"/>
      <c r="AAK4" s="565"/>
      <c r="AAL4" s="565"/>
      <c r="AAM4" s="565"/>
      <c r="AAN4" s="565"/>
      <c r="AAO4" s="565"/>
      <c r="AAP4" s="565"/>
      <c r="AAQ4" s="565"/>
      <c r="AAR4" s="565"/>
      <c r="AAS4" s="565"/>
      <c r="AAT4" s="565"/>
      <c r="AAU4" s="565"/>
      <c r="AAV4" s="565"/>
      <c r="AAW4" s="565"/>
      <c r="AAX4" s="565"/>
      <c r="AAY4" s="565"/>
      <c r="AAZ4" s="565"/>
      <c r="ABA4" s="565"/>
      <c r="ABB4" s="565"/>
      <c r="ABC4" s="565"/>
      <c r="ABD4" s="565"/>
      <c r="ABE4" s="565"/>
      <c r="ABF4" s="565"/>
      <c r="ABG4" s="565"/>
      <c r="ABH4" s="565"/>
      <c r="ABI4" s="565"/>
      <c r="ABJ4" s="565"/>
      <c r="ABK4" s="565"/>
      <c r="ABL4" s="565"/>
      <c r="ABM4" s="565"/>
      <c r="ABN4" s="565"/>
      <c r="ABO4" s="565"/>
      <c r="ABP4" s="565"/>
      <c r="ABQ4" s="565"/>
      <c r="ABR4" s="565"/>
      <c r="ABS4" s="565"/>
      <c r="ABT4" s="565"/>
      <c r="ABU4" s="565"/>
      <c r="ABV4" s="565"/>
      <c r="ABW4" s="565"/>
      <c r="ABX4" s="565"/>
      <c r="ABY4" s="565"/>
      <c r="ABZ4" s="565"/>
      <c r="ACA4" s="565"/>
      <c r="ACB4" s="565"/>
      <c r="ACC4" s="565"/>
      <c r="ACD4" s="565"/>
      <c r="ACE4" s="565"/>
      <c r="ACF4" s="565"/>
      <c r="ACG4" s="565"/>
      <c r="ACH4" s="565"/>
      <c r="ACI4" s="565"/>
      <c r="ACJ4" s="565"/>
      <c r="ACK4" s="565"/>
      <c r="ACL4" s="565"/>
      <c r="ACM4" s="565"/>
      <c r="ACN4" s="565"/>
      <c r="ACO4" s="565"/>
      <c r="ACP4" s="565"/>
      <c r="ACQ4" s="565"/>
      <c r="ACR4" s="565"/>
      <c r="ACS4" s="565"/>
      <c r="ACT4" s="565"/>
      <c r="ACU4" s="565"/>
      <c r="ACV4" s="565"/>
      <c r="ACW4" s="565"/>
      <c r="ACX4" s="565"/>
      <c r="ACY4" s="565"/>
      <c r="ACZ4" s="565"/>
      <c r="ADA4" s="565"/>
      <c r="ADB4" s="565"/>
      <c r="ADC4" s="565"/>
      <c r="ADD4" s="565"/>
      <c r="ADE4" s="565"/>
      <c r="ADF4" s="565"/>
      <c r="ADG4" s="565"/>
      <c r="ADH4" s="565"/>
      <c r="ADI4" s="565"/>
      <c r="ADJ4" s="565"/>
      <c r="ADK4" s="565"/>
      <c r="ADL4" s="565"/>
      <c r="ADM4" s="565"/>
      <c r="ADN4" s="565"/>
      <c r="ADO4" s="565"/>
      <c r="ADP4" s="565"/>
      <c r="ADQ4" s="565"/>
      <c r="ADR4" s="565"/>
      <c r="ADS4" s="565"/>
      <c r="ADT4" s="565"/>
      <c r="ADU4" s="565"/>
      <c r="ADV4" s="565"/>
      <c r="ADW4" s="565"/>
      <c r="ADX4" s="565"/>
      <c r="ADY4" s="565"/>
      <c r="ADZ4" s="565"/>
      <c r="AEA4" s="565"/>
      <c r="AEB4" s="565"/>
      <c r="AEC4" s="565"/>
      <c r="AED4" s="565"/>
      <c r="AEE4" s="565"/>
      <c r="AEF4" s="565"/>
      <c r="AEG4" s="565"/>
      <c r="AEH4" s="565"/>
      <c r="AEI4" s="565"/>
      <c r="AEJ4" s="565"/>
      <c r="AEK4" s="565"/>
      <c r="AEL4" s="565"/>
      <c r="AEM4" s="565"/>
      <c r="AEN4" s="565"/>
      <c r="AEO4" s="565"/>
      <c r="AEP4" s="565"/>
      <c r="AEQ4" s="565"/>
      <c r="AER4" s="565"/>
      <c r="AES4" s="565"/>
      <c r="AET4" s="565"/>
      <c r="AEU4" s="565"/>
      <c r="AEV4" s="565"/>
      <c r="AEW4" s="565"/>
      <c r="AEX4" s="565"/>
      <c r="AEY4" s="565"/>
      <c r="AEZ4" s="565"/>
      <c r="AFA4" s="565"/>
      <c r="AFB4" s="565"/>
      <c r="AFC4" s="565"/>
      <c r="AFD4" s="565"/>
      <c r="AFE4" s="565"/>
      <c r="AFF4" s="565"/>
      <c r="AFG4" s="565"/>
      <c r="AFH4" s="565"/>
      <c r="AFI4" s="565"/>
      <c r="AFJ4" s="565"/>
      <c r="AFK4" s="565"/>
      <c r="AFL4" s="565"/>
      <c r="AFM4" s="565"/>
      <c r="AFN4" s="565"/>
      <c r="AFO4" s="565"/>
      <c r="AFP4" s="565"/>
      <c r="AFQ4" s="565"/>
      <c r="AFR4" s="565"/>
      <c r="AFS4" s="565"/>
      <c r="AFT4" s="565"/>
      <c r="AFU4" s="565"/>
      <c r="AFV4" s="565"/>
      <c r="AFW4" s="565"/>
      <c r="AFX4" s="565"/>
      <c r="AFY4" s="565"/>
      <c r="AFZ4" s="565"/>
      <c r="AGA4" s="565"/>
      <c r="AGB4" s="565"/>
      <c r="AGC4" s="565"/>
      <c r="AGD4" s="565"/>
      <c r="AGE4" s="565"/>
      <c r="AGF4" s="565"/>
      <c r="AGG4" s="565"/>
      <c r="AGH4" s="565"/>
      <c r="AGI4" s="565"/>
      <c r="AGJ4" s="565"/>
      <c r="AGK4" s="565"/>
      <c r="AGL4" s="565"/>
      <c r="AGM4" s="565"/>
      <c r="AGN4" s="565"/>
      <c r="AGO4" s="565"/>
      <c r="AGP4" s="565"/>
      <c r="AGQ4" s="565"/>
      <c r="AGR4" s="565"/>
      <c r="AGS4" s="565"/>
      <c r="AGT4" s="565"/>
      <c r="AGU4" s="565"/>
      <c r="AGV4" s="565"/>
      <c r="AGW4" s="565"/>
      <c r="AGX4" s="565"/>
      <c r="AGY4" s="565"/>
      <c r="AGZ4" s="565"/>
      <c r="AHA4" s="565"/>
      <c r="AHB4" s="565"/>
      <c r="AHC4" s="565"/>
      <c r="AHD4" s="565"/>
      <c r="AHE4" s="565"/>
      <c r="AHF4" s="565"/>
      <c r="AHG4" s="565"/>
      <c r="AHH4" s="565"/>
      <c r="AHI4" s="565"/>
      <c r="AHJ4" s="565"/>
      <c r="AHK4" s="565"/>
      <c r="AHL4" s="565"/>
      <c r="AHM4" s="565"/>
      <c r="AHN4" s="565"/>
      <c r="AHO4" s="565"/>
      <c r="AHP4" s="565"/>
      <c r="AHQ4" s="565"/>
      <c r="AHR4" s="565"/>
      <c r="AHS4" s="565"/>
      <c r="AHT4" s="565"/>
      <c r="AHU4" s="565"/>
      <c r="AHV4" s="565"/>
      <c r="AHW4" s="565"/>
      <c r="AHX4" s="565"/>
      <c r="AHY4" s="565"/>
      <c r="AHZ4" s="565"/>
      <c r="AIA4" s="565"/>
      <c r="AIB4" s="565"/>
      <c r="AIC4" s="565"/>
      <c r="AID4" s="565"/>
      <c r="AIE4" s="565"/>
      <c r="AIF4" s="565"/>
      <c r="AIG4" s="565"/>
      <c r="AIH4" s="565"/>
      <c r="AII4" s="565"/>
      <c r="AIJ4" s="565"/>
      <c r="AIK4" s="565"/>
      <c r="AIL4" s="565"/>
      <c r="AIM4" s="565"/>
      <c r="AIN4" s="565"/>
      <c r="AIO4" s="565"/>
      <c r="AIP4" s="565"/>
      <c r="AIQ4" s="565"/>
      <c r="AIR4" s="565"/>
      <c r="AIS4" s="565"/>
      <c r="AIT4" s="565"/>
      <c r="AIU4" s="565"/>
      <c r="AIV4" s="565"/>
      <c r="AIW4" s="565"/>
      <c r="AIX4" s="565"/>
      <c r="AIY4" s="565"/>
      <c r="AIZ4" s="565"/>
      <c r="AJA4" s="565"/>
      <c r="AJB4" s="565"/>
      <c r="AJC4" s="565"/>
      <c r="AJD4" s="565"/>
      <c r="AJE4" s="565"/>
      <c r="AJF4" s="565"/>
      <c r="AJG4" s="565"/>
      <c r="AJH4" s="565"/>
      <c r="AJI4" s="565"/>
      <c r="AJJ4" s="565"/>
      <c r="AJK4" s="565"/>
      <c r="AJL4" s="565"/>
      <c r="AJM4" s="565"/>
      <c r="AJN4" s="565"/>
      <c r="AJO4" s="565"/>
      <c r="AJP4" s="565"/>
      <c r="AJQ4" s="565"/>
      <c r="AJR4" s="565"/>
      <c r="AJS4" s="565"/>
      <c r="AJT4" s="565"/>
      <c r="AJU4" s="565"/>
      <c r="AJV4" s="565"/>
      <c r="AJW4" s="565"/>
      <c r="AJX4" s="565"/>
      <c r="AJY4" s="565"/>
      <c r="AJZ4" s="565"/>
      <c r="AKA4" s="565"/>
      <c r="AKB4" s="565"/>
      <c r="AKC4" s="565"/>
      <c r="AKD4" s="565"/>
      <c r="AKE4" s="565"/>
      <c r="AKF4" s="565"/>
      <c r="AKG4" s="565"/>
      <c r="AKH4" s="565"/>
      <c r="AKI4" s="565"/>
      <c r="AKJ4" s="565"/>
      <c r="AKK4" s="565"/>
      <c r="AKL4" s="565"/>
      <c r="AKM4" s="565"/>
      <c r="AKN4" s="565"/>
      <c r="AKO4" s="565"/>
      <c r="AKP4" s="565"/>
      <c r="AKQ4" s="565"/>
      <c r="AKR4" s="565"/>
      <c r="AKS4" s="565"/>
      <c r="AKT4" s="565"/>
      <c r="AKU4" s="565"/>
      <c r="AKV4" s="565"/>
      <c r="AKW4" s="565"/>
      <c r="AKX4" s="565"/>
      <c r="AKY4" s="565"/>
      <c r="AKZ4" s="565"/>
      <c r="ALA4" s="565"/>
      <c r="ALB4" s="565"/>
      <c r="ALC4" s="565"/>
      <c r="ALD4" s="565"/>
      <c r="ALE4" s="565"/>
      <c r="ALF4" s="565"/>
      <c r="ALG4" s="565"/>
      <c r="ALH4" s="565"/>
      <c r="ALI4" s="565"/>
      <c r="ALJ4" s="565"/>
      <c r="ALK4" s="565"/>
      <c r="ALL4" s="565"/>
      <c r="ALM4" s="565"/>
      <c r="ALN4" s="565"/>
      <c r="ALO4" s="565"/>
      <c r="ALP4" s="565"/>
      <c r="ALQ4" s="565"/>
      <c r="ALR4" s="565"/>
      <c r="ALS4" s="565"/>
      <c r="ALT4" s="565"/>
      <c r="ALU4" s="565"/>
      <c r="ALV4" s="565"/>
      <c r="ALW4" s="565"/>
      <c r="ALX4" s="565"/>
      <c r="ALY4" s="565"/>
      <c r="ALZ4" s="565"/>
      <c r="AMA4" s="565"/>
      <c r="AMB4" s="565"/>
      <c r="AMC4" s="565"/>
      <c r="AMD4" s="565"/>
      <c r="AME4" s="565"/>
      <c r="AMF4" s="565"/>
      <c r="AMG4" s="565"/>
      <c r="AMH4" s="565"/>
      <c r="AMI4" s="565"/>
      <c r="AMJ4" s="566"/>
    </row>
    <row r="5" spans="1:1024" ht="22.5" customHeight="1" x14ac:dyDescent="0.2">
      <c r="A5" s="539"/>
      <c r="B5" s="2046"/>
      <c r="C5" s="2047"/>
      <c r="D5" s="2047"/>
      <c r="E5" s="2047"/>
      <c r="F5" s="2047"/>
      <c r="G5" s="2047"/>
      <c r="H5" s="2047"/>
      <c r="I5" s="2048"/>
      <c r="AQ5" s="567"/>
      <c r="AR5" s="567"/>
      <c r="AS5" s="567"/>
      <c r="AT5" s="567"/>
      <c r="AU5" s="567"/>
      <c r="AV5" s="567"/>
      <c r="AW5" s="567"/>
      <c r="AX5" s="567"/>
      <c r="AY5" s="567"/>
      <c r="AZ5" s="567"/>
      <c r="BA5" s="567"/>
      <c r="BB5" s="567"/>
      <c r="BC5" s="567"/>
      <c r="BD5" s="567"/>
      <c r="BE5" s="567"/>
      <c r="BF5" s="567"/>
      <c r="BG5" s="567"/>
      <c r="BH5" s="567"/>
      <c r="BI5" s="567"/>
      <c r="BJ5" s="567"/>
      <c r="BK5" s="567"/>
      <c r="BL5" s="567"/>
      <c r="BM5" s="567"/>
      <c r="BN5" s="567"/>
      <c r="BO5" s="567"/>
      <c r="BP5" s="567"/>
      <c r="BQ5" s="567"/>
      <c r="BR5" s="567"/>
      <c r="BS5" s="567"/>
      <c r="BT5" s="567"/>
      <c r="BU5" s="567"/>
      <c r="BV5" s="567"/>
      <c r="BW5" s="567"/>
      <c r="BX5" s="567"/>
      <c r="BY5" s="567"/>
      <c r="BZ5" s="567"/>
      <c r="CA5" s="567"/>
      <c r="CB5" s="567"/>
      <c r="CC5" s="567"/>
      <c r="CD5" s="567"/>
      <c r="CE5" s="567"/>
      <c r="CF5" s="567"/>
      <c r="CG5" s="567"/>
      <c r="CH5" s="567"/>
      <c r="CI5" s="567"/>
      <c r="CJ5" s="567"/>
      <c r="CK5" s="567"/>
      <c r="CL5" s="567"/>
      <c r="CM5" s="567"/>
      <c r="CN5" s="567"/>
      <c r="CO5" s="567"/>
      <c r="CP5" s="567"/>
      <c r="CQ5" s="567"/>
      <c r="CR5" s="567"/>
      <c r="CS5" s="567"/>
      <c r="CT5" s="567"/>
      <c r="CU5" s="567"/>
      <c r="CV5" s="567"/>
      <c r="CW5" s="567"/>
      <c r="CX5" s="567"/>
      <c r="CY5" s="567"/>
      <c r="CZ5" s="567"/>
      <c r="DA5" s="567"/>
      <c r="DB5" s="567"/>
      <c r="DC5" s="567"/>
      <c r="DD5" s="567"/>
      <c r="DE5" s="567"/>
      <c r="DF5" s="567"/>
      <c r="DG5" s="567"/>
      <c r="DH5" s="567"/>
      <c r="DI5" s="567"/>
      <c r="DJ5" s="567"/>
      <c r="DK5" s="567"/>
      <c r="DL5" s="567"/>
      <c r="DM5" s="567"/>
      <c r="DN5" s="567"/>
      <c r="DO5" s="567"/>
      <c r="DP5" s="567"/>
      <c r="DQ5" s="567"/>
      <c r="DR5" s="567"/>
      <c r="DS5" s="567"/>
      <c r="DT5" s="567"/>
      <c r="DU5" s="567"/>
      <c r="DV5" s="567"/>
      <c r="DW5" s="567"/>
      <c r="DX5" s="567"/>
      <c r="DY5" s="567"/>
      <c r="DZ5" s="567"/>
      <c r="EA5" s="567"/>
      <c r="EB5" s="567"/>
      <c r="EC5" s="567"/>
      <c r="ED5" s="567"/>
      <c r="EE5" s="567"/>
      <c r="EF5" s="567"/>
      <c r="EG5" s="567"/>
      <c r="EH5" s="567"/>
      <c r="EI5" s="567"/>
      <c r="EJ5" s="567"/>
      <c r="EK5" s="567"/>
      <c r="EL5" s="567"/>
      <c r="EM5" s="567"/>
      <c r="EN5" s="567"/>
      <c r="EO5" s="567"/>
      <c r="EP5" s="567"/>
      <c r="EQ5" s="567"/>
      <c r="ER5" s="567"/>
      <c r="ES5" s="567"/>
      <c r="ET5" s="567"/>
      <c r="EU5" s="567"/>
      <c r="EV5" s="567"/>
      <c r="EW5" s="567"/>
      <c r="EX5" s="567"/>
      <c r="EY5" s="567"/>
      <c r="EZ5" s="567"/>
      <c r="FA5" s="567"/>
      <c r="FB5" s="567"/>
      <c r="FC5" s="567"/>
      <c r="FD5" s="567"/>
      <c r="FE5" s="567"/>
      <c r="FF5" s="567"/>
      <c r="FG5" s="567"/>
      <c r="FH5" s="567"/>
      <c r="FI5" s="567"/>
      <c r="FJ5" s="567"/>
      <c r="FK5" s="567"/>
      <c r="FL5" s="567"/>
      <c r="FM5" s="567"/>
      <c r="FN5" s="567"/>
      <c r="FO5" s="567"/>
      <c r="FP5" s="567"/>
      <c r="FQ5" s="567"/>
      <c r="FR5" s="567"/>
      <c r="FS5" s="567"/>
      <c r="FT5" s="567"/>
      <c r="FU5" s="567"/>
      <c r="FV5" s="567"/>
      <c r="FW5" s="567"/>
      <c r="FX5" s="567"/>
      <c r="FY5" s="567"/>
      <c r="FZ5" s="567"/>
      <c r="GA5" s="567"/>
      <c r="GB5" s="567"/>
      <c r="GC5" s="567"/>
      <c r="GD5" s="567"/>
      <c r="GE5" s="567"/>
      <c r="GF5" s="567"/>
      <c r="GG5" s="567"/>
      <c r="GH5" s="567"/>
      <c r="GI5" s="567"/>
      <c r="GJ5" s="567"/>
      <c r="GK5" s="567"/>
      <c r="GL5" s="567"/>
      <c r="GM5" s="567"/>
      <c r="GN5" s="567"/>
      <c r="GO5" s="567"/>
      <c r="GP5" s="567"/>
      <c r="GQ5" s="567"/>
      <c r="GR5" s="567"/>
      <c r="GS5" s="567"/>
      <c r="GT5" s="567"/>
      <c r="GU5" s="567"/>
      <c r="GV5" s="567"/>
      <c r="GW5" s="567"/>
      <c r="GX5" s="567"/>
      <c r="GY5" s="567"/>
      <c r="GZ5" s="567"/>
      <c r="HA5" s="567"/>
      <c r="HB5" s="567"/>
      <c r="HC5" s="567"/>
      <c r="HD5" s="567"/>
      <c r="HE5" s="567"/>
      <c r="HF5" s="567"/>
      <c r="HG5" s="567"/>
      <c r="HH5" s="567"/>
      <c r="HI5" s="567"/>
      <c r="HJ5" s="567"/>
      <c r="HK5" s="567"/>
      <c r="HL5" s="567"/>
      <c r="HM5" s="567"/>
      <c r="HN5" s="567"/>
      <c r="HO5" s="567"/>
      <c r="HP5" s="567"/>
      <c r="HQ5" s="567"/>
      <c r="HR5" s="567"/>
      <c r="HS5" s="567"/>
      <c r="HT5" s="567"/>
      <c r="HU5" s="567"/>
      <c r="HV5" s="567"/>
      <c r="HW5" s="567"/>
      <c r="HX5" s="567"/>
      <c r="HY5" s="567"/>
      <c r="HZ5" s="567"/>
      <c r="IA5" s="567"/>
      <c r="IB5" s="567"/>
      <c r="IC5" s="567"/>
      <c r="ID5" s="567"/>
      <c r="IE5" s="567"/>
      <c r="IF5" s="567"/>
      <c r="IG5" s="567"/>
      <c r="IH5" s="567"/>
      <c r="II5" s="567"/>
      <c r="IJ5" s="567"/>
      <c r="IK5" s="567"/>
      <c r="IL5" s="567"/>
      <c r="IM5" s="567"/>
      <c r="IN5" s="567"/>
      <c r="IO5" s="567"/>
      <c r="IP5" s="567"/>
      <c r="IQ5" s="567"/>
      <c r="IR5" s="567"/>
      <c r="IS5" s="567"/>
      <c r="IT5" s="567"/>
      <c r="IU5" s="567"/>
      <c r="IV5" s="567"/>
      <c r="IW5" s="567"/>
      <c r="IX5" s="567"/>
      <c r="IY5" s="567"/>
      <c r="IZ5" s="567"/>
      <c r="JA5" s="567"/>
      <c r="JB5" s="567"/>
      <c r="JC5" s="567"/>
      <c r="JD5" s="567"/>
      <c r="JE5" s="567"/>
      <c r="JF5" s="567"/>
      <c r="JG5" s="567"/>
      <c r="JH5" s="567"/>
      <c r="JI5" s="567"/>
      <c r="JJ5" s="567"/>
      <c r="JK5" s="567"/>
      <c r="JL5" s="567"/>
      <c r="JM5" s="567"/>
      <c r="JN5" s="567"/>
      <c r="JO5" s="567"/>
      <c r="JP5" s="567"/>
      <c r="JQ5" s="567"/>
      <c r="JR5" s="567"/>
      <c r="JS5" s="567"/>
      <c r="JT5" s="567"/>
      <c r="JU5" s="567"/>
      <c r="JV5" s="567"/>
      <c r="JW5" s="567"/>
      <c r="JX5" s="567"/>
      <c r="JY5" s="567"/>
      <c r="JZ5" s="567"/>
      <c r="KA5" s="567"/>
      <c r="KB5" s="567"/>
      <c r="KC5" s="567"/>
      <c r="KD5" s="567"/>
      <c r="KE5" s="567"/>
      <c r="KF5" s="567"/>
      <c r="KG5" s="567"/>
      <c r="KH5" s="567"/>
      <c r="KI5" s="567"/>
      <c r="KJ5" s="567"/>
      <c r="KK5" s="567"/>
      <c r="KL5" s="567"/>
      <c r="KM5" s="567"/>
      <c r="KN5" s="567"/>
      <c r="KO5" s="567"/>
      <c r="KP5" s="567"/>
      <c r="KQ5" s="567"/>
      <c r="KR5" s="567"/>
      <c r="KS5" s="567"/>
      <c r="KT5" s="567"/>
      <c r="KU5" s="567"/>
      <c r="KV5" s="567"/>
      <c r="KW5" s="567"/>
      <c r="KX5" s="567"/>
      <c r="KY5" s="567"/>
      <c r="KZ5" s="567"/>
      <c r="LA5" s="567"/>
      <c r="LB5" s="567"/>
      <c r="LC5" s="567"/>
      <c r="LD5" s="567"/>
      <c r="LE5" s="567"/>
      <c r="LF5" s="567"/>
      <c r="LG5" s="567"/>
      <c r="LH5" s="567"/>
      <c r="LI5" s="567"/>
      <c r="LJ5" s="567"/>
      <c r="LK5" s="567"/>
      <c r="LL5" s="567"/>
      <c r="LM5" s="567"/>
      <c r="LN5" s="567"/>
      <c r="LO5" s="567"/>
      <c r="LP5" s="567"/>
      <c r="LQ5" s="567"/>
      <c r="LR5" s="567"/>
      <c r="LS5" s="567"/>
      <c r="LT5" s="567"/>
      <c r="LU5" s="567"/>
      <c r="LV5" s="567"/>
      <c r="LW5" s="567"/>
      <c r="LX5" s="567"/>
      <c r="LY5" s="567"/>
      <c r="LZ5" s="567"/>
      <c r="MA5" s="567"/>
      <c r="MB5" s="567"/>
      <c r="MC5" s="567"/>
      <c r="MD5" s="567"/>
      <c r="ME5" s="567"/>
      <c r="MF5" s="567"/>
      <c r="MG5" s="567"/>
      <c r="MH5" s="567"/>
      <c r="MI5" s="567"/>
      <c r="MJ5" s="567"/>
      <c r="MK5" s="567"/>
      <c r="ML5" s="567"/>
      <c r="MM5" s="567"/>
      <c r="MN5" s="567"/>
      <c r="MO5" s="567"/>
      <c r="MP5" s="567"/>
      <c r="MQ5" s="567"/>
      <c r="MR5" s="567"/>
      <c r="MS5" s="567"/>
      <c r="MT5" s="567"/>
      <c r="MU5" s="567"/>
      <c r="MV5" s="567"/>
      <c r="MW5" s="567"/>
      <c r="MX5" s="567"/>
      <c r="MY5" s="567"/>
      <c r="MZ5" s="567"/>
      <c r="NA5" s="567"/>
      <c r="NB5" s="567"/>
      <c r="NC5" s="567"/>
      <c r="ND5" s="567"/>
      <c r="NE5" s="567"/>
      <c r="NF5" s="567"/>
      <c r="NG5" s="567"/>
      <c r="NH5" s="567"/>
      <c r="NI5" s="567"/>
      <c r="NJ5" s="567"/>
      <c r="NK5" s="567"/>
      <c r="NL5" s="567"/>
      <c r="NM5" s="567"/>
      <c r="NN5" s="567"/>
      <c r="NO5" s="567"/>
      <c r="NP5" s="567"/>
      <c r="NQ5" s="567"/>
      <c r="NR5" s="567"/>
      <c r="NS5" s="567"/>
      <c r="NT5" s="567"/>
      <c r="NU5" s="567"/>
      <c r="NV5" s="567"/>
      <c r="NW5" s="567"/>
      <c r="NX5" s="567"/>
      <c r="NY5" s="567"/>
      <c r="NZ5" s="567"/>
      <c r="OA5" s="567"/>
      <c r="OB5" s="567"/>
      <c r="OC5" s="567"/>
      <c r="OD5" s="567"/>
      <c r="OE5" s="567"/>
      <c r="OF5" s="567"/>
      <c r="OG5" s="567"/>
      <c r="OH5" s="567"/>
      <c r="OI5" s="567"/>
      <c r="OJ5" s="567"/>
      <c r="OK5" s="567"/>
      <c r="OL5" s="567"/>
      <c r="OM5" s="567"/>
      <c r="ON5" s="567"/>
      <c r="OO5" s="567"/>
      <c r="OP5" s="567"/>
      <c r="OQ5" s="567"/>
      <c r="OR5" s="567"/>
      <c r="OS5" s="567"/>
      <c r="OT5" s="567"/>
      <c r="OU5" s="567"/>
      <c r="OV5" s="567"/>
      <c r="OW5" s="567"/>
      <c r="OX5" s="567"/>
      <c r="OY5" s="567"/>
      <c r="OZ5" s="567"/>
      <c r="PA5" s="567"/>
      <c r="PB5" s="567"/>
      <c r="PC5" s="567"/>
      <c r="PD5" s="567"/>
      <c r="PE5" s="567"/>
      <c r="PF5" s="567"/>
      <c r="PG5" s="567"/>
      <c r="PH5" s="567"/>
      <c r="PI5" s="567"/>
      <c r="PJ5" s="567"/>
      <c r="PK5" s="567"/>
      <c r="PL5" s="567"/>
      <c r="PM5" s="567"/>
      <c r="PN5" s="567"/>
      <c r="PO5" s="567"/>
      <c r="PP5" s="567"/>
      <c r="PQ5" s="567"/>
      <c r="PR5" s="567"/>
      <c r="PS5" s="567"/>
      <c r="PT5" s="567"/>
      <c r="PU5" s="567"/>
      <c r="PV5" s="567"/>
      <c r="PW5" s="567"/>
      <c r="PX5" s="567"/>
      <c r="PY5" s="567"/>
      <c r="PZ5" s="567"/>
      <c r="QA5" s="567"/>
      <c r="QB5" s="567"/>
      <c r="QC5" s="567"/>
      <c r="QD5" s="567"/>
      <c r="QE5" s="567"/>
      <c r="QF5" s="567"/>
      <c r="QG5" s="567"/>
      <c r="QH5" s="567"/>
      <c r="QI5" s="567"/>
      <c r="QJ5" s="567"/>
      <c r="QK5" s="567"/>
      <c r="QL5" s="567"/>
      <c r="QM5" s="567"/>
      <c r="QN5" s="567"/>
      <c r="QO5" s="567"/>
      <c r="QP5" s="567"/>
      <c r="QQ5" s="567"/>
      <c r="QR5" s="567"/>
      <c r="QS5" s="567"/>
      <c r="QT5" s="567"/>
      <c r="QU5" s="567"/>
      <c r="QV5" s="567"/>
      <c r="QW5" s="567"/>
      <c r="QX5" s="567"/>
      <c r="QY5" s="567"/>
      <c r="QZ5" s="567"/>
      <c r="RA5" s="567"/>
      <c r="RB5" s="567"/>
      <c r="RC5" s="567"/>
      <c r="RD5" s="567"/>
      <c r="RE5" s="567"/>
      <c r="RF5" s="567"/>
      <c r="RG5" s="567"/>
      <c r="RH5" s="567"/>
      <c r="RI5" s="567"/>
      <c r="RJ5" s="567"/>
      <c r="RK5" s="567"/>
      <c r="RL5" s="567"/>
      <c r="RM5" s="567"/>
      <c r="RN5" s="567"/>
      <c r="RO5" s="567"/>
      <c r="RP5" s="567"/>
      <c r="RQ5" s="567"/>
      <c r="RR5" s="567"/>
      <c r="RS5" s="567"/>
      <c r="RT5" s="567"/>
      <c r="RU5" s="567"/>
      <c r="RV5" s="567"/>
      <c r="RW5" s="567"/>
      <c r="RX5" s="567"/>
      <c r="RY5" s="567"/>
      <c r="RZ5" s="567"/>
      <c r="SA5" s="567"/>
      <c r="SB5" s="567"/>
      <c r="SC5" s="567"/>
      <c r="SD5" s="567"/>
      <c r="SE5" s="567"/>
      <c r="SF5" s="567"/>
      <c r="SG5" s="567"/>
      <c r="SH5" s="567"/>
      <c r="SI5" s="567"/>
      <c r="SJ5" s="567"/>
      <c r="SK5" s="567"/>
      <c r="SL5" s="567"/>
      <c r="SM5" s="567"/>
      <c r="SN5" s="567"/>
      <c r="SO5" s="567"/>
      <c r="SP5" s="567"/>
      <c r="SQ5" s="567"/>
      <c r="SR5" s="567"/>
      <c r="SS5" s="567"/>
      <c r="ST5" s="567"/>
      <c r="SU5" s="567"/>
      <c r="SV5" s="567"/>
      <c r="SW5" s="567"/>
      <c r="SX5" s="567"/>
      <c r="SY5" s="567"/>
      <c r="SZ5" s="567"/>
      <c r="TA5" s="567"/>
      <c r="TB5" s="567"/>
      <c r="TC5" s="567"/>
      <c r="TD5" s="567"/>
      <c r="TE5" s="567"/>
      <c r="TF5" s="567"/>
      <c r="TG5" s="567"/>
      <c r="TH5" s="567"/>
      <c r="TI5" s="567"/>
      <c r="TJ5" s="567"/>
      <c r="TK5" s="567"/>
      <c r="TL5" s="567"/>
      <c r="TM5" s="567"/>
      <c r="TN5" s="567"/>
      <c r="TO5" s="567"/>
      <c r="TP5" s="567"/>
      <c r="TQ5" s="567"/>
      <c r="TR5" s="567"/>
      <c r="TS5" s="567"/>
      <c r="TT5" s="567"/>
      <c r="TU5" s="567"/>
      <c r="TV5" s="567"/>
      <c r="TW5" s="567"/>
      <c r="TX5" s="567"/>
      <c r="TY5" s="567"/>
      <c r="TZ5" s="567"/>
      <c r="UA5" s="567"/>
      <c r="UB5" s="567"/>
      <c r="UC5" s="567"/>
      <c r="UD5" s="567"/>
      <c r="UE5" s="567"/>
      <c r="UF5" s="567"/>
      <c r="UG5" s="567"/>
      <c r="UH5" s="567"/>
      <c r="UI5" s="567"/>
      <c r="UJ5" s="567"/>
      <c r="UK5" s="567"/>
      <c r="UL5" s="567"/>
      <c r="UM5" s="567"/>
      <c r="UN5" s="567"/>
      <c r="UO5" s="567"/>
      <c r="UP5" s="567"/>
      <c r="UQ5" s="567"/>
      <c r="UR5" s="567"/>
      <c r="US5" s="567"/>
      <c r="UT5" s="567"/>
      <c r="UU5" s="567"/>
      <c r="UV5" s="567"/>
      <c r="UW5" s="567"/>
      <c r="UX5" s="567"/>
      <c r="UY5" s="567"/>
      <c r="UZ5" s="567"/>
      <c r="VA5" s="567"/>
      <c r="VB5" s="567"/>
      <c r="VC5" s="567"/>
      <c r="VD5" s="567"/>
      <c r="VE5" s="567"/>
      <c r="VF5" s="567"/>
      <c r="VG5" s="567"/>
      <c r="VH5" s="567"/>
      <c r="VI5" s="567"/>
      <c r="VJ5" s="567"/>
      <c r="VK5" s="567"/>
      <c r="VL5" s="567"/>
      <c r="VM5" s="567"/>
      <c r="VN5" s="567"/>
      <c r="VO5" s="567"/>
      <c r="VP5" s="567"/>
      <c r="VQ5" s="567"/>
      <c r="VR5" s="567"/>
      <c r="VS5" s="567"/>
      <c r="VT5" s="567"/>
      <c r="VU5" s="567"/>
      <c r="VV5" s="567"/>
      <c r="VW5" s="567"/>
      <c r="VX5" s="567"/>
      <c r="VY5" s="567"/>
      <c r="VZ5" s="567"/>
      <c r="WA5" s="567"/>
      <c r="WB5" s="567"/>
      <c r="WC5" s="567"/>
      <c r="WD5" s="567"/>
      <c r="WE5" s="567"/>
      <c r="WF5" s="567"/>
      <c r="WG5" s="567"/>
      <c r="WH5" s="567"/>
      <c r="WI5" s="567"/>
      <c r="WJ5" s="567"/>
      <c r="WK5" s="567"/>
      <c r="WL5" s="567"/>
      <c r="WM5" s="567"/>
      <c r="WN5" s="567"/>
      <c r="WO5" s="567"/>
      <c r="WP5" s="567"/>
      <c r="WQ5" s="567"/>
      <c r="WR5" s="567"/>
      <c r="WS5" s="567"/>
      <c r="WT5" s="567"/>
      <c r="WU5" s="567"/>
      <c r="WV5" s="567"/>
      <c r="WW5" s="567"/>
      <c r="WX5" s="567"/>
      <c r="WY5" s="567"/>
      <c r="WZ5" s="567"/>
      <c r="XA5" s="567"/>
      <c r="XB5" s="567"/>
      <c r="XC5" s="567"/>
      <c r="XD5" s="567"/>
      <c r="XE5" s="567"/>
      <c r="XF5" s="567"/>
      <c r="XG5" s="567"/>
      <c r="XH5" s="567"/>
      <c r="XI5" s="567"/>
      <c r="XJ5" s="567"/>
      <c r="XK5" s="567"/>
      <c r="XL5" s="567"/>
      <c r="XM5" s="567"/>
      <c r="XN5" s="567"/>
      <c r="XO5" s="567"/>
      <c r="XP5" s="567"/>
      <c r="XQ5" s="567"/>
      <c r="XR5" s="567"/>
      <c r="XS5" s="567"/>
      <c r="XT5" s="567"/>
      <c r="XU5" s="567"/>
      <c r="XV5" s="567"/>
      <c r="XW5" s="567"/>
      <c r="XX5" s="567"/>
      <c r="XY5" s="567"/>
      <c r="XZ5" s="567"/>
      <c r="YA5" s="567"/>
      <c r="YB5" s="567"/>
      <c r="YC5" s="567"/>
      <c r="YD5" s="567"/>
      <c r="YE5" s="567"/>
      <c r="YF5" s="567"/>
      <c r="YG5" s="567"/>
      <c r="YH5" s="567"/>
      <c r="YI5" s="567"/>
      <c r="YJ5" s="567"/>
      <c r="YK5" s="567"/>
      <c r="YL5" s="567"/>
      <c r="YM5" s="567"/>
      <c r="YN5" s="567"/>
      <c r="YO5" s="567"/>
      <c r="YP5" s="567"/>
      <c r="YQ5" s="567"/>
      <c r="YR5" s="567"/>
      <c r="YS5" s="567"/>
      <c r="YT5" s="567"/>
      <c r="YU5" s="567"/>
      <c r="YV5" s="567"/>
      <c r="YW5" s="567"/>
      <c r="YX5" s="567"/>
      <c r="YY5" s="567"/>
      <c r="YZ5" s="567"/>
      <c r="ZA5" s="567"/>
      <c r="ZB5" s="567"/>
      <c r="ZC5" s="567"/>
      <c r="ZD5" s="567"/>
      <c r="ZE5" s="567"/>
      <c r="ZF5" s="567"/>
      <c r="ZG5" s="567"/>
      <c r="ZH5" s="567"/>
      <c r="ZI5" s="567"/>
      <c r="ZJ5" s="567"/>
      <c r="ZK5" s="567"/>
      <c r="ZL5" s="567"/>
      <c r="ZM5" s="567"/>
      <c r="ZN5" s="567"/>
      <c r="ZO5" s="567"/>
      <c r="ZP5" s="567"/>
      <c r="ZQ5" s="567"/>
      <c r="ZR5" s="567"/>
      <c r="ZS5" s="567"/>
      <c r="ZT5" s="567"/>
      <c r="ZU5" s="567"/>
      <c r="ZV5" s="567"/>
      <c r="ZW5" s="567"/>
      <c r="ZX5" s="567"/>
      <c r="ZY5" s="567"/>
      <c r="ZZ5" s="567"/>
      <c r="AAA5" s="567"/>
      <c r="AAB5" s="567"/>
      <c r="AAC5" s="567"/>
      <c r="AAD5" s="567"/>
      <c r="AAE5" s="567"/>
      <c r="AAF5" s="567"/>
      <c r="AAG5" s="567"/>
      <c r="AAH5" s="567"/>
      <c r="AAI5" s="567"/>
      <c r="AAJ5" s="567"/>
      <c r="AAK5" s="567"/>
      <c r="AAL5" s="567"/>
      <c r="AAM5" s="567"/>
      <c r="AAN5" s="567"/>
      <c r="AAO5" s="567"/>
      <c r="AAP5" s="567"/>
      <c r="AAQ5" s="567"/>
      <c r="AAR5" s="567"/>
      <c r="AAS5" s="567"/>
      <c r="AAT5" s="567"/>
      <c r="AAU5" s="567"/>
      <c r="AAV5" s="567"/>
      <c r="AAW5" s="567"/>
      <c r="AAX5" s="567"/>
      <c r="AAY5" s="567"/>
      <c r="AAZ5" s="567"/>
      <c r="ABA5" s="567"/>
      <c r="ABB5" s="567"/>
      <c r="ABC5" s="567"/>
      <c r="ABD5" s="567"/>
      <c r="ABE5" s="567"/>
      <c r="ABF5" s="567"/>
      <c r="ABG5" s="567"/>
      <c r="ABH5" s="567"/>
      <c r="ABI5" s="567"/>
      <c r="ABJ5" s="567"/>
      <c r="ABK5" s="567"/>
      <c r="ABL5" s="567"/>
      <c r="ABM5" s="567"/>
      <c r="ABN5" s="567"/>
      <c r="ABO5" s="567"/>
      <c r="ABP5" s="567"/>
      <c r="ABQ5" s="567"/>
      <c r="ABR5" s="567"/>
      <c r="ABS5" s="567"/>
      <c r="ABT5" s="567"/>
      <c r="ABU5" s="567"/>
      <c r="ABV5" s="567"/>
      <c r="ABW5" s="567"/>
      <c r="ABX5" s="567"/>
      <c r="ABY5" s="567"/>
      <c r="ABZ5" s="567"/>
      <c r="ACA5" s="567"/>
      <c r="ACB5" s="567"/>
      <c r="ACC5" s="567"/>
      <c r="ACD5" s="567"/>
      <c r="ACE5" s="567"/>
      <c r="ACF5" s="567"/>
      <c r="ACG5" s="567"/>
      <c r="ACH5" s="567"/>
      <c r="ACI5" s="567"/>
      <c r="ACJ5" s="567"/>
      <c r="ACK5" s="567"/>
      <c r="ACL5" s="567"/>
      <c r="ACM5" s="567"/>
      <c r="ACN5" s="567"/>
      <c r="ACO5" s="567"/>
      <c r="ACP5" s="567"/>
      <c r="ACQ5" s="567"/>
      <c r="ACR5" s="567"/>
      <c r="ACS5" s="567"/>
      <c r="ACT5" s="567"/>
      <c r="ACU5" s="567"/>
      <c r="ACV5" s="567"/>
      <c r="ACW5" s="567"/>
      <c r="ACX5" s="567"/>
      <c r="ACY5" s="567"/>
      <c r="ACZ5" s="567"/>
      <c r="ADA5" s="567"/>
      <c r="ADB5" s="567"/>
      <c r="ADC5" s="567"/>
      <c r="ADD5" s="567"/>
      <c r="ADE5" s="567"/>
      <c r="ADF5" s="567"/>
      <c r="ADG5" s="567"/>
      <c r="ADH5" s="567"/>
      <c r="ADI5" s="567"/>
      <c r="ADJ5" s="567"/>
      <c r="ADK5" s="567"/>
      <c r="ADL5" s="567"/>
      <c r="ADM5" s="567"/>
      <c r="ADN5" s="567"/>
      <c r="ADO5" s="567"/>
      <c r="ADP5" s="567"/>
      <c r="ADQ5" s="567"/>
      <c r="ADR5" s="567"/>
      <c r="ADS5" s="567"/>
      <c r="ADT5" s="567"/>
      <c r="ADU5" s="567"/>
      <c r="ADV5" s="567"/>
      <c r="ADW5" s="567"/>
      <c r="ADX5" s="567"/>
      <c r="ADY5" s="567"/>
      <c r="ADZ5" s="567"/>
      <c r="AEA5" s="567"/>
      <c r="AEB5" s="567"/>
      <c r="AEC5" s="567"/>
      <c r="AED5" s="567"/>
      <c r="AEE5" s="567"/>
      <c r="AEF5" s="567"/>
      <c r="AEG5" s="567"/>
      <c r="AEH5" s="567"/>
      <c r="AEI5" s="567"/>
      <c r="AEJ5" s="567"/>
      <c r="AEK5" s="567"/>
      <c r="AEL5" s="567"/>
      <c r="AEM5" s="567"/>
      <c r="AEN5" s="567"/>
      <c r="AEO5" s="567"/>
      <c r="AEP5" s="567"/>
      <c r="AEQ5" s="567"/>
      <c r="AER5" s="567"/>
      <c r="AES5" s="567"/>
      <c r="AET5" s="567"/>
      <c r="AEU5" s="567"/>
      <c r="AEV5" s="567"/>
      <c r="AEW5" s="567"/>
      <c r="AEX5" s="567"/>
      <c r="AEY5" s="567"/>
      <c r="AEZ5" s="567"/>
      <c r="AFA5" s="567"/>
      <c r="AFB5" s="567"/>
      <c r="AFC5" s="567"/>
      <c r="AFD5" s="567"/>
      <c r="AFE5" s="567"/>
      <c r="AFF5" s="567"/>
      <c r="AFG5" s="567"/>
      <c r="AFH5" s="567"/>
      <c r="AFI5" s="567"/>
      <c r="AFJ5" s="567"/>
      <c r="AFK5" s="567"/>
      <c r="AFL5" s="567"/>
      <c r="AFM5" s="567"/>
      <c r="AFN5" s="567"/>
      <c r="AFO5" s="567"/>
      <c r="AFP5" s="567"/>
      <c r="AFQ5" s="567"/>
      <c r="AFR5" s="567"/>
      <c r="AFS5" s="567"/>
      <c r="AFT5" s="567"/>
      <c r="AFU5" s="567"/>
      <c r="AFV5" s="567"/>
      <c r="AFW5" s="567"/>
      <c r="AFX5" s="567"/>
      <c r="AFY5" s="567"/>
      <c r="AFZ5" s="567"/>
      <c r="AGA5" s="567"/>
      <c r="AGB5" s="567"/>
      <c r="AGC5" s="567"/>
      <c r="AGD5" s="567"/>
      <c r="AGE5" s="567"/>
      <c r="AGF5" s="567"/>
      <c r="AGG5" s="567"/>
      <c r="AGH5" s="567"/>
      <c r="AGI5" s="567"/>
      <c r="AGJ5" s="567"/>
      <c r="AGK5" s="567"/>
      <c r="AGL5" s="567"/>
      <c r="AGM5" s="567"/>
      <c r="AGN5" s="567"/>
      <c r="AGO5" s="567"/>
      <c r="AGP5" s="567"/>
      <c r="AGQ5" s="567"/>
      <c r="AGR5" s="567"/>
      <c r="AGS5" s="567"/>
      <c r="AGT5" s="567"/>
      <c r="AGU5" s="567"/>
      <c r="AGV5" s="567"/>
      <c r="AGW5" s="567"/>
      <c r="AGX5" s="567"/>
      <c r="AGY5" s="567"/>
      <c r="AGZ5" s="567"/>
      <c r="AHA5" s="567"/>
      <c r="AHB5" s="567"/>
      <c r="AHC5" s="567"/>
      <c r="AHD5" s="567"/>
      <c r="AHE5" s="567"/>
      <c r="AHF5" s="567"/>
      <c r="AHG5" s="567"/>
      <c r="AHH5" s="567"/>
      <c r="AHI5" s="567"/>
      <c r="AHJ5" s="567"/>
      <c r="AHK5" s="567"/>
      <c r="AHL5" s="567"/>
      <c r="AHM5" s="567"/>
      <c r="AHN5" s="567"/>
      <c r="AHO5" s="567"/>
      <c r="AHP5" s="567"/>
      <c r="AHQ5" s="567"/>
      <c r="AHR5" s="567"/>
      <c r="AHS5" s="567"/>
      <c r="AHT5" s="567"/>
      <c r="AHU5" s="567"/>
      <c r="AHV5" s="567"/>
      <c r="AHW5" s="567"/>
      <c r="AHX5" s="567"/>
      <c r="AHY5" s="567"/>
      <c r="AHZ5" s="567"/>
      <c r="AIA5" s="567"/>
      <c r="AIB5" s="567"/>
      <c r="AIC5" s="567"/>
      <c r="AID5" s="567"/>
      <c r="AIE5" s="567"/>
      <c r="AIF5" s="567"/>
      <c r="AIG5" s="567"/>
      <c r="AIH5" s="567"/>
      <c r="AII5" s="567"/>
      <c r="AIJ5" s="567"/>
      <c r="AIK5" s="567"/>
      <c r="AIL5" s="567"/>
      <c r="AIM5" s="567"/>
      <c r="AIN5" s="567"/>
      <c r="AIO5" s="567"/>
      <c r="AIP5" s="567"/>
      <c r="AIQ5" s="567"/>
      <c r="AIR5" s="567"/>
      <c r="AIS5" s="567"/>
      <c r="AIT5" s="567"/>
      <c r="AIU5" s="567"/>
      <c r="AIV5" s="567"/>
      <c r="AIW5" s="567"/>
      <c r="AIX5" s="567"/>
      <c r="AIY5" s="567"/>
      <c r="AIZ5" s="567"/>
      <c r="AJA5" s="567"/>
      <c r="AJB5" s="567"/>
      <c r="AJC5" s="567"/>
      <c r="AJD5" s="567"/>
      <c r="AJE5" s="567"/>
      <c r="AJF5" s="567"/>
      <c r="AJG5" s="567"/>
      <c r="AJH5" s="567"/>
      <c r="AJI5" s="567"/>
      <c r="AJJ5" s="567"/>
      <c r="AJK5" s="567"/>
      <c r="AJL5" s="567"/>
      <c r="AJM5" s="567"/>
      <c r="AJN5" s="567"/>
      <c r="AJO5" s="567"/>
      <c r="AJP5" s="567"/>
      <c r="AJQ5" s="567"/>
      <c r="AJR5" s="567"/>
      <c r="AJS5" s="567"/>
      <c r="AJT5" s="567"/>
      <c r="AJU5" s="567"/>
      <c r="AJV5" s="567"/>
      <c r="AJW5" s="567"/>
      <c r="AJX5" s="567"/>
      <c r="AJY5" s="567"/>
      <c r="AJZ5" s="567"/>
      <c r="AKA5" s="567"/>
      <c r="AKB5" s="567"/>
      <c r="AKC5" s="567"/>
      <c r="AKD5" s="567"/>
      <c r="AKE5" s="567"/>
      <c r="AKF5" s="567"/>
      <c r="AKG5" s="567"/>
      <c r="AKH5" s="567"/>
      <c r="AKI5" s="567"/>
      <c r="AKJ5" s="567"/>
      <c r="AKK5" s="567"/>
      <c r="AKL5" s="567"/>
      <c r="AKM5" s="567"/>
      <c r="AKN5" s="567"/>
      <c r="AKO5" s="567"/>
      <c r="AKP5" s="567"/>
      <c r="AKQ5" s="567"/>
      <c r="AKR5" s="567"/>
      <c r="AKS5" s="567"/>
      <c r="AKT5" s="567"/>
      <c r="AKU5" s="567"/>
      <c r="AKV5" s="567"/>
      <c r="AKW5" s="567"/>
      <c r="AKX5" s="567"/>
      <c r="AKY5" s="567"/>
      <c r="AKZ5" s="567"/>
      <c r="ALA5" s="567"/>
      <c r="ALB5" s="567"/>
      <c r="ALC5" s="567"/>
      <c r="ALD5" s="567"/>
      <c r="ALE5" s="567"/>
      <c r="ALF5" s="567"/>
      <c r="ALG5" s="567"/>
      <c r="ALH5" s="567"/>
      <c r="ALI5" s="567"/>
      <c r="ALJ5" s="567"/>
      <c r="ALK5" s="567"/>
      <c r="ALL5" s="567"/>
      <c r="ALM5" s="567"/>
      <c r="ALN5" s="567"/>
      <c r="ALO5" s="567"/>
      <c r="ALP5" s="567"/>
      <c r="ALQ5" s="567"/>
      <c r="ALR5" s="567"/>
      <c r="ALS5" s="567"/>
      <c r="ALT5" s="567"/>
      <c r="ALU5" s="567"/>
      <c r="ALV5" s="567"/>
      <c r="ALW5" s="567"/>
      <c r="ALX5" s="567"/>
      <c r="ALY5" s="567"/>
      <c r="ALZ5" s="567"/>
      <c r="AMA5" s="567"/>
      <c r="AMB5" s="567"/>
      <c r="AMC5" s="567"/>
      <c r="AMD5" s="567"/>
      <c r="AME5" s="567"/>
      <c r="AMF5" s="567"/>
      <c r="AMG5" s="567"/>
      <c r="AMH5" s="567"/>
      <c r="AMI5" s="567"/>
      <c r="AMJ5" s="568"/>
    </row>
    <row r="6" spans="1:1024" ht="22.5" customHeight="1" x14ac:dyDescent="0.2">
      <c r="A6" s="443"/>
      <c r="B6" s="443"/>
      <c r="C6" s="443"/>
      <c r="D6" s="443"/>
      <c r="E6" s="443"/>
      <c r="F6" s="443"/>
      <c r="G6" s="443"/>
      <c r="H6" s="443"/>
      <c r="I6" s="443"/>
    </row>
    <row r="7" spans="1:1024" ht="22.5" customHeight="1" x14ac:dyDescent="0.2">
      <c r="A7" s="443"/>
      <c r="B7" s="443"/>
      <c r="C7" s="443"/>
      <c r="D7" s="443"/>
      <c r="E7" s="443"/>
      <c r="F7" s="443"/>
      <c r="G7" s="443"/>
      <c r="H7" s="443"/>
      <c r="I7" s="443"/>
    </row>
    <row r="8" spans="1:1024" ht="22.5" customHeight="1" x14ac:dyDescent="0.2">
      <c r="A8" s="443"/>
      <c r="B8" s="443"/>
      <c r="C8" s="443"/>
      <c r="D8" s="443"/>
      <c r="E8" s="443"/>
      <c r="F8" s="443"/>
      <c r="G8" s="443"/>
      <c r="H8" s="443"/>
      <c r="I8" s="443"/>
    </row>
    <row r="9" spans="1:1024" ht="22.5" customHeight="1" x14ac:dyDescent="0.2">
      <c r="A9" s="443"/>
      <c r="B9" s="443"/>
      <c r="C9" s="443"/>
      <c r="D9" s="443"/>
      <c r="E9" s="443"/>
      <c r="F9" s="443"/>
      <c r="G9" s="443"/>
      <c r="H9" s="443"/>
      <c r="I9" s="443"/>
    </row>
    <row r="10" spans="1:1024" ht="22.5" customHeight="1" x14ac:dyDescent="0.2">
      <c r="A10" s="443"/>
      <c r="B10" s="443"/>
      <c r="C10" s="443"/>
      <c r="D10" s="443"/>
      <c r="E10" s="443"/>
      <c r="F10" s="443"/>
      <c r="G10" s="443"/>
      <c r="H10" s="443"/>
      <c r="I10" s="443"/>
    </row>
    <row r="11" spans="1:1024" ht="22.5" customHeight="1" x14ac:dyDescent="0.2">
      <c r="A11" s="443"/>
      <c r="B11" s="443"/>
      <c r="C11" s="443"/>
      <c r="D11" s="443"/>
      <c r="E11" s="443"/>
      <c r="F11" s="443"/>
      <c r="G11" s="443"/>
      <c r="H11" s="443"/>
      <c r="I11" s="443"/>
    </row>
    <row r="12" spans="1:1024" ht="22.5" customHeight="1" x14ac:dyDescent="0.2">
      <c r="A12" s="443"/>
      <c r="B12" s="443"/>
      <c r="C12" s="443"/>
      <c r="D12" s="443"/>
      <c r="E12" s="443"/>
      <c r="F12" s="443"/>
      <c r="G12" s="443"/>
      <c r="H12" s="443"/>
      <c r="I12" s="443"/>
    </row>
    <row r="13" spans="1:1024" ht="22.5" customHeight="1" x14ac:dyDescent="0.2">
      <c r="A13" s="443"/>
      <c r="B13" s="443"/>
      <c r="C13" s="443"/>
      <c r="D13" s="443"/>
      <c r="E13" s="443"/>
      <c r="F13" s="443"/>
      <c r="G13" s="443"/>
      <c r="H13" s="443"/>
      <c r="I13" s="443"/>
    </row>
    <row r="14" spans="1:1024" ht="22.5" customHeight="1" x14ac:dyDescent="0.2">
      <c r="A14" s="443"/>
      <c r="B14" s="443"/>
      <c r="C14" s="443"/>
      <c r="D14" s="443"/>
      <c r="E14" s="443"/>
      <c r="F14" s="443"/>
      <c r="G14" s="443"/>
      <c r="H14" s="443"/>
      <c r="I14" s="443"/>
    </row>
    <row r="15" spans="1:1024" ht="22.5" customHeight="1" x14ac:dyDescent="0.2">
      <c r="A15" s="443"/>
      <c r="B15" s="443"/>
      <c r="C15" s="443"/>
      <c r="D15" s="443"/>
      <c r="E15" s="443"/>
      <c r="F15" s="443"/>
      <c r="G15" s="443"/>
      <c r="H15" s="443"/>
      <c r="I15" s="443"/>
    </row>
    <row r="16" spans="1:1024" ht="22.5" customHeight="1" x14ac:dyDescent="0.2">
      <c r="A16" s="443"/>
      <c r="B16" s="443"/>
      <c r="C16" s="443"/>
      <c r="D16" s="443"/>
      <c r="E16" s="443"/>
      <c r="F16" s="443"/>
      <c r="G16" s="443"/>
      <c r="H16" s="443"/>
      <c r="I16" s="443"/>
    </row>
    <row r="17" spans="1:9" ht="22.5" customHeight="1" x14ac:dyDescent="0.2">
      <c r="A17" s="443"/>
      <c r="B17" s="443"/>
      <c r="C17" s="443"/>
      <c r="D17" s="443"/>
      <c r="E17" s="443"/>
      <c r="F17" s="443"/>
      <c r="G17" s="443"/>
      <c r="H17" s="443"/>
      <c r="I17" s="443"/>
    </row>
    <row r="18" spans="1:9" ht="22.5" customHeight="1" x14ac:dyDescent="0.2">
      <c r="A18" s="443"/>
      <c r="B18" s="443"/>
      <c r="C18" s="443"/>
      <c r="D18" s="443"/>
      <c r="E18" s="443"/>
      <c r="F18" s="443"/>
      <c r="G18" s="443"/>
      <c r="H18" s="443"/>
      <c r="I18" s="443"/>
    </row>
    <row r="19" spans="1:9" ht="22.5" customHeight="1" x14ac:dyDescent="0.2">
      <c r="A19" s="443"/>
      <c r="B19" s="443"/>
      <c r="C19" s="443"/>
      <c r="D19" s="443"/>
      <c r="E19" s="443"/>
      <c r="F19" s="443"/>
      <c r="G19" s="443"/>
      <c r="H19" s="443"/>
      <c r="I19" s="443"/>
    </row>
    <row r="20" spans="1:9" ht="22.5" customHeight="1" x14ac:dyDescent="0.2">
      <c r="A20" s="443"/>
      <c r="B20" s="443"/>
      <c r="C20" s="443"/>
      <c r="D20" s="443"/>
      <c r="E20" s="443"/>
      <c r="F20" s="443"/>
      <c r="G20" s="443"/>
      <c r="H20" s="443"/>
      <c r="I20" s="443"/>
    </row>
    <row r="21" spans="1:9" ht="22.5" customHeight="1" x14ac:dyDescent="0.2">
      <c r="A21" s="443"/>
      <c r="B21" s="443"/>
      <c r="C21" s="443"/>
      <c r="D21" s="443"/>
      <c r="E21" s="443"/>
      <c r="F21" s="443"/>
      <c r="G21" s="443"/>
      <c r="H21" s="443"/>
      <c r="I21" s="443"/>
    </row>
    <row r="22" spans="1:9" ht="22.5" customHeight="1" x14ac:dyDescent="0.2">
      <c r="A22" s="443"/>
      <c r="B22" s="443"/>
      <c r="C22" s="443"/>
      <c r="D22" s="443"/>
      <c r="E22" s="443"/>
      <c r="F22" s="443"/>
      <c r="G22" s="443"/>
      <c r="H22" s="443"/>
      <c r="I22" s="443"/>
    </row>
    <row r="23" spans="1:9" ht="22.5" customHeight="1" x14ac:dyDescent="0.2">
      <c r="A23" s="443"/>
      <c r="B23" s="443"/>
      <c r="C23" s="443"/>
      <c r="D23" s="443"/>
      <c r="E23" s="443"/>
      <c r="F23" s="443"/>
      <c r="G23" s="443"/>
      <c r="H23" s="443"/>
      <c r="I23" s="443"/>
    </row>
    <row r="24" spans="1:9" ht="22.5" customHeight="1" x14ac:dyDescent="0.2">
      <c r="A24" s="443"/>
      <c r="B24" s="443"/>
      <c r="C24" s="443"/>
      <c r="D24" s="443"/>
      <c r="E24" s="443"/>
      <c r="F24" s="443"/>
      <c r="G24" s="443"/>
      <c r="H24" s="443"/>
      <c r="I24" s="443"/>
    </row>
    <row r="25" spans="1:9" ht="22.5" customHeight="1" x14ac:dyDescent="0.2">
      <c r="A25" s="443"/>
      <c r="B25" s="443"/>
      <c r="C25" s="443"/>
      <c r="D25" s="443"/>
      <c r="E25" s="443"/>
      <c r="F25" s="443"/>
      <c r="G25" s="443"/>
      <c r="H25" s="443"/>
      <c r="I25" s="443"/>
    </row>
    <row r="26" spans="1:9" ht="22.5" customHeight="1" x14ac:dyDescent="0.2">
      <c r="A26" s="443"/>
      <c r="B26" s="443"/>
      <c r="C26" s="443"/>
      <c r="D26" s="443"/>
      <c r="E26" s="443"/>
      <c r="F26" s="443"/>
      <c r="G26" s="443"/>
      <c r="H26" s="443"/>
      <c r="I26" s="443"/>
    </row>
    <row r="27" spans="1:9" ht="22.5" customHeight="1" x14ac:dyDescent="0.2">
      <c r="A27" s="443"/>
      <c r="B27" s="443"/>
      <c r="C27" s="443"/>
      <c r="D27" s="443"/>
      <c r="E27" s="443"/>
      <c r="F27" s="443"/>
      <c r="G27" s="443"/>
      <c r="H27" s="443"/>
      <c r="I27" s="443"/>
    </row>
    <row r="28" spans="1:9" ht="22.5" customHeight="1" x14ac:dyDescent="0.2">
      <c r="A28" s="443"/>
      <c r="B28" s="443"/>
      <c r="C28" s="443"/>
      <c r="D28" s="443"/>
      <c r="E28" s="443"/>
      <c r="F28" s="443"/>
      <c r="G28" s="443"/>
      <c r="H28" s="443"/>
      <c r="I28" s="443"/>
    </row>
    <row r="29" spans="1:9" ht="22.5" customHeight="1" x14ac:dyDescent="0.2">
      <c r="A29" s="443"/>
      <c r="B29" s="443"/>
      <c r="C29" s="443"/>
      <c r="D29" s="443"/>
      <c r="E29" s="443"/>
      <c r="F29" s="443"/>
      <c r="G29" s="443"/>
      <c r="H29" s="443"/>
      <c r="I29" s="443"/>
    </row>
    <row r="30" spans="1:9" ht="22.5" customHeight="1" x14ac:dyDescent="0.2">
      <c r="A30" s="443"/>
      <c r="B30" s="443"/>
      <c r="C30" s="443"/>
      <c r="D30" s="443"/>
      <c r="E30" s="443"/>
      <c r="F30" s="443"/>
      <c r="G30" s="443"/>
      <c r="H30" s="443"/>
      <c r="I30" s="443"/>
    </row>
    <row r="31" spans="1:9" ht="22.5" customHeight="1" x14ac:dyDescent="0.2">
      <c r="A31" s="443"/>
      <c r="B31" s="443"/>
      <c r="C31" s="443"/>
      <c r="D31" s="443"/>
      <c r="E31" s="443"/>
      <c r="F31" s="443"/>
      <c r="G31" s="443"/>
      <c r="H31" s="443"/>
      <c r="I31" s="443"/>
    </row>
    <row r="32" spans="1:9" ht="22.5" customHeight="1" x14ac:dyDescent="0.2">
      <c r="A32" s="443"/>
      <c r="B32" s="443"/>
      <c r="C32" s="443"/>
      <c r="D32" s="443"/>
      <c r="E32" s="443"/>
      <c r="F32" s="443"/>
      <c r="G32" s="443"/>
      <c r="H32" s="443"/>
      <c r="I32" s="443"/>
    </row>
    <row r="33" spans="1:9" ht="22.5" customHeight="1" x14ac:dyDescent="0.2">
      <c r="A33" s="443"/>
      <c r="B33" s="443"/>
      <c r="C33" s="443"/>
      <c r="D33" s="443"/>
      <c r="E33" s="443"/>
      <c r="F33" s="443"/>
      <c r="G33" s="443"/>
      <c r="H33" s="443"/>
      <c r="I33" s="569"/>
    </row>
    <row r="34" spans="1:9" ht="22.5" customHeight="1" x14ac:dyDescent="0.2">
      <c r="A34" s="443"/>
      <c r="B34" s="443"/>
      <c r="C34" s="443"/>
      <c r="D34" s="443"/>
      <c r="E34" s="443"/>
      <c r="F34" s="443"/>
      <c r="G34" s="443"/>
      <c r="H34" s="443"/>
      <c r="I34" s="569"/>
    </row>
    <row r="35" spans="1:9" ht="22.5" customHeight="1" x14ac:dyDescent="0.2">
      <c r="A35" s="443"/>
      <c r="B35" s="2043" t="s">
        <v>1509</v>
      </c>
      <c r="C35" s="2044"/>
      <c r="D35" s="2044"/>
      <c r="E35" s="2044"/>
      <c r="F35" s="2044"/>
      <c r="G35" s="2044"/>
      <c r="H35" s="2044"/>
      <c r="I35" s="2045"/>
    </row>
    <row r="36" spans="1:9" ht="22.5" customHeight="1" x14ac:dyDescent="0.2">
      <c r="A36" s="443"/>
      <c r="B36" s="2046"/>
      <c r="C36" s="2047"/>
      <c r="D36" s="2047"/>
      <c r="E36" s="2047"/>
      <c r="F36" s="2047"/>
      <c r="G36" s="2047"/>
      <c r="H36" s="2047"/>
      <c r="I36" s="2048"/>
    </row>
    <row r="37" spans="1:9" ht="22.5" customHeight="1" x14ac:dyDescent="0.2">
      <c r="A37" s="443"/>
      <c r="B37" s="443"/>
      <c r="C37" s="443"/>
      <c r="D37" s="443"/>
      <c r="E37" s="443"/>
      <c r="F37" s="443"/>
      <c r="G37" s="443"/>
      <c r="H37" s="569"/>
      <c r="I37" s="569"/>
    </row>
    <row r="38" spans="1:9" ht="22.5" customHeight="1" x14ac:dyDescent="0.2">
      <c r="A38" s="443"/>
      <c r="B38" s="443"/>
      <c r="C38" s="443"/>
      <c r="D38" s="443"/>
      <c r="E38" s="443"/>
      <c r="F38" s="443"/>
      <c r="G38" s="443"/>
      <c r="H38" s="569"/>
      <c r="I38" s="569"/>
    </row>
    <row r="39" spans="1:9" ht="22.5" customHeight="1" x14ac:dyDescent="0.2">
      <c r="A39" s="443"/>
      <c r="B39" s="443"/>
      <c r="C39" s="598" t="s">
        <v>1224</v>
      </c>
      <c r="D39" s="599"/>
      <c r="E39" s="2050" t="str">
        <f>CONCATENATE('FICHA SOLIC'!F8,'FICHA SOLIC'!H8)</f>
        <v>AGH -1548</v>
      </c>
      <c r="F39" s="2050"/>
      <c r="G39" s="2050"/>
      <c r="H39" s="2050"/>
      <c r="I39" s="569"/>
    </row>
    <row r="40" spans="1:9" ht="22.5" customHeight="1" x14ac:dyDescent="0.2">
      <c r="A40" s="443"/>
      <c r="B40" s="443"/>
      <c r="C40" s="598" t="s">
        <v>1222</v>
      </c>
      <c r="D40" s="599"/>
      <c r="E40" s="2050" t="str">
        <f>'FICHA SOLIC'!K8</f>
        <v>Agencia Habitacional</v>
      </c>
      <c r="F40" s="2050"/>
      <c r="G40" s="2050"/>
      <c r="H40" s="2050"/>
      <c r="I40" s="596"/>
    </row>
    <row r="41" spans="1:9" ht="22.5" customHeight="1" x14ac:dyDescent="0.2">
      <c r="A41" s="443"/>
      <c r="B41" s="443"/>
      <c r="C41" s="2049" t="s">
        <v>1223</v>
      </c>
      <c r="D41" s="2049"/>
      <c r="E41" s="2041" t="str">
        <f>'FICHA SOLIC'!K17</f>
        <v>Janeth Patricia Cando Arias</v>
      </c>
      <c r="F41" s="2041"/>
      <c r="G41" s="2041"/>
      <c r="H41" s="2041"/>
      <c r="I41" s="597"/>
    </row>
    <row r="42" spans="1:9" ht="22.5" customHeight="1" x14ac:dyDescent="0.2">
      <c r="A42" s="443"/>
      <c r="B42" s="443"/>
      <c r="C42" s="601" t="s">
        <v>456</v>
      </c>
      <c r="D42" s="600"/>
      <c r="E42" s="2041" t="str">
        <f>'FICHA SOLIC'!K18</f>
        <v>22.959.221-1</v>
      </c>
      <c r="F42" s="2041"/>
      <c r="G42" s="2041"/>
      <c r="H42" s="599"/>
      <c r="I42" s="443"/>
    </row>
    <row r="43" spans="1:9" ht="22.5" customHeight="1" x14ac:dyDescent="0.25">
      <c r="A43" s="443"/>
      <c r="B43" s="443"/>
      <c r="C43" s="2049" t="s">
        <v>1806</v>
      </c>
      <c r="D43" s="2049"/>
      <c r="E43" s="2049" t="str">
        <f>IF('FICHA SOLIC'!E35=0,'FICHA SOLIC'!E31,CONCATENATE('FICHA SOLIC'!E31,", ",'FICHA SOLIC'!D35," ",'FICHA SOLIC'!E35,", ",'FICHA SOLIC'!E40," ",'FICHA SOLIC'!E39))</f>
        <v>Coronel Souper N° 4060, Departamento: N°2502 B, Edificio Mirador Souper</v>
      </c>
      <c r="F43" s="2049"/>
      <c r="G43" s="2049"/>
      <c r="H43" s="2049"/>
      <c r="I43" s="571"/>
    </row>
    <row r="44" spans="1:9" ht="22.5" customHeight="1" x14ac:dyDescent="0.25">
      <c r="A44" s="443"/>
      <c r="B44" s="443"/>
      <c r="C44" s="2049"/>
      <c r="D44" s="2049"/>
      <c r="E44" s="2049"/>
      <c r="F44" s="2049"/>
      <c r="G44" s="2049"/>
      <c r="H44" s="2049"/>
      <c r="I44" s="571"/>
    </row>
    <row r="45" spans="1:9" ht="22.5" customHeight="1" x14ac:dyDescent="0.25">
      <c r="A45" s="443"/>
      <c r="B45" s="443"/>
      <c r="C45" s="2049"/>
      <c r="D45" s="2049"/>
      <c r="E45" s="2049"/>
      <c r="F45" s="2049"/>
      <c r="G45" s="2049"/>
      <c r="H45" s="2049"/>
      <c r="I45" s="571"/>
    </row>
    <row r="46" spans="1:9" ht="22.5" customHeight="1" x14ac:dyDescent="0.25">
      <c r="A46" s="443"/>
      <c r="B46" s="443"/>
      <c r="C46" s="601" t="s">
        <v>457</v>
      </c>
      <c r="D46" s="600"/>
      <c r="E46" s="2041" t="str">
        <f>'FICHA SOLIC'!E36</f>
        <v>Estación Central</v>
      </c>
      <c r="F46" s="2041"/>
      <c r="G46" s="2041"/>
      <c r="H46" s="2041"/>
      <c r="I46" s="572"/>
    </row>
    <row r="47" spans="1:9" ht="22.5" customHeight="1" x14ac:dyDescent="0.25">
      <c r="A47" s="443"/>
      <c r="B47" s="443"/>
      <c r="C47" s="601" t="s">
        <v>458</v>
      </c>
      <c r="D47" s="600"/>
      <c r="E47" s="2041" t="str">
        <f>'FICHA SOLIC'!E37</f>
        <v>Metropolitana de Santiago</v>
      </c>
      <c r="F47" s="2041"/>
      <c r="G47" s="2041"/>
      <c r="H47" s="2041"/>
      <c r="I47" s="571"/>
    </row>
    <row r="48" spans="1:9" ht="22.5" customHeight="1" x14ac:dyDescent="0.25">
      <c r="A48" s="443"/>
      <c r="B48" s="443"/>
      <c r="C48" s="574"/>
      <c r="D48" s="570"/>
      <c r="E48" s="574"/>
      <c r="F48" s="574"/>
      <c r="G48" s="574"/>
      <c r="H48" s="574"/>
      <c r="I48" s="571"/>
    </row>
    <row r="49" spans="1:9" ht="22.5" customHeight="1" x14ac:dyDescent="0.2">
      <c r="A49" s="443"/>
      <c r="B49" s="443"/>
      <c r="C49" s="574"/>
      <c r="D49" s="574"/>
      <c r="E49" s="574"/>
      <c r="F49" s="536"/>
      <c r="G49" s="536"/>
      <c r="H49" s="570"/>
    </row>
    <row r="50" spans="1:9" ht="21" customHeight="1" x14ac:dyDescent="0.35">
      <c r="A50" s="443"/>
      <c r="B50" s="928" t="s">
        <v>1887</v>
      </c>
      <c r="C50" s="925"/>
      <c r="D50" s="929"/>
      <c r="E50" s="2051" t="s">
        <v>1909</v>
      </c>
      <c r="F50" s="2051"/>
      <c r="G50" s="2051"/>
      <c r="H50" s="2051"/>
      <c r="I50" s="2051"/>
    </row>
    <row r="51" spans="1:9" ht="1.5" customHeight="1" x14ac:dyDescent="0.35">
      <c r="A51" s="443"/>
      <c r="B51" s="926"/>
      <c r="C51" s="926"/>
      <c r="D51" s="927"/>
      <c r="E51" s="927"/>
      <c r="F51" s="926"/>
      <c r="G51" s="926"/>
      <c r="H51" s="925"/>
      <c r="I51" s="925"/>
    </row>
    <row r="52" spans="1:9" ht="22.5" customHeight="1" x14ac:dyDescent="0.35">
      <c r="A52" s="443"/>
      <c r="B52" s="928" t="s">
        <v>1888</v>
      </c>
      <c r="C52" s="926"/>
      <c r="D52" s="925"/>
      <c r="E52" s="2051" t="s">
        <v>1889</v>
      </c>
      <c r="F52" s="2051"/>
      <c r="G52" s="2051"/>
      <c r="H52" s="2051"/>
      <c r="I52" s="2051"/>
    </row>
    <row r="53" spans="1:9" ht="22.5" customHeight="1" x14ac:dyDescent="0.2">
      <c r="A53" s="443"/>
      <c r="B53" s="573"/>
      <c r="C53" s="573"/>
      <c r="D53" s="573"/>
      <c r="E53" s="573"/>
      <c r="F53" s="443"/>
      <c r="G53" s="443"/>
    </row>
    <row r="54" spans="1:9" ht="22.5" customHeight="1" x14ac:dyDescent="0.2">
      <c r="A54" s="2042"/>
      <c r="B54" s="2042"/>
      <c r="C54" s="2042"/>
      <c r="D54" s="2042"/>
      <c r="E54" s="2042"/>
      <c r="F54" s="2042"/>
      <c r="G54" s="2042"/>
    </row>
    <row r="55" spans="1:9" ht="22.5" customHeight="1" x14ac:dyDescent="0.2"/>
    <row r="56" spans="1:9" ht="22.5" customHeight="1" x14ac:dyDescent="0.2"/>
    <row r="57" spans="1:9" ht="22.5" customHeight="1" x14ac:dyDescent="0.2">
      <c r="B57" s="443"/>
      <c r="C57" s="443"/>
      <c r="D57" s="443"/>
      <c r="E57" s="443"/>
      <c r="F57" s="443"/>
      <c r="G57" s="443"/>
      <c r="H57" s="443"/>
      <c r="I57" s="443"/>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1" firstPageNumber="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5">
    <tabColor rgb="FFC00000"/>
  </sheetPr>
  <dimension ref="A1"/>
  <sheetViews>
    <sheetView showGridLines="0" topLeftCell="A83" zoomScale="85" zoomScaleNormal="85" workbookViewId="0">
      <selection activeCell="S122" sqref="S122"/>
    </sheetView>
  </sheetViews>
  <sheetFormatPr baseColWidth="10" defaultColWidth="11.42578125" defaultRowHeight="12.75" x14ac:dyDescent="0.2"/>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
  <dimension ref="B1:O27"/>
  <sheetViews>
    <sheetView showGridLines="0" zoomScale="84" zoomScaleNormal="84" workbookViewId="0">
      <selection activeCell="E27" sqref="E27"/>
    </sheetView>
  </sheetViews>
  <sheetFormatPr baseColWidth="10" defaultColWidth="11.42578125" defaultRowHeight="12.75" x14ac:dyDescent="0.2"/>
  <cols>
    <col min="2" max="2" width="26.28515625" customWidth="1"/>
    <col min="3" max="3" width="13.28515625" customWidth="1"/>
    <col min="4" max="4" width="14.28515625" customWidth="1"/>
    <col min="5" max="5" width="39.7109375" customWidth="1"/>
    <col min="7" max="7" width="23.5703125" customWidth="1"/>
    <col min="8" max="8" width="12" bestFit="1" customWidth="1"/>
    <col min="12" max="12" width="16.7109375" bestFit="1" customWidth="1"/>
  </cols>
  <sheetData>
    <row r="1" spans="2:15" ht="13.5" thickBot="1" x14ac:dyDescent="0.25"/>
    <row r="2" spans="2:15" ht="19.5" thickBot="1" x14ac:dyDescent="0.35">
      <c r="B2" s="2052" t="s">
        <v>2610</v>
      </c>
      <c r="C2" s="2053"/>
      <c r="D2" s="2053"/>
      <c r="E2" s="2054"/>
    </row>
    <row r="3" spans="2:15" ht="13.5" thickBot="1" x14ac:dyDescent="0.25"/>
    <row r="4" spans="2:15" ht="13.5" thickBot="1" x14ac:dyDescent="0.25">
      <c r="B4" s="2055" t="s">
        <v>2611</v>
      </c>
      <c r="C4" s="2056"/>
      <c r="D4" s="2056"/>
      <c r="E4" s="2057"/>
      <c r="I4" s="414" t="s">
        <v>2612</v>
      </c>
      <c r="J4" s="393"/>
      <c r="K4" s="393"/>
      <c r="L4" s="393"/>
      <c r="M4" s="393"/>
      <c r="N4" s="393"/>
      <c r="O4" s="386"/>
    </row>
    <row r="5" spans="2:15" ht="13.5" thickBot="1" x14ac:dyDescent="0.25"/>
    <row r="6" spans="2:15" ht="13.5" thickBot="1" x14ac:dyDescent="0.25">
      <c r="B6" s="2055" t="s">
        <v>2613</v>
      </c>
      <c r="C6" s="2056"/>
      <c r="D6" s="2056"/>
      <c r="E6" s="2057"/>
      <c r="I6" t="s">
        <v>2614</v>
      </c>
    </row>
    <row r="9" spans="2:15" ht="15" x14ac:dyDescent="0.25">
      <c r="B9" s="999" t="s">
        <v>2615</v>
      </c>
      <c r="C9" s="999" t="s">
        <v>2616</v>
      </c>
      <c r="D9" s="999" t="s">
        <v>533</v>
      </c>
    </row>
    <row r="10" spans="2:15" x14ac:dyDescent="0.2">
      <c r="B10" s="1000" t="s">
        <v>2617</v>
      </c>
      <c r="C10" s="1001"/>
      <c r="D10" s="1002" t="e">
        <f>+C10/$C$12</f>
        <v>#DIV/0!</v>
      </c>
      <c r="M10" s="1003"/>
    </row>
    <row r="11" spans="2:15" x14ac:dyDescent="0.2">
      <c r="B11" s="1000" t="s">
        <v>2618</v>
      </c>
      <c r="C11" s="1001"/>
      <c r="D11" s="1002" t="e">
        <f>+C11/$C$12</f>
        <v>#DIV/0!</v>
      </c>
      <c r="L11" s="1004"/>
      <c r="M11" s="1003"/>
    </row>
    <row r="12" spans="2:15" x14ac:dyDescent="0.2">
      <c r="B12" s="1000" t="s">
        <v>2619</v>
      </c>
      <c r="C12" s="1005">
        <f>C11+C10</f>
        <v>0</v>
      </c>
      <c r="D12" s="1006">
        <v>1</v>
      </c>
      <c r="M12" s="1003"/>
    </row>
    <row r="13" spans="2:15" ht="13.5" thickBot="1" x14ac:dyDescent="0.25"/>
    <row r="14" spans="2:15" ht="13.5" thickBot="1" x14ac:dyDescent="0.25">
      <c r="B14" s="2055" t="s">
        <v>2620</v>
      </c>
      <c r="C14" s="2056"/>
      <c r="D14" s="2056"/>
      <c r="E14" s="2057"/>
    </row>
    <row r="16" spans="2:15" x14ac:dyDescent="0.2">
      <c r="E16" s="1013" t="s">
        <v>2621</v>
      </c>
    </row>
    <row r="17" spans="2:5" ht="15" x14ac:dyDescent="0.25">
      <c r="B17" s="1007" t="s">
        <v>2622</v>
      </c>
      <c r="C17" s="1011">
        <f>+Portada!AQ71</f>
        <v>40290.47</v>
      </c>
      <c r="E17" s="1014">
        <f>+C19-Portada!AY69</f>
        <v>0</v>
      </c>
    </row>
    <row r="18" spans="2:5" ht="15" x14ac:dyDescent="0.25">
      <c r="B18" s="1000" t="s">
        <v>2623</v>
      </c>
      <c r="C18" s="1012">
        <f>+Portada!AP69</f>
        <v>1394</v>
      </c>
      <c r="E18" s="1014" t="e">
        <f>+C18-C27</f>
        <v>#DIV/0!</v>
      </c>
    </row>
    <row r="19" spans="2:5" ht="15" x14ac:dyDescent="0.25">
      <c r="B19" s="1000" t="s">
        <v>2624</v>
      </c>
      <c r="C19" s="1012">
        <f>+Portada!AY69</f>
        <v>56164915.18</v>
      </c>
      <c r="E19" s="1014" t="e">
        <f>+C19-D27</f>
        <v>#DIV/0!</v>
      </c>
    </row>
    <row r="21" spans="2:5" ht="13.5" thickBot="1" x14ac:dyDescent="0.25"/>
    <row r="22" spans="2:5" ht="13.5" thickBot="1" x14ac:dyDescent="0.25">
      <c r="B22" s="2055" t="s">
        <v>2625</v>
      </c>
      <c r="C22" s="2056"/>
      <c r="D22" s="2056"/>
      <c r="E22" s="2057"/>
    </row>
    <row r="24" spans="2:5" x14ac:dyDescent="0.2">
      <c r="B24" s="1029" t="s">
        <v>2626</v>
      </c>
      <c r="C24" s="1029" t="s">
        <v>645</v>
      </c>
      <c r="D24" s="1029" t="s">
        <v>646</v>
      </c>
    </row>
    <row r="25" spans="2:5" x14ac:dyDescent="0.2">
      <c r="B25" s="1030" t="s">
        <v>2627</v>
      </c>
      <c r="C25" s="1008" t="e">
        <f>+C18-C26</f>
        <v>#DIV/0!</v>
      </c>
      <c r="D25" s="1009" t="e">
        <f>+C25*$C$17</f>
        <v>#DIV/0!</v>
      </c>
      <c r="E25" s="1010"/>
    </row>
    <row r="26" spans="2:5" x14ac:dyDescent="0.2">
      <c r="B26" s="1030" t="s">
        <v>2628</v>
      </c>
      <c r="C26" s="1008" t="e">
        <f>+IF(C18&lt;1200,D11*C18*20%,IF(C18&lt;2500,D11*C18*40%,IF(C18&lt;30000,D11*C18*30%)))</f>
        <v>#DIV/0!</v>
      </c>
      <c r="D26" s="1009" t="e">
        <f>+C26*$C$17</f>
        <v>#DIV/0!</v>
      </c>
      <c r="E26" s="1010"/>
    </row>
    <row r="27" spans="2:5" x14ac:dyDescent="0.2">
      <c r="B27" s="1030" t="s">
        <v>2629</v>
      </c>
      <c r="C27" s="1008" t="e">
        <f>+C25+C26</f>
        <v>#DIV/0!</v>
      </c>
      <c r="D27" s="1009" t="e">
        <f>+D25+D26</f>
        <v>#DIV/0!</v>
      </c>
      <c r="E27" s="1010"/>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
  <dimension ref="A1"/>
  <sheetViews>
    <sheetView showGridLines="0" workbookViewId="0">
      <selection activeCell="R32" sqref="R32"/>
    </sheetView>
  </sheetViews>
  <sheetFormatPr baseColWidth="10" defaultColWidth="11.42578125" defaultRowHeight="12.75" x14ac:dyDescent="0.2"/>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
  <dimension ref="A1:B44"/>
  <sheetViews>
    <sheetView workbookViewId="0">
      <selection activeCell="B5" sqref="B5"/>
    </sheetView>
  </sheetViews>
  <sheetFormatPr baseColWidth="10" defaultColWidth="11.42578125" defaultRowHeight="12.75" x14ac:dyDescent="0.2"/>
  <cols>
    <col min="1" max="1" width="43.140625" bestFit="1" customWidth="1"/>
    <col min="2" max="2" width="64.85546875" style="109" customWidth="1"/>
  </cols>
  <sheetData>
    <row r="1" spans="1:2" x14ac:dyDescent="0.2">
      <c r="A1" t="s">
        <v>2660</v>
      </c>
    </row>
    <row r="2" spans="1:2" x14ac:dyDescent="0.2">
      <c r="A2" t="s">
        <v>2661</v>
      </c>
      <c r="B2" s="109" t="str">
        <f>+Tapa!E39</f>
        <v>AGH -1548</v>
      </c>
    </row>
    <row r="3" spans="1:2" x14ac:dyDescent="0.2">
      <c r="A3" t="s">
        <v>2662</v>
      </c>
      <c r="B3" s="109" t="str">
        <f>+Tapa!E41</f>
        <v>Janeth Patricia Cando Arias</v>
      </c>
    </row>
    <row r="4" spans="1:2" x14ac:dyDescent="0.2">
      <c r="A4" t="s">
        <v>2703</v>
      </c>
      <c r="B4" s="109" t="str">
        <f>+Tapa!E42</f>
        <v>22.959.221-1</v>
      </c>
    </row>
    <row r="5" spans="1:2" x14ac:dyDescent="0.2">
      <c r="A5" t="s">
        <v>466</v>
      </c>
      <c r="B5" s="109" t="str">
        <f>+CONCATENATE(Tapa!E43,", ",Tapa!E46)</f>
        <v>Coronel Souper N° 4060, Departamento: N°2502 B, Edificio Mirador Souper, Estación Central</v>
      </c>
    </row>
    <row r="6" spans="1:2" x14ac:dyDescent="0.2">
      <c r="A6" t="s">
        <v>2663</v>
      </c>
      <c r="B6" s="109" t="s">
        <v>1969</v>
      </c>
    </row>
    <row r="7" spans="1:2" x14ac:dyDescent="0.2">
      <c r="A7" t="s">
        <v>2664</v>
      </c>
      <c r="B7" s="1048">
        <f>+'FICHA SOLIC'!K10</f>
        <v>46154</v>
      </c>
    </row>
    <row r="8" spans="1:2" x14ac:dyDescent="0.2">
      <c r="A8" t="s">
        <v>2665</v>
      </c>
      <c r="B8" s="1048">
        <f>+B7</f>
        <v>46154</v>
      </c>
    </row>
    <row r="9" spans="1:2" x14ac:dyDescent="0.2">
      <c r="A9" t="s">
        <v>2666</v>
      </c>
      <c r="B9" s="109" t="str">
        <f>+anoPropiedad</f>
        <v>2018</v>
      </c>
    </row>
    <row r="10" spans="1:2" x14ac:dyDescent="0.2">
      <c r="A10" t="s">
        <v>2667</v>
      </c>
      <c r="B10" s="109">
        <f>+Portada!BJ37</f>
        <v>40</v>
      </c>
    </row>
    <row r="11" spans="1:2" x14ac:dyDescent="0.2">
      <c r="A11" t="s">
        <v>2668</v>
      </c>
      <c r="B11" s="109" t="str">
        <f>+LEFT(RecepcionFinal,6)</f>
        <v xml:space="preserve">N° 03 </v>
      </c>
    </row>
    <row r="12" spans="1:2" x14ac:dyDescent="0.2">
      <c r="A12" t="s">
        <v>2669</v>
      </c>
      <c r="B12" s="109" t="str">
        <f>+RIGHT(RecepcionFinal,10)</f>
        <v>26-02-2018</v>
      </c>
    </row>
    <row r="13" spans="1:2" x14ac:dyDescent="0.2">
      <c r="A13" t="s">
        <v>2670</v>
      </c>
      <c r="B13" s="1045" t="str">
        <f>+LEFT(Antecedentes!J7,6)</f>
        <v xml:space="preserve">N° 65 </v>
      </c>
    </row>
    <row r="14" spans="1:2" ht="15" x14ac:dyDescent="0.25">
      <c r="A14" s="1046" t="s">
        <v>2671</v>
      </c>
      <c r="B14" s="1045" t="str">
        <f>+RIGHT(Antecedentes!J7,10)</f>
        <v>28-04-2014</v>
      </c>
    </row>
    <row r="15" spans="1:2" x14ac:dyDescent="0.2">
      <c r="A15" t="s">
        <v>985</v>
      </c>
      <c r="B15" s="1045">
        <f>+'FICHA SOLIC'!K41</f>
        <v>50615903</v>
      </c>
    </row>
    <row r="16" spans="1:2" x14ac:dyDescent="0.2">
      <c r="A16" t="s">
        <v>2672</v>
      </c>
      <c r="B16" s="109" t="str">
        <f>+Portada!S23</f>
        <v>Urbana</v>
      </c>
    </row>
    <row r="17" spans="1:2" x14ac:dyDescent="0.2">
      <c r="A17" t="s">
        <v>2673</v>
      </c>
      <c r="B17" s="109" t="str">
        <f>+Antecedentes!AT7</f>
        <v>SI</v>
      </c>
    </row>
    <row r="18" spans="1:2" ht="15" x14ac:dyDescent="0.25">
      <c r="A18" s="1046" t="s">
        <v>2674</v>
      </c>
    </row>
    <row r="19" spans="1:2" ht="15" x14ac:dyDescent="0.25">
      <c r="A19" s="1044" t="s">
        <v>2675</v>
      </c>
    </row>
    <row r="20" spans="1:2" x14ac:dyDescent="0.2">
      <c r="A20" t="s">
        <v>2676</v>
      </c>
      <c r="B20" s="109">
        <f>+ULH!C23</f>
        <v>0</v>
      </c>
    </row>
    <row r="21" spans="1:2" x14ac:dyDescent="0.2">
      <c r="A21" t="s">
        <v>2677</v>
      </c>
      <c r="B21" s="109">
        <f>+ULH!C25</f>
        <v>41</v>
      </c>
    </row>
    <row r="22" spans="1:2" x14ac:dyDescent="0.2">
      <c r="A22" t="s">
        <v>2678</v>
      </c>
      <c r="B22" s="109">
        <f>+ULH!C27</f>
        <v>0</v>
      </c>
    </row>
    <row r="23" spans="1:2" x14ac:dyDescent="0.2">
      <c r="A23" t="s">
        <v>2679</v>
      </c>
      <c r="B23" s="109">
        <f>+ULH!C25</f>
        <v>41</v>
      </c>
    </row>
    <row r="24" spans="1:2" x14ac:dyDescent="0.2">
      <c r="A24" t="s">
        <v>2680</v>
      </c>
      <c r="B24" s="1047">
        <f>+ULH!C22</f>
        <v>0</v>
      </c>
    </row>
    <row r="25" spans="1:2" x14ac:dyDescent="0.2">
      <c r="A25" t="s">
        <v>2681</v>
      </c>
      <c r="B25" s="1047">
        <f>+ULH!C24</f>
        <v>1394</v>
      </c>
    </row>
    <row r="26" spans="1:2" x14ac:dyDescent="0.2">
      <c r="A26" t="s">
        <v>2682</v>
      </c>
      <c r="B26" s="109">
        <f>+ULH!C26</f>
        <v>0</v>
      </c>
    </row>
    <row r="27" spans="1:2" x14ac:dyDescent="0.2">
      <c r="A27" t="s">
        <v>2683</v>
      </c>
      <c r="B27" s="1047">
        <f>+ULH!C17</f>
        <v>1394</v>
      </c>
    </row>
    <row r="28" spans="1:2" x14ac:dyDescent="0.2">
      <c r="A28" t="s">
        <v>2684</v>
      </c>
      <c r="B28" s="1047">
        <f ca="1">+ULH!C18</f>
        <v>1394</v>
      </c>
    </row>
    <row r="29" spans="1:2" x14ac:dyDescent="0.2">
      <c r="A29" t="s">
        <v>2685</v>
      </c>
      <c r="B29" s="109" t="str">
        <f>+tipoEstructuraCell</f>
        <v>HORMIGON ARMADO</v>
      </c>
    </row>
    <row r="30" spans="1:2" ht="15" x14ac:dyDescent="0.25">
      <c r="A30" t="s">
        <v>2686</v>
      </c>
      <c r="B30" s="109" t="str">
        <f>+Antecedentes!Z15</f>
        <v>BUENO</v>
      </c>
    </row>
    <row r="31" spans="1:2" x14ac:dyDescent="0.2">
      <c r="A31" t="s">
        <v>2687</v>
      </c>
      <c r="B31" s="109">
        <f>+Antecedentes!Y34</f>
        <v>2</v>
      </c>
    </row>
    <row r="32" spans="1:2" x14ac:dyDescent="0.2">
      <c r="A32" t="s">
        <v>2688</v>
      </c>
      <c r="B32" s="1045">
        <f>+Antecedentes!AG34</f>
        <v>1</v>
      </c>
    </row>
    <row r="33" spans="1:2" x14ac:dyDescent="0.2">
      <c r="A33" t="s">
        <v>2689</v>
      </c>
    </row>
    <row r="34" spans="1:2" x14ac:dyDescent="0.2">
      <c r="A34" t="s">
        <v>2690</v>
      </c>
      <c r="B34" s="109" t="str">
        <f>+rolPropiedad</f>
        <v>694-416</v>
      </c>
    </row>
    <row r="35" spans="1:2" x14ac:dyDescent="0.2">
      <c r="A35" t="s">
        <v>2691</v>
      </c>
      <c r="B35" s="109" t="str">
        <f>+ULH!C30</f>
        <v/>
      </c>
    </row>
    <row r="36" spans="1:2" ht="15" x14ac:dyDescent="0.25">
      <c r="A36" s="1046" t="s">
        <v>2692</v>
      </c>
      <c r="B36" s="109" t="str">
        <f>+ULH!C29</f>
        <v/>
      </c>
    </row>
    <row r="37" spans="1:2" x14ac:dyDescent="0.2">
      <c r="A37" t="s">
        <v>1963</v>
      </c>
      <c r="B37" s="109" t="str">
        <f>+ULH!C29</f>
        <v/>
      </c>
    </row>
    <row r="38" spans="1:2" x14ac:dyDescent="0.2">
      <c r="A38" t="s">
        <v>2693</v>
      </c>
      <c r="B38" s="109" t="str">
        <f>+ULH!C35</f>
        <v/>
      </c>
    </row>
    <row r="39" spans="1:2" ht="15" x14ac:dyDescent="0.25">
      <c r="A39" s="1046" t="s">
        <v>2692</v>
      </c>
      <c r="B39" s="109" t="str">
        <f>+ULH!C34</f>
        <v/>
      </c>
    </row>
    <row r="40" spans="1:2" x14ac:dyDescent="0.2">
      <c r="A40" t="s">
        <v>1966</v>
      </c>
      <c r="B40" s="109" t="str">
        <f>+ULH!C29</f>
        <v/>
      </c>
    </row>
    <row r="41" spans="1:2" ht="15" x14ac:dyDescent="0.25">
      <c r="A41" s="1046" t="s">
        <v>2694</v>
      </c>
      <c r="B41" s="1047">
        <f ca="1">+Portada!BV62</f>
        <v>1150.05</v>
      </c>
    </row>
    <row r="42" spans="1:2" ht="15" x14ac:dyDescent="0.25">
      <c r="A42" s="1046" t="s">
        <v>2695</v>
      </c>
      <c r="B42" s="109" t="str">
        <f>+'FICHA SOLIC'!K40</f>
        <v>HABITACIONAL</v>
      </c>
    </row>
    <row r="43" spans="1:2" ht="15" x14ac:dyDescent="0.25">
      <c r="A43" s="1046" t="s">
        <v>2696</v>
      </c>
      <c r="B43" s="109" t="str">
        <f>+IF(B16="Urbana","SI","NO")</f>
        <v>SI</v>
      </c>
    </row>
    <row r="44" spans="1:2" ht="15" x14ac:dyDescent="0.25">
      <c r="A44" s="1046" t="s">
        <v>2697</v>
      </c>
      <c r="B44" s="109" t="s">
        <v>2698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oscar jose rivas hernandez</cp:lastModifiedBy>
  <cp:revision>1</cp:revision>
  <cp:lastPrinted>2026-05-15T19:06:45Z</cp:lastPrinted>
  <dcterms:created xsi:type="dcterms:W3CDTF">2003-03-26T14:36:15Z</dcterms:created>
  <dcterms:modified xsi:type="dcterms:W3CDTF">2026-05-15T19:06:56Z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