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80" yWindow="0" windowWidth="10080" windowHeight="7545" activeTab="3"/>
  </bookViews>
  <sheets>
    <sheet name="Hoja1" sheetId="1" r:id="rId1"/>
    <sheet name="Hoja2" sheetId="2" state="hidden" r:id="rId2"/>
    <sheet name="Hoja3" sheetId="3" state="hidden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Q9" i="4"/>
  <c r="H192" s="1"/>
  <c r="M192" s="1"/>
  <c r="G192"/>
  <c r="L192" s="1"/>
  <c r="E192"/>
  <c r="D192"/>
  <c r="C192"/>
  <c r="B192"/>
  <c r="C214"/>
  <c r="D214"/>
  <c r="E214"/>
  <c r="F214"/>
  <c r="G214"/>
  <c r="H214"/>
  <c r="I214"/>
  <c r="J214"/>
  <c r="K214"/>
  <c r="L214"/>
  <c r="M214"/>
  <c r="B214"/>
  <c r="B22"/>
  <c r="C22"/>
  <c r="D22"/>
  <c r="E22"/>
  <c r="F22"/>
  <c r="G22"/>
  <c r="H22"/>
  <c r="I22"/>
  <c r="J22"/>
  <c r="K22"/>
  <c r="L22"/>
  <c r="M22"/>
  <c r="D59"/>
  <c r="F59"/>
  <c r="G59"/>
  <c r="L59"/>
  <c r="D58"/>
  <c r="F58"/>
  <c r="G58"/>
  <c r="L58"/>
  <c r="F57"/>
  <c r="K57"/>
  <c r="F56"/>
  <c r="K56"/>
  <c r="A71"/>
  <c r="B139" s="1"/>
  <c r="A70"/>
  <c r="B133" s="1"/>
  <c r="M198"/>
  <c r="M233" s="1"/>
  <c r="L198"/>
  <c r="L233" s="1"/>
  <c r="K198"/>
  <c r="K233" s="1"/>
  <c r="J198"/>
  <c r="J233" s="1"/>
  <c r="D198"/>
  <c r="D233" s="1"/>
  <c r="C198"/>
  <c r="C233" s="1"/>
  <c r="B198"/>
  <c r="B233" s="1"/>
  <c r="H198"/>
  <c r="H233" s="1"/>
  <c r="I198"/>
  <c r="I233" s="1"/>
  <c r="G198"/>
  <c r="G233" s="1"/>
  <c r="F198"/>
  <c r="F233" s="1"/>
  <c r="E198"/>
  <c r="N234"/>
  <c r="M234"/>
  <c r="L234"/>
  <c r="K234"/>
  <c r="J234"/>
  <c r="I234"/>
  <c r="H234"/>
  <c r="G234"/>
  <c r="F234"/>
  <c r="E234"/>
  <c r="D234"/>
  <c r="C234"/>
  <c r="B234"/>
  <c r="E233"/>
  <c r="M208"/>
  <c r="L208"/>
  <c r="K208"/>
  <c r="J208"/>
  <c r="I208"/>
  <c r="H208"/>
  <c r="G208"/>
  <c r="F208"/>
  <c r="E208"/>
  <c r="D208"/>
  <c r="C208"/>
  <c r="B208"/>
  <c r="M203"/>
  <c r="L203"/>
  <c r="K203"/>
  <c r="J203"/>
  <c r="I203"/>
  <c r="H203"/>
  <c r="G203"/>
  <c r="F203"/>
  <c r="E203"/>
  <c r="D203"/>
  <c r="C203"/>
  <c r="B203"/>
  <c r="M202"/>
  <c r="L202"/>
  <c r="K202"/>
  <c r="J202"/>
  <c r="I202"/>
  <c r="H202"/>
  <c r="G202"/>
  <c r="F202"/>
  <c r="E202"/>
  <c r="D202"/>
  <c r="C202"/>
  <c r="B202"/>
  <c r="M97"/>
  <c r="L97"/>
  <c r="K97"/>
  <c r="K101" s="1"/>
  <c r="J97"/>
  <c r="J101" s="1"/>
  <c r="I97"/>
  <c r="H97"/>
  <c r="G97"/>
  <c r="G101" s="1"/>
  <c r="F97"/>
  <c r="F101" s="1"/>
  <c r="E97"/>
  <c r="D97"/>
  <c r="C97"/>
  <c r="C101" s="1"/>
  <c r="B97"/>
  <c r="B101" s="1"/>
  <c r="N208"/>
  <c r="N203"/>
  <c r="J204"/>
  <c r="H204"/>
  <c r="F204"/>
  <c r="D204"/>
  <c r="B204"/>
  <c r="C204"/>
  <c r="E204"/>
  <c r="G204"/>
  <c r="I204"/>
  <c r="K204"/>
  <c r="L204"/>
  <c r="M204"/>
  <c r="L184"/>
  <c r="L186" s="1"/>
  <c r="T32"/>
  <c r="T33" s="1"/>
  <c r="T31"/>
  <c r="S32"/>
  <c r="S33" s="1"/>
  <c r="S31"/>
  <c r="R32"/>
  <c r="R33" s="1"/>
  <c r="R31"/>
  <c r="Q32"/>
  <c r="Q33" s="1"/>
  <c r="Q31"/>
  <c r="C230"/>
  <c r="D230"/>
  <c r="E230"/>
  <c r="F230"/>
  <c r="G230"/>
  <c r="H230"/>
  <c r="I230"/>
  <c r="J230"/>
  <c r="K230"/>
  <c r="L230"/>
  <c r="M230"/>
  <c r="N230"/>
  <c r="B230"/>
  <c r="C228"/>
  <c r="D228"/>
  <c r="E228"/>
  <c r="F228"/>
  <c r="G228"/>
  <c r="H228"/>
  <c r="I228"/>
  <c r="J228"/>
  <c r="K228"/>
  <c r="L228"/>
  <c r="M228"/>
  <c r="N228"/>
  <c r="B228"/>
  <c r="S215"/>
  <c r="T215" s="1"/>
  <c r="S214"/>
  <c r="T214" s="1"/>
  <c r="C179"/>
  <c r="D179"/>
  <c r="E179"/>
  <c r="F179"/>
  <c r="G179"/>
  <c r="H179"/>
  <c r="I179"/>
  <c r="J179"/>
  <c r="K179"/>
  <c r="L179"/>
  <c r="M179"/>
  <c r="B179"/>
  <c r="C178"/>
  <c r="D178"/>
  <c r="E178"/>
  <c r="F178"/>
  <c r="G178"/>
  <c r="H178"/>
  <c r="I178"/>
  <c r="J178"/>
  <c r="K178"/>
  <c r="L178"/>
  <c r="M178"/>
  <c r="C176"/>
  <c r="D176"/>
  <c r="E176"/>
  <c r="F176"/>
  <c r="F184" s="1"/>
  <c r="F186" s="1"/>
  <c r="G176"/>
  <c r="H176"/>
  <c r="I176"/>
  <c r="J176"/>
  <c r="K176"/>
  <c r="K183" s="1"/>
  <c r="L176"/>
  <c r="L183" s="1"/>
  <c r="M176"/>
  <c r="B176"/>
  <c r="C175"/>
  <c r="D175"/>
  <c r="E175"/>
  <c r="E182" s="1"/>
  <c r="F175"/>
  <c r="G175"/>
  <c r="G182" s="1"/>
  <c r="H175"/>
  <c r="I175"/>
  <c r="J175"/>
  <c r="K175"/>
  <c r="K182" s="1"/>
  <c r="L175"/>
  <c r="L182" s="1"/>
  <c r="M175"/>
  <c r="C174"/>
  <c r="C184" s="1"/>
  <c r="C186" s="1"/>
  <c r="D174"/>
  <c r="E174"/>
  <c r="F174"/>
  <c r="G174"/>
  <c r="H174"/>
  <c r="H184" s="1"/>
  <c r="H186" s="1"/>
  <c r="I174"/>
  <c r="J174"/>
  <c r="K174"/>
  <c r="L174"/>
  <c r="M174"/>
  <c r="M184" s="1"/>
  <c r="M186" s="1"/>
  <c r="B174"/>
  <c r="C173"/>
  <c r="D173"/>
  <c r="E173"/>
  <c r="F173"/>
  <c r="G173"/>
  <c r="H173"/>
  <c r="H182" s="1"/>
  <c r="I173"/>
  <c r="J173"/>
  <c r="K173"/>
  <c r="L173"/>
  <c r="M173"/>
  <c r="B178"/>
  <c r="B175"/>
  <c r="B173"/>
  <c r="G153"/>
  <c r="L153"/>
  <c r="G148"/>
  <c r="L148"/>
  <c r="N44"/>
  <c r="Q54"/>
  <c r="N45" s="1"/>
  <c r="Q53"/>
  <c r="N43" s="1"/>
  <c r="C140"/>
  <c r="D140"/>
  <c r="E140"/>
  <c r="F140"/>
  <c r="G140"/>
  <c r="H140"/>
  <c r="I140"/>
  <c r="J140"/>
  <c r="K140"/>
  <c r="L140"/>
  <c r="M140"/>
  <c r="C134"/>
  <c r="D134"/>
  <c r="E134"/>
  <c r="F134"/>
  <c r="G134"/>
  <c r="H134"/>
  <c r="I134"/>
  <c r="J134"/>
  <c r="K134"/>
  <c r="L134"/>
  <c r="M134"/>
  <c r="B140"/>
  <c r="B134"/>
  <c r="R125"/>
  <c r="B123" s="1"/>
  <c r="L124"/>
  <c r="H124"/>
  <c r="D124"/>
  <c r="J123"/>
  <c r="F123"/>
  <c r="M120"/>
  <c r="I120"/>
  <c r="E120"/>
  <c r="M119"/>
  <c r="M121" s="1"/>
  <c r="I119"/>
  <c r="E119"/>
  <c r="N113"/>
  <c r="N112"/>
  <c r="N114" s="1"/>
  <c r="C113"/>
  <c r="C124" s="1"/>
  <c r="D113"/>
  <c r="E123" s="1"/>
  <c r="E125" s="1"/>
  <c r="E113"/>
  <c r="E124" s="1"/>
  <c r="F113"/>
  <c r="G123" s="1"/>
  <c r="G125" s="1"/>
  <c r="G113"/>
  <c r="G124" s="1"/>
  <c r="H113"/>
  <c r="I123" s="1"/>
  <c r="I113"/>
  <c r="I124" s="1"/>
  <c r="I125" s="1"/>
  <c r="J113"/>
  <c r="K123" s="1"/>
  <c r="K125" s="1"/>
  <c r="K113"/>
  <c r="K124" s="1"/>
  <c r="L113"/>
  <c r="M123" s="1"/>
  <c r="M125" s="1"/>
  <c r="M113"/>
  <c r="M124" s="1"/>
  <c r="B113"/>
  <c r="B124" s="1"/>
  <c r="C112"/>
  <c r="D119" s="1"/>
  <c r="D121" s="1"/>
  <c r="D112"/>
  <c r="D120" s="1"/>
  <c r="E112"/>
  <c r="F119" s="1"/>
  <c r="F112"/>
  <c r="F120" s="1"/>
  <c r="G112"/>
  <c r="H119" s="1"/>
  <c r="H121" s="1"/>
  <c r="H112"/>
  <c r="H120" s="1"/>
  <c r="I112"/>
  <c r="J119" s="1"/>
  <c r="J112"/>
  <c r="J120" s="1"/>
  <c r="K112"/>
  <c r="L119" s="1"/>
  <c r="L121" s="1"/>
  <c r="L112"/>
  <c r="L120" s="1"/>
  <c r="M112"/>
  <c r="Q125" s="1"/>
  <c r="B119" s="1"/>
  <c r="B112"/>
  <c r="B120" s="1"/>
  <c r="E121"/>
  <c r="I121"/>
  <c r="N108"/>
  <c r="M108"/>
  <c r="L108"/>
  <c r="K108"/>
  <c r="J108"/>
  <c r="I108"/>
  <c r="H108"/>
  <c r="G108"/>
  <c r="F108"/>
  <c r="E108"/>
  <c r="D108"/>
  <c r="C108"/>
  <c r="B108"/>
  <c r="D114"/>
  <c r="H114"/>
  <c r="L114"/>
  <c r="E114"/>
  <c r="F114"/>
  <c r="I114"/>
  <c r="K114"/>
  <c r="M114"/>
  <c r="D101"/>
  <c r="E101"/>
  <c r="H101"/>
  <c r="I101"/>
  <c r="L101"/>
  <c r="M101"/>
  <c r="C45"/>
  <c r="E45"/>
  <c r="H164"/>
  <c r="K45"/>
  <c r="C44"/>
  <c r="E44"/>
  <c r="F44"/>
  <c r="K44"/>
  <c r="E43"/>
  <c r="E42"/>
  <c r="J42"/>
  <c r="S60"/>
  <c r="S59"/>
  <c r="R60"/>
  <c r="R59"/>
  <c r="Q60"/>
  <c r="Q59"/>
  <c r="P59"/>
  <c r="P60"/>
  <c r="M66"/>
  <c r="M65"/>
  <c r="D66"/>
  <c r="E66"/>
  <c r="F66"/>
  <c r="G66"/>
  <c r="H66"/>
  <c r="I66"/>
  <c r="J66"/>
  <c r="K66"/>
  <c r="L66"/>
  <c r="C66"/>
  <c r="D65"/>
  <c r="E65"/>
  <c r="F65"/>
  <c r="G65"/>
  <c r="H65"/>
  <c r="I65"/>
  <c r="J65"/>
  <c r="K65"/>
  <c r="L65"/>
  <c r="C65"/>
  <c r="B66"/>
  <c r="B76" s="1"/>
  <c r="B65"/>
  <c r="B75" s="1"/>
  <c r="C19"/>
  <c r="D19"/>
  <c r="E19"/>
  <c r="F19"/>
  <c r="G19"/>
  <c r="H19"/>
  <c r="I19"/>
  <c r="J19"/>
  <c r="K19"/>
  <c r="L19"/>
  <c r="M19"/>
  <c r="C18"/>
  <c r="D18"/>
  <c r="E18"/>
  <c r="F18"/>
  <c r="G18"/>
  <c r="H18"/>
  <c r="I18"/>
  <c r="J18"/>
  <c r="K18"/>
  <c r="L18"/>
  <c r="M18"/>
  <c r="B18"/>
  <c r="B19"/>
  <c r="C15"/>
  <c r="D15"/>
  <c r="E15"/>
  <c r="F15"/>
  <c r="G15"/>
  <c r="H15"/>
  <c r="I15"/>
  <c r="J15"/>
  <c r="K15"/>
  <c r="L15"/>
  <c r="M15"/>
  <c r="B15"/>
  <c r="C14"/>
  <c r="D14"/>
  <c r="E14"/>
  <c r="F14"/>
  <c r="F16" s="1"/>
  <c r="G14"/>
  <c r="H14"/>
  <c r="I14"/>
  <c r="J14"/>
  <c r="K14"/>
  <c r="L14"/>
  <c r="M14"/>
  <c r="B14"/>
  <c r="N29" i="1"/>
  <c r="M29"/>
  <c r="L29"/>
  <c r="K29"/>
  <c r="J29"/>
  <c r="I29"/>
  <c r="H29"/>
  <c r="G29"/>
  <c r="F29"/>
  <c r="E29"/>
  <c r="D29"/>
  <c r="C29"/>
  <c r="O29" s="1"/>
  <c r="O28"/>
  <c r="N28"/>
  <c r="M28"/>
  <c r="L28"/>
  <c r="K28"/>
  <c r="J28"/>
  <c r="I28"/>
  <c r="H28"/>
  <c r="G28"/>
  <c r="F28"/>
  <c r="E28"/>
  <c r="D28"/>
  <c r="C28"/>
  <c r="I192" i="4" l="1"/>
  <c r="N192" s="1"/>
  <c r="I215" s="1"/>
  <c r="J192"/>
  <c r="O192" s="1"/>
  <c r="M182"/>
  <c r="M20"/>
  <c r="K184"/>
  <c r="K186" s="1"/>
  <c r="J182"/>
  <c r="J184"/>
  <c r="J186" s="1"/>
  <c r="J187" s="1"/>
  <c r="J188" s="1"/>
  <c r="J232" s="1"/>
  <c r="H183"/>
  <c r="H16"/>
  <c r="H57" s="1"/>
  <c r="G43" s="1"/>
  <c r="D184"/>
  <c r="D186" s="1"/>
  <c r="D187" s="1"/>
  <c r="D188" s="1"/>
  <c r="D232" s="1"/>
  <c r="C187"/>
  <c r="C188" s="1"/>
  <c r="C232" s="1"/>
  <c r="B184"/>
  <c r="B186" s="1"/>
  <c r="B187" s="1"/>
  <c r="B188" s="1"/>
  <c r="B232" s="1"/>
  <c r="M187"/>
  <c r="M188" s="1"/>
  <c r="M232" s="1"/>
  <c r="J183"/>
  <c r="I184"/>
  <c r="I186" s="1"/>
  <c r="I182"/>
  <c r="G183"/>
  <c r="H159"/>
  <c r="G16"/>
  <c r="G184"/>
  <c r="G186" s="1"/>
  <c r="F182"/>
  <c r="E184"/>
  <c r="E186" s="1"/>
  <c r="E187" s="1"/>
  <c r="E188" s="1"/>
  <c r="E232" s="1"/>
  <c r="E183"/>
  <c r="D182"/>
  <c r="F219"/>
  <c r="J219"/>
  <c r="B219"/>
  <c r="E219"/>
  <c r="I219"/>
  <c r="M219"/>
  <c r="D219"/>
  <c r="H219"/>
  <c r="L219"/>
  <c r="C219"/>
  <c r="G219"/>
  <c r="K219"/>
  <c r="N202"/>
  <c r="N204"/>
  <c r="E216"/>
  <c r="I216"/>
  <c r="M216"/>
  <c r="D216"/>
  <c r="H216"/>
  <c r="L216"/>
  <c r="C216"/>
  <c r="G216"/>
  <c r="K216"/>
  <c r="F216"/>
  <c r="J216"/>
  <c r="H187"/>
  <c r="H188" s="1"/>
  <c r="H232" s="1"/>
  <c r="L187"/>
  <c r="L188" s="1"/>
  <c r="L232" s="1"/>
  <c r="F187"/>
  <c r="F188" s="1"/>
  <c r="F232" s="1"/>
  <c r="M183"/>
  <c r="M164"/>
  <c r="M159"/>
  <c r="I183"/>
  <c r="G164"/>
  <c r="F183"/>
  <c r="G159"/>
  <c r="E164"/>
  <c r="D183"/>
  <c r="E159"/>
  <c r="C182"/>
  <c r="B182"/>
  <c r="C183"/>
  <c r="B183"/>
  <c r="N198"/>
  <c r="N233" s="1"/>
  <c r="B121"/>
  <c r="J121"/>
  <c r="F121"/>
  <c r="B125"/>
  <c r="G114"/>
  <c r="C119"/>
  <c r="G119"/>
  <c r="K119"/>
  <c r="F124"/>
  <c r="F125" s="1"/>
  <c r="F127" s="1"/>
  <c r="F128" s="1"/>
  <c r="J124"/>
  <c r="N42"/>
  <c r="C114"/>
  <c r="J114"/>
  <c r="C120"/>
  <c r="N120" s="1"/>
  <c r="G120"/>
  <c r="K120"/>
  <c r="D123"/>
  <c r="D125" s="1"/>
  <c r="H123"/>
  <c r="H125" s="1"/>
  <c r="L123"/>
  <c r="L125" s="1"/>
  <c r="C123"/>
  <c r="C125" s="1"/>
  <c r="J125"/>
  <c r="P122"/>
  <c r="P125" s="1"/>
  <c r="J127"/>
  <c r="J128" s="1"/>
  <c r="L127"/>
  <c r="L128" s="1"/>
  <c r="H127"/>
  <c r="H128" s="1"/>
  <c r="D127"/>
  <c r="D128" s="1"/>
  <c r="M127"/>
  <c r="M128" s="1"/>
  <c r="I127"/>
  <c r="I128" s="1"/>
  <c r="E127"/>
  <c r="E128" s="1"/>
  <c r="N124"/>
  <c r="N123"/>
  <c r="N125" s="1"/>
  <c r="N119"/>
  <c r="N121" s="1"/>
  <c r="B114"/>
  <c r="K92"/>
  <c r="K209" s="1"/>
  <c r="G92"/>
  <c r="G209" s="1"/>
  <c r="C92"/>
  <c r="C209" s="1"/>
  <c r="L92"/>
  <c r="L209" s="1"/>
  <c r="H92"/>
  <c r="H209" s="1"/>
  <c r="D92"/>
  <c r="D209" s="1"/>
  <c r="M92"/>
  <c r="M209" s="1"/>
  <c r="I92"/>
  <c r="I209" s="1"/>
  <c r="E92"/>
  <c r="E209" s="1"/>
  <c r="B92"/>
  <c r="B209" s="1"/>
  <c r="J92"/>
  <c r="J209" s="1"/>
  <c r="F92"/>
  <c r="F209" s="1"/>
  <c r="J43"/>
  <c r="F29"/>
  <c r="S61"/>
  <c r="F45"/>
  <c r="F30" s="1"/>
  <c r="F37" s="1"/>
  <c r="J16"/>
  <c r="L16"/>
  <c r="F20"/>
  <c r="P61"/>
  <c r="H20"/>
  <c r="I20"/>
  <c r="E20"/>
  <c r="R62"/>
  <c r="K20"/>
  <c r="G20"/>
  <c r="C20"/>
  <c r="Q61"/>
  <c r="R61"/>
  <c r="L20"/>
  <c r="D20"/>
  <c r="Q62"/>
  <c r="S62"/>
  <c r="P62"/>
  <c r="B20"/>
  <c r="J20"/>
  <c r="M16"/>
  <c r="K16"/>
  <c r="D16"/>
  <c r="I16"/>
  <c r="E16"/>
  <c r="B16"/>
  <c r="C16"/>
  <c r="O23" i="1"/>
  <c r="N22"/>
  <c r="N34" s="1"/>
  <c r="N40" s="1"/>
  <c r="I22"/>
  <c r="I34" s="1"/>
  <c r="I40" s="1"/>
  <c r="H22"/>
  <c r="H34" s="1"/>
  <c r="H40" s="1"/>
  <c r="J22"/>
  <c r="J34" s="1"/>
  <c r="J40" s="1"/>
  <c r="K22"/>
  <c r="K34" s="1"/>
  <c r="K40" s="1"/>
  <c r="K35"/>
  <c r="K41" s="1"/>
  <c r="I35"/>
  <c r="I41" s="1"/>
  <c r="G35"/>
  <c r="G41" s="1"/>
  <c r="E35"/>
  <c r="E41" s="1"/>
  <c r="C35"/>
  <c r="C41" s="1"/>
  <c r="C47" s="1"/>
  <c r="L34"/>
  <c r="L40" s="1"/>
  <c r="F34"/>
  <c r="D34"/>
  <c r="D40" s="1"/>
  <c r="C34"/>
  <c r="C40" s="1"/>
  <c r="E34"/>
  <c r="E40" s="1"/>
  <c r="G34"/>
  <c r="G40" s="1"/>
  <c r="M34"/>
  <c r="M40" s="1"/>
  <c r="D35"/>
  <c r="D41" s="1"/>
  <c r="F35"/>
  <c r="F41" s="1"/>
  <c r="H35"/>
  <c r="H41" s="1"/>
  <c r="J35"/>
  <c r="J41" s="1"/>
  <c r="L35"/>
  <c r="L41" s="1"/>
  <c r="N35"/>
  <c r="M35"/>
  <c r="M41" s="1"/>
  <c r="C215" i="4" l="1"/>
  <c r="G215"/>
  <c r="J215"/>
  <c r="M215"/>
  <c r="B215"/>
  <c r="D215"/>
  <c r="K215"/>
  <c r="H215"/>
  <c r="E215"/>
  <c r="F215"/>
  <c r="L215"/>
  <c r="M58"/>
  <c r="M59"/>
  <c r="M57"/>
  <c r="M56"/>
  <c r="L57"/>
  <c r="L56"/>
  <c r="G56"/>
  <c r="G57"/>
  <c r="K187"/>
  <c r="K188" s="1"/>
  <c r="K232" s="1"/>
  <c r="K58"/>
  <c r="K59"/>
  <c r="J58"/>
  <c r="J59"/>
  <c r="J56"/>
  <c r="J57"/>
  <c r="I59"/>
  <c r="I58"/>
  <c r="I57"/>
  <c r="I56"/>
  <c r="H58"/>
  <c r="H59"/>
  <c r="H56"/>
  <c r="I153"/>
  <c r="E57"/>
  <c r="E56"/>
  <c r="E59"/>
  <c r="E58"/>
  <c r="D56"/>
  <c r="D57"/>
  <c r="C59"/>
  <c r="C58"/>
  <c r="C57"/>
  <c r="C56"/>
  <c r="B59"/>
  <c r="B58"/>
  <c r="B70"/>
  <c r="B135" s="1"/>
  <c r="C133" s="1"/>
  <c r="B57"/>
  <c r="B56"/>
  <c r="I187"/>
  <c r="I188" s="1"/>
  <c r="I232" s="1"/>
  <c r="G187"/>
  <c r="G188" s="1"/>
  <c r="G232" s="1"/>
  <c r="F36"/>
  <c r="N219"/>
  <c r="D210"/>
  <c r="D235" s="1"/>
  <c r="G210"/>
  <c r="G235" s="1"/>
  <c r="J210"/>
  <c r="J235" s="1"/>
  <c r="M210"/>
  <c r="M235" s="1"/>
  <c r="C210"/>
  <c r="C235" s="1"/>
  <c r="F210"/>
  <c r="F235" s="1"/>
  <c r="I210"/>
  <c r="I235" s="1"/>
  <c r="L210"/>
  <c r="L235" s="1"/>
  <c r="E210"/>
  <c r="E235" s="1"/>
  <c r="H210"/>
  <c r="H235" s="1"/>
  <c r="K210"/>
  <c r="K235" s="1"/>
  <c r="B216"/>
  <c r="N216" s="1"/>
  <c r="N214"/>
  <c r="B210"/>
  <c r="B235" s="1"/>
  <c r="B71"/>
  <c r="B141" s="1"/>
  <c r="C121"/>
  <c r="C127" s="1"/>
  <c r="C128" s="1"/>
  <c r="G121"/>
  <c r="G127" s="1"/>
  <c r="G128" s="1"/>
  <c r="K121"/>
  <c r="K127" s="1"/>
  <c r="K128" s="1"/>
  <c r="B127"/>
  <c r="B128" s="1"/>
  <c r="N127"/>
  <c r="N128" s="1"/>
  <c r="C46" i="1"/>
  <c r="L47"/>
  <c r="F47"/>
  <c r="E46"/>
  <c r="L46"/>
  <c r="I47"/>
  <c r="J46"/>
  <c r="M47"/>
  <c r="J47"/>
  <c r="D47"/>
  <c r="K47"/>
  <c r="H46"/>
  <c r="G47"/>
  <c r="H47"/>
  <c r="M46"/>
  <c r="D46"/>
  <c r="E47"/>
  <c r="I46"/>
  <c r="G46"/>
  <c r="K46"/>
  <c r="N46"/>
  <c r="O22"/>
  <c r="O34"/>
  <c r="N41"/>
  <c r="O35"/>
  <c r="F40"/>
  <c r="N164" i="4" l="1"/>
  <c r="L45"/>
  <c r="L30" s="1"/>
  <c r="L37" s="1"/>
  <c r="L44"/>
  <c r="L29" s="1"/>
  <c r="L36" s="1"/>
  <c r="N159"/>
  <c r="L43"/>
  <c r="N153"/>
  <c r="L42"/>
  <c r="N148"/>
  <c r="K43"/>
  <c r="K28" s="1"/>
  <c r="K35" s="1"/>
  <c r="M153"/>
  <c r="M148"/>
  <c r="K42"/>
  <c r="H153"/>
  <c r="F43"/>
  <c r="F42"/>
  <c r="F27" s="1"/>
  <c r="F34" s="1"/>
  <c r="H148"/>
  <c r="J44"/>
  <c r="K29" s="1"/>
  <c r="K36" s="1"/>
  <c r="L159"/>
  <c r="L164"/>
  <c r="J45"/>
  <c r="K30" s="1"/>
  <c r="I44"/>
  <c r="K159"/>
  <c r="I45"/>
  <c r="K164"/>
  <c r="I43"/>
  <c r="J28" s="1"/>
  <c r="J35" s="1"/>
  <c r="K153"/>
  <c r="I42"/>
  <c r="K148"/>
  <c r="J27"/>
  <c r="J34" s="1"/>
  <c r="H45"/>
  <c r="J164"/>
  <c r="J159"/>
  <c r="H44"/>
  <c r="H43"/>
  <c r="H28" s="1"/>
  <c r="H35" s="1"/>
  <c r="J153"/>
  <c r="J148"/>
  <c r="H42"/>
  <c r="I27" s="1"/>
  <c r="I34" s="1"/>
  <c r="I159"/>
  <c r="G44"/>
  <c r="I164"/>
  <c r="G45"/>
  <c r="G30" s="1"/>
  <c r="G37" s="1"/>
  <c r="I148"/>
  <c r="G42"/>
  <c r="D43"/>
  <c r="F153"/>
  <c r="E28"/>
  <c r="E35" s="1"/>
  <c r="F148"/>
  <c r="D42"/>
  <c r="E27" s="1"/>
  <c r="E34" s="1"/>
  <c r="D45"/>
  <c r="D30" s="1"/>
  <c r="D37" s="1"/>
  <c r="F164"/>
  <c r="D44"/>
  <c r="D29" s="1"/>
  <c r="D36" s="1"/>
  <c r="E29"/>
  <c r="E36" s="1"/>
  <c r="F159"/>
  <c r="E148"/>
  <c r="C42"/>
  <c r="C43"/>
  <c r="E153"/>
  <c r="D28"/>
  <c r="D35" s="1"/>
  <c r="D164"/>
  <c r="B45"/>
  <c r="C30" s="1"/>
  <c r="C37" s="1"/>
  <c r="D159"/>
  <c r="B44"/>
  <c r="C29" s="1"/>
  <c r="C36" s="1"/>
  <c r="B43"/>
  <c r="C28" s="1"/>
  <c r="C35" s="1"/>
  <c r="D153"/>
  <c r="D148"/>
  <c r="B42"/>
  <c r="C27" s="1"/>
  <c r="C34" s="1"/>
  <c r="N59"/>
  <c r="M45" s="1"/>
  <c r="M30" s="1"/>
  <c r="M37" s="1"/>
  <c r="C164"/>
  <c r="A30"/>
  <c r="N58"/>
  <c r="M44" s="1"/>
  <c r="M29" s="1"/>
  <c r="M36" s="1"/>
  <c r="A29"/>
  <c r="C159"/>
  <c r="N57"/>
  <c r="M43" s="1"/>
  <c r="M28" s="1"/>
  <c r="M35" s="1"/>
  <c r="C153"/>
  <c r="A28"/>
  <c r="N56"/>
  <c r="M42" s="1"/>
  <c r="M27" s="1"/>
  <c r="M34" s="1"/>
  <c r="A27"/>
  <c r="C148"/>
  <c r="C75"/>
  <c r="B136"/>
  <c r="C146" s="1"/>
  <c r="C70"/>
  <c r="C135" s="1"/>
  <c r="D133" s="1"/>
  <c r="K37"/>
  <c r="N232"/>
  <c r="G218"/>
  <c r="L218"/>
  <c r="M218"/>
  <c r="D218"/>
  <c r="E218"/>
  <c r="C218"/>
  <c r="H218"/>
  <c r="F218"/>
  <c r="K218"/>
  <c r="I218"/>
  <c r="J218"/>
  <c r="N209"/>
  <c r="N210" s="1"/>
  <c r="N235" s="1"/>
  <c r="B218"/>
  <c r="C76"/>
  <c r="C139"/>
  <c r="B142"/>
  <c r="C157" s="1"/>
  <c r="C71"/>
  <c r="D70"/>
  <c r="D135" s="1"/>
  <c r="O47" i="1"/>
  <c r="N47"/>
  <c r="F46"/>
  <c r="O46" s="1"/>
  <c r="O40"/>
  <c r="O41"/>
  <c r="N218" i="4" l="1"/>
  <c r="L27"/>
  <c r="L34" s="1"/>
  <c r="L38" s="1"/>
  <c r="K27"/>
  <c r="K34" s="1"/>
  <c r="K38" s="1"/>
  <c r="L28"/>
  <c r="L35" s="1"/>
  <c r="G28"/>
  <c r="G35" s="1"/>
  <c r="F28"/>
  <c r="F35" s="1"/>
  <c r="F38" s="1"/>
  <c r="J30"/>
  <c r="J37" s="1"/>
  <c r="J29"/>
  <c r="J36" s="1"/>
  <c r="I30"/>
  <c r="I37" s="1"/>
  <c r="I29"/>
  <c r="I36" s="1"/>
  <c r="J38"/>
  <c r="H30"/>
  <c r="H37" s="1"/>
  <c r="I28"/>
  <c r="I35" s="1"/>
  <c r="G29"/>
  <c r="G36" s="1"/>
  <c r="H29"/>
  <c r="H36" s="1"/>
  <c r="H27"/>
  <c r="H34" s="1"/>
  <c r="G27"/>
  <c r="G34" s="1"/>
  <c r="D27"/>
  <c r="D34" s="1"/>
  <c r="D38" s="1"/>
  <c r="E30"/>
  <c r="E37" s="1"/>
  <c r="E38" s="1"/>
  <c r="C38"/>
  <c r="C231" s="1"/>
  <c r="B28"/>
  <c r="B35" s="1"/>
  <c r="D75"/>
  <c r="C158"/>
  <c r="B29"/>
  <c r="B36" s="1"/>
  <c r="C163"/>
  <c r="B30"/>
  <c r="B37" s="1"/>
  <c r="M38"/>
  <c r="M231" s="1"/>
  <c r="C136"/>
  <c r="D146" s="1"/>
  <c r="C147"/>
  <c r="B27"/>
  <c r="B34" s="1"/>
  <c r="C152"/>
  <c r="C217"/>
  <c r="C220" s="1"/>
  <c r="D222" s="1"/>
  <c r="D76"/>
  <c r="C141"/>
  <c r="D71"/>
  <c r="E133"/>
  <c r="D136"/>
  <c r="E146" s="1"/>
  <c r="E70"/>
  <c r="E135" s="1"/>
  <c r="E75"/>
  <c r="K217" l="1"/>
  <c r="K220" s="1"/>
  <c r="L222" s="1"/>
  <c r="L237" s="1"/>
  <c r="L238" s="1"/>
  <c r="L239" s="1"/>
  <c r="K231"/>
  <c r="L217"/>
  <c r="L220" s="1"/>
  <c r="M222" s="1"/>
  <c r="M237" s="1"/>
  <c r="M238" s="1"/>
  <c r="M239" s="1"/>
  <c r="L231"/>
  <c r="F231"/>
  <c r="F217"/>
  <c r="F220" s="1"/>
  <c r="G222" s="1"/>
  <c r="G237" s="1"/>
  <c r="I38"/>
  <c r="I217" s="1"/>
  <c r="I220" s="1"/>
  <c r="J222" s="1"/>
  <c r="J231"/>
  <c r="J217"/>
  <c r="J220" s="1"/>
  <c r="K222" s="1"/>
  <c r="K237" s="1"/>
  <c r="N37"/>
  <c r="I231"/>
  <c r="N35"/>
  <c r="N36"/>
  <c r="H38"/>
  <c r="H231" s="1"/>
  <c r="G38"/>
  <c r="G217" s="1"/>
  <c r="G220" s="1"/>
  <c r="H222" s="1"/>
  <c r="H237" s="1"/>
  <c r="E231"/>
  <c r="E217"/>
  <c r="E220" s="1"/>
  <c r="F222" s="1"/>
  <c r="F237" s="1"/>
  <c r="F238" s="1"/>
  <c r="F239" s="1"/>
  <c r="D231"/>
  <c r="D217"/>
  <c r="D220" s="1"/>
  <c r="E222" s="1"/>
  <c r="B50"/>
  <c r="C154" s="1"/>
  <c r="B49"/>
  <c r="M217"/>
  <c r="M220" s="1"/>
  <c r="P223" s="1"/>
  <c r="B222" s="1"/>
  <c r="B237" s="1"/>
  <c r="B52"/>
  <c r="B51"/>
  <c r="N34"/>
  <c r="B38"/>
  <c r="D237"/>
  <c r="D139"/>
  <c r="C142"/>
  <c r="D157" s="1"/>
  <c r="E76"/>
  <c r="D141"/>
  <c r="E71"/>
  <c r="F133"/>
  <c r="E136"/>
  <c r="F70"/>
  <c r="F135" s="1"/>
  <c r="F75"/>
  <c r="D223" l="1"/>
  <c r="J223"/>
  <c r="K238"/>
  <c r="K239" s="1"/>
  <c r="L223"/>
  <c r="H238"/>
  <c r="H239" s="1"/>
  <c r="G231"/>
  <c r="G238" s="1"/>
  <c r="G239" s="1"/>
  <c r="K223"/>
  <c r="J237"/>
  <c r="J238" s="1"/>
  <c r="J239" s="1"/>
  <c r="H217"/>
  <c r="H220" s="1"/>
  <c r="I222" s="1"/>
  <c r="I237" s="1"/>
  <c r="I238" s="1"/>
  <c r="I239" s="1"/>
  <c r="G223"/>
  <c r="F223"/>
  <c r="E223"/>
  <c r="E237"/>
  <c r="E238" s="1"/>
  <c r="E239" s="1"/>
  <c r="D238"/>
  <c r="D239" s="1"/>
  <c r="C50"/>
  <c r="D154" s="1"/>
  <c r="C149"/>
  <c r="C49"/>
  <c r="C165"/>
  <c r="C52"/>
  <c r="C160"/>
  <c r="C51"/>
  <c r="D152"/>
  <c r="C155"/>
  <c r="C156" s="1"/>
  <c r="B231"/>
  <c r="B238" s="1"/>
  <c r="B239" s="1"/>
  <c r="B240" s="1"/>
  <c r="N38"/>
  <c r="N231" s="1"/>
  <c r="N222"/>
  <c r="M223"/>
  <c r="E141"/>
  <c r="F71"/>
  <c r="F76"/>
  <c r="E139"/>
  <c r="D142"/>
  <c r="E157" s="1"/>
  <c r="G133"/>
  <c r="F136"/>
  <c r="G146" s="1"/>
  <c r="F146"/>
  <c r="G70"/>
  <c r="G135" s="1"/>
  <c r="G75"/>
  <c r="H223" l="1"/>
  <c r="I223"/>
  <c r="D50"/>
  <c r="E154" s="1"/>
  <c r="D147"/>
  <c r="C150"/>
  <c r="C151" s="1"/>
  <c r="D49"/>
  <c r="D149"/>
  <c r="D163"/>
  <c r="C166"/>
  <c r="C167" s="1"/>
  <c r="D165"/>
  <c r="D52"/>
  <c r="D158"/>
  <c r="C161"/>
  <c r="C162" s="1"/>
  <c r="D160"/>
  <c r="D51"/>
  <c r="E152"/>
  <c r="D155"/>
  <c r="D156" s="1"/>
  <c r="B217"/>
  <c r="B220" s="1"/>
  <c r="N215"/>
  <c r="N217" s="1"/>
  <c r="N220" s="1"/>
  <c r="N223" s="1"/>
  <c r="N237"/>
  <c r="N238" s="1"/>
  <c r="N239" s="1"/>
  <c r="E142"/>
  <c r="F157" s="1"/>
  <c r="F139"/>
  <c r="G71"/>
  <c r="G76"/>
  <c r="F141"/>
  <c r="G136"/>
  <c r="H133"/>
  <c r="H70"/>
  <c r="H135" s="1"/>
  <c r="H75"/>
  <c r="E50" l="1"/>
  <c r="F50" s="1"/>
  <c r="C168"/>
  <c r="E49"/>
  <c r="E149"/>
  <c r="F147" s="1"/>
  <c r="D150"/>
  <c r="D151" s="1"/>
  <c r="E147"/>
  <c r="E158"/>
  <c r="D161"/>
  <c r="D162" s="1"/>
  <c r="E163"/>
  <c r="D166"/>
  <c r="D167" s="1"/>
  <c r="E160"/>
  <c r="E51"/>
  <c r="E165"/>
  <c r="E52"/>
  <c r="C222"/>
  <c r="B223"/>
  <c r="F152"/>
  <c r="E155"/>
  <c r="E156" s="1"/>
  <c r="G139"/>
  <c r="F142"/>
  <c r="G157" s="1"/>
  <c r="G141"/>
  <c r="H71"/>
  <c r="H76"/>
  <c r="I133"/>
  <c r="H136"/>
  <c r="I146" s="1"/>
  <c r="H146"/>
  <c r="I75"/>
  <c r="I70"/>
  <c r="I135" s="1"/>
  <c r="D168" l="1"/>
  <c r="F154"/>
  <c r="F49"/>
  <c r="F149"/>
  <c r="E150"/>
  <c r="E151" s="1"/>
  <c r="F158"/>
  <c r="E161"/>
  <c r="E162" s="1"/>
  <c r="F52"/>
  <c r="F165"/>
  <c r="F160"/>
  <c r="F51"/>
  <c r="F163"/>
  <c r="E166"/>
  <c r="E167" s="1"/>
  <c r="G152"/>
  <c r="F155"/>
  <c r="F156" s="1"/>
  <c r="G50"/>
  <c r="G154"/>
  <c r="C237"/>
  <c r="C238" s="1"/>
  <c r="C239" s="1"/>
  <c r="C240" s="1"/>
  <c r="D240" s="1"/>
  <c r="E240" s="1"/>
  <c r="F240" s="1"/>
  <c r="G240" s="1"/>
  <c r="H240" s="1"/>
  <c r="I240" s="1"/>
  <c r="J240" s="1"/>
  <c r="K240" s="1"/>
  <c r="L240" s="1"/>
  <c r="M240" s="1"/>
  <c r="C223"/>
  <c r="H139"/>
  <c r="G142"/>
  <c r="H157" s="1"/>
  <c r="I76"/>
  <c r="H141"/>
  <c r="I71"/>
  <c r="I136"/>
  <c r="J146" s="1"/>
  <c r="J133"/>
  <c r="J75"/>
  <c r="J70"/>
  <c r="J135" s="1"/>
  <c r="E168" l="1"/>
  <c r="G149"/>
  <c r="G49"/>
  <c r="G147"/>
  <c r="F150"/>
  <c r="F151" s="1"/>
  <c r="G158"/>
  <c r="F161"/>
  <c r="F162" s="1"/>
  <c r="G160"/>
  <c r="G51"/>
  <c r="G165"/>
  <c r="G52"/>
  <c r="G163"/>
  <c r="F166"/>
  <c r="F167" s="1"/>
  <c r="H152"/>
  <c r="G155"/>
  <c r="G156" s="1"/>
  <c r="H154"/>
  <c r="H50"/>
  <c r="J76"/>
  <c r="I141"/>
  <c r="J71"/>
  <c r="H142"/>
  <c r="I157" s="1"/>
  <c r="I139"/>
  <c r="K133"/>
  <c r="J136"/>
  <c r="K146" s="1"/>
  <c r="K70"/>
  <c r="K135" s="1"/>
  <c r="K75"/>
  <c r="F168" l="1"/>
  <c r="H147"/>
  <c r="G150"/>
  <c r="G151" s="1"/>
  <c r="H49"/>
  <c r="H149"/>
  <c r="H165"/>
  <c r="H52"/>
  <c r="H163"/>
  <c r="G166"/>
  <c r="G167" s="1"/>
  <c r="H158"/>
  <c r="G161"/>
  <c r="G162" s="1"/>
  <c r="H51"/>
  <c r="H160"/>
  <c r="I154"/>
  <c r="I50"/>
  <c r="I152"/>
  <c r="H155"/>
  <c r="H156" s="1"/>
  <c r="I142"/>
  <c r="J157" s="1"/>
  <c r="J139"/>
  <c r="K76"/>
  <c r="J141"/>
  <c r="K71"/>
  <c r="K136"/>
  <c r="L146" s="1"/>
  <c r="L133"/>
  <c r="L70"/>
  <c r="L135" s="1"/>
  <c r="L75"/>
  <c r="G168" l="1"/>
  <c r="I149"/>
  <c r="I49"/>
  <c r="H150"/>
  <c r="H151" s="1"/>
  <c r="I147"/>
  <c r="I163"/>
  <c r="H166"/>
  <c r="H167" s="1"/>
  <c r="I165"/>
  <c r="I52"/>
  <c r="I160"/>
  <c r="I51"/>
  <c r="I158"/>
  <c r="H161"/>
  <c r="H162" s="1"/>
  <c r="J152"/>
  <c r="I155"/>
  <c r="I156" s="1"/>
  <c r="J50"/>
  <c r="J154"/>
  <c r="L76"/>
  <c r="K141"/>
  <c r="L71"/>
  <c r="J142"/>
  <c r="K157" s="1"/>
  <c r="K139"/>
  <c r="M133"/>
  <c r="L136"/>
  <c r="M146" s="1"/>
  <c r="M75"/>
  <c r="M70"/>
  <c r="M135" s="1"/>
  <c r="J149" l="1"/>
  <c r="J49"/>
  <c r="J147"/>
  <c r="I150"/>
  <c r="I151" s="1"/>
  <c r="H168"/>
  <c r="J165"/>
  <c r="J52"/>
  <c r="J158"/>
  <c r="I161"/>
  <c r="I162" s="1"/>
  <c r="I168" s="1"/>
  <c r="J51"/>
  <c r="J160"/>
  <c r="J163"/>
  <c r="I166"/>
  <c r="I167" s="1"/>
  <c r="K50"/>
  <c r="K154"/>
  <c r="K152"/>
  <c r="J155"/>
  <c r="J156" s="1"/>
  <c r="M136"/>
  <c r="N136" s="1"/>
  <c r="O146" s="1"/>
  <c r="L139"/>
  <c r="K142"/>
  <c r="L157" s="1"/>
  <c r="M71"/>
  <c r="M141" s="1"/>
  <c r="L141"/>
  <c r="M76"/>
  <c r="J150" l="1"/>
  <c r="J151" s="1"/>
  <c r="K147"/>
  <c r="K49"/>
  <c r="K149"/>
  <c r="K51"/>
  <c r="K160"/>
  <c r="K165"/>
  <c r="K52"/>
  <c r="K163"/>
  <c r="J166"/>
  <c r="J167" s="1"/>
  <c r="K158"/>
  <c r="J161"/>
  <c r="J162" s="1"/>
  <c r="L50"/>
  <c r="L154"/>
  <c r="L152"/>
  <c r="K155"/>
  <c r="K156" s="1"/>
  <c r="N146"/>
  <c r="L142"/>
  <c r="M139"/>
  <c r="M142" s="1"/>
  <c r="N157" s="1"/>
  <c r="J168" l="1"/>
  <c r="L149"/>
  <c r="L49"/>
  <c r="K150"/>
  <c r="K151" s="1"/>
  <c r="L147"/>
  <c r="L51"/>
  <c r="L160"/>
  <c r="L158"/>
  <c r="K161"/>
  <c r="K162" s="1"/>
  <c r="L163"/>
  <c r="K166"/>
  <c r="K167" s="1"/>
  <c r="L165"/>
  <c r="L52"/>
  <c r="M154"/>
  <c r="M50"/>
  <c r="N154" s="1"/>
  <c r="M152"/>
  <c r="L155"/>
  <c r="L156" s="1"/>
  <c r="M157"/>
  <c r="N142"/>
  <c r="O157" s="1"/>
  <c r="K168" l="1"/>
  <c r="L150"/>
  <c r="L151" s="1"/>
  <c r="M147"/>
  <c r="M49"/>
  <c r="N149" s="1"/>
  <c r="M149"/>
  <c r="M160"/>
  <c r="M51"/>
  <c r="N160" s="1"/>
  <c r="M158"/>
  <c r="L161"/>
  <c r="L162" s="1"/>
  <c r="M163"/>
  <c r="L166"/>
  <c r="L167" s="1"/>
  <c r="M52"/>
  <c r="N165" s="1"/>
  <c r="M165"/>
  <c r="N152"/>
  <c r="N155" s="1"/>
  <c r="N156" s="1"/>
  <c r="M155"/>
  <c r="M156" s="1"/>
  <c r="M150" l="1"/>
  <c r="M151" s="1"/>
  <c r="N147"/>
  <c r="N150" s="1"/>
  <c r="N151" s="1"/>
  <c r="L168"/>
  <c r="N163"/>
  <c r="M166"/>
  <c r="M167" s="1"/>
  <c r="N158"/>
  <c r="N161" s="1"/>
  <c r="N162" s="1"/>
  <c r="M161"/>
  <c r="M162" s="1"/>
  <c r="N166"/>
  <c r="N167" s="1"/>
  <c r="M168" l="1"/>
  <c r="N168"/>
</calcChain>
</file>

<file path=xl/sharedStrings.xml><?xml version="1.0" encoding="utf-8"?>
<sst xmlns="http://schemas.openxmlformats.org/spreadsheetml/2006/main" count="727" uniqueCount="230">
  <si>
    <t>1.- Pronóstico de Ventas</t>
  </si>
  <si>
    <t>Producto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</si>
  <si>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</si>
  <si>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</si>
  <si>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</si>
  <si>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</si>
  <si>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</si>
  <si>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</si>
  <si>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</si>
  <si>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</si>
  <si>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</si>
  <si>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Septiem.</t>
  </si>
  <si>
    <t>Octubre</t>
  </si>
  <si>
    <t>Noviembre</t>
  </si>
  <si>
    <t>Diciembre</t>
  </si>
  <si>
    <t>A</t>
  </si>
  <si>
    <t>B</t>
  </si>
  <si>
    <t>2.- Datos de Facturación y Pagos</t>
  </si>
  <si>
    <t>4.-  Standard de Producción</t>
  </si>
  <si>
    <t>Materia Prima</t>
  </si>
  <si>
    <t>Costo ($/kg)</t>
  </si>
  <si>
    <t>Mano de Obra</t>
  </si>
  <si>
    <t>Proceso 1</t>
  </si>
  <si>
    <t>100 unidades p/turno</t>
  </si>
  <si>
    <t>Proceso 2</t>
  </si>
  <si>
    <t>80 unidades p/turno</t>
  </si>
  <si>
    <t>Equipos</t>
  </si>
  <si>
    <t>5.- Inversiones</t>
  </si>
  <si>
    <t>6.- Gastos Generales de Fabricación</t>
  </si>
  <si>
    <t>7.- Gastos Generales de Administración y Ventas.</t>
  </si>
  <si>
    <t>8.- Impuestos</t>
  </si>
  <si>
    <t>Grupo</t>
  </si>
  <si>
    <t>2.1.- Condicones de cobranza: 50 % Contado + 50% a 30 días Fecha Factura</t>
  </si>
  <si>
    <t xml:space="preserve">      2.3.- </t>
  </si>
  <si>
    <r>
      <t>3)</t>
    </r>
    <r>
      <rPr>
        <sz val="10"/>
        <rFont val="Arial"/>
        <family val="2"/>
      </rPr>
      <t xml:space="preserve"> 2.2.-</t>
    </r>
  </si>
  <si>
    <r>
      <t>2)</t>
    </r>
    <r>
      <rPr>
        <sz val="10"/>
        <rFont val="Arial"/>
        <family val="2"/>
      </rPr>
      <t xml:space="preserve"> 2.2.-</t>
    </r>
  </si>
  <si>
    <t>Ducrey</t>
  </si>
  <si>
    <t>Paez</t>
  </si>
  <si>
    <t>Pons</t>
  </si>
  <si>
    <t>Kg MP/U prod.</t>
  </si>
  <si>
    <t>Prod A</t>
  </si>
  <si>
    <t>Prod B</t>
  </si>
  <si>
    <t>HH / U prod.</t>
  </si>
  <si>
    <t>9.- Amortizaciones</t>
  </si>
  <si>
    <t>Galli</t>
  </si>
  <si>
    <t>Información en las Organizaciones (71 - 13)</t>
  </si>
  <si>
    <t>Un equipo de 5 personas producen</t>
  </si>
  <si>
    <t>Un equipo de 4 personas producen</t>
  </si>
  <si>
    <t>Un equipo de 3 personas producen</t>
  </si>
  <si>
    <t>Presupuesto - Datos Básicos para ejercicio de aplicación que consiste en confeccionar:</t>
  </si>
  <si>
    <t>- Presupuesto físico</t>
  </si>
  <si>
    <t>- Presupuesto económico</t>
  </si>
  <si>
    <t>- Presupuesto financiero</t>
  </si>
  <si>
    <t>- Cuadro de resultados</t>
  </si>
  <si>
    <t>2.2.-</t>
  </si>
  <si>
    <t xml:space="preserve">2.3.- </t>
  </si>
  <si>
    <t>3.2.- Para Materia Prima - Stock igual al 10 % de la cantidad de materia prima requerida para producción del mes siguiente</t>
  </si>
  <si>
    <t>Para completar los gastos de Aguinaldo , Obra social ,  Aportes patronales, Provisión por despido y Vacaciones, se asume el 80%  de la remuneración Bruta</t>
  </si>
  <si>
    <t>Unidad de Medida: Unidad de producto</t>
  </si>
  <si>
    <t xml:space="preserve">Gastos generales de Administración  se han previsto en $ 120.000.- mensuales. </t>
  </si>
  <si>
    <t>3.1.- Para producto terminado - Equivalente al 20 % de las ventas del mes siguiente</t>
  </si>
  <si>
    <t>3.-  Políticas de Stocks</t>
  </si>
  <si>
    <t>El monto de impuestos se estima en 35 % sobre la Utilidad Bruta y se pagan al mes siguiente de realizada la venta.</t>
  </si>
  <si>
    <t>Martinez</t>
  </si>
  <si>
    <t>110 unidades p/turno</t>
  </si>
  <si>
    <t>90 unidades p/turno</t>
  </si>
  <si>
    <t>Grupo Omar Ducrey</t>
  </si>
  <si>
    <t>Grupo Constantino Martinez</t>
  </si>
  <si>
    <t>Grupo Adriana Galli</t>
  </si>
  <si>
    <t>Grupo Viviana Paez</t>
  </si>
  <si>
    <t>Grupo Inés Pons</t>
  </si>
  <si>
    <t>A partir de los siguientes datos básicos:</t>
  </si>
  <si>
    <t xml:space="preserve">La empresa fundamenta las ventas del año proximo (2014) incrementando las ventas del año en curso más un 2% en terminos de unidades. </t>
  </si>
  <si>
    <t>2.2.- Porcentaje (%) que se factura de lo vendido.</t>
  </si>
  <si>
    <t>2.3.- Porcentaje (% ) de incobrabilidad.</t>
  </si>
  <si>
    <t>Código 01</t>
  </si>
  <si>
    <t>Código 02</t>
  </si>
  <si>
    <t>Código 03</t>
  </si>
  <si>
    <t>Código 04</t>
  </si>
  <si>
    <t>Remuneración Bruta Promedio 34 $/HH</t>
  </si>
  <si>
    <t>Remuneración Bruta Promedio 28 $/HH</t>
  </si>
  <si>
    <t>Remuneración Bruta Promedio 42 $/HH</t>
  </si>
  <si>
    <t>Remuneración Bruta Promedio 31 $/HH</t>
  </si>
  <si>
    <t>Lunes aViernes trabajan 8 hs por turno, Sábados 4 horas</t>
  </si>
  <si>
    <t>(Este es un indice que calcula cada empresa en función de múltiples variables)</t>
  </si>
  <si>
    <t>En la Orden de compra con el provedor de los equipos y su montaje consta que se pagará a partir de Abril en 5 cuotas iguales y mensuales.</t>
  </si>
  <si>
    <t>De acuerdo a los planes de la empresa, se renovarán equipos por  $ 950.000.-</t>
  </si>
  <si>
    <t>Mantenimiento:  $ 87.000.- por mes salvo en Enero, Febrero  y Marzo que se incrementan en $ 20.000.-</t>
  </si>
  <si>
    <t>Gastos Generales: supervisión, insumos y otros gastos no vinculados directamente a la cantidad producida se han previsto en $ 145.000.- mensuales.</t>
  </si>
  <si>
    <t>Gastos de Comercialización: calculados 5 % del monto de venta y se desembolsan dos meses antes de que se efectue la venta.</t>
  </si>
  <si>
    <t>Inmuebles, valuados en  $ 1.500.000.-  amortizables en 50 años.</t>
  </si>
  <si>
    <t>Equipos de producción y bienes muebles valuados en $ 500.000.- amortizables en 10 años.</t>
  </si>
  <si>
    <r>
      <t xml:space="preserve">NOTA: </t>
    </r>
    <r>
      <rPr>
        <sz val="10"/>
        <rFont val="Arial"/>
        <family val="2"/>
      </rPr>
      <t>todo dato, premisa o información que considere faltante se deberá / podrá agregar haciendo expresa mención de la misma y criterio que se ha asumido.</t>
    </r>
  </si>
  <si>
    <t>- Flujo de fondos (cash flow)</t>
  </si>
  <si>
    <t>Los valores de 2015, de ser necesarios, responderán a la misma premisa respecto del 2014.</t>
  </si>
  <si>
    <t>Precios de venta: Producto A = $ 850 / Unidad.-; Producto B = $ 1.200 / Unidad. Precios de venta sin IVA. Los precios en el 2014 no tendrán variación.</t>
  </si>
  <si>
    <t>Septiembre</t>
  </si>
  <si>
    <t>Procesos</t>
  </si>
  <si>
    <t>1A</t>
  </si>
  <si>
    <t>2A</t>
  </si>
  <si>
    <t>1B</t>
  </si>
  <si>
    <t>2B</t>
  </si>
  <si>
    <t>3B</t>
  </si>
  <si>
    <t>4B</t>
  </si>
  <si>
    <t>Produccion</t>
  </si>
  <si>
    <t>Materia Prima por Unidad de PT</t>
  </si>
  <si>
    <t>PT por Unidad de Proceso</t>
  </si>
  <si>
    <t>Total A</t>
  </si>
  <si>
    <t>Total B</t>
  </si>
  <si>
    <t>Factor Aumento Ventas</t>
  </si>
  <si>
    <t>Factor Stock PT</t>
  </si>
  <si>
    <t>Factor Stock MP</t>
  </si>
  <si>
    <t>Ventas Enero 2015</t>
  </si>
  <si>
    <t>Restante PT</t>
  </si>
  <si>
    <t>Produccion Requerida</t>
  </si>
  <si>
    <t>MP Necesaria</t>
  </si>
  <si>
    <t>Costos</t>
  </si>
  <si>
    <t>P1A</t>
  </si>
  <si>
    <t>P2A</t>
  </si>
  <si>
    <t>P1B</t>
  </si>
  <si>
    <t>P2B</t>
  </si>
  <si>
    <t>Material</t>
  </si>
  <si>
    <t>M.Obra</t>
  </si>
  <si>
    <t>Trabajadores por proceso</t>
  </si>
  <si>
    <t>Remuneracion/h</t>
  </si>
  <si>
    <t>Total</t>
  </si>
  <si>
    <t>Total mas Cargas</t>
  </si>
  <si>
    <t>Compras MP</t>
  </si>
  <si>
    <t>Requerimiento de PT</t>
  </si>
  <si>
    <t>Inversiones</t>
  </si>
  <si>
    <t>Mantenimiento</t>
  </si>
  <si>
    <t>Generales</t>
  </si>
  <si>
    <t>Administración</t>
  </si>
  <si>
    <t>Comercialización</t>
  </si>
  <si>
    <t>Precios de Venta</t>
  </si>
  <si>
    <t>Iva</t>
  </si>
  <si>
    <t>Gastos Diferidos</t>
  </si>
  <si>
    <t>Incobrabilidad</t>
  </si>
  <si>
    <t>Facturacion</t>
  </si>
  <si>
    <t>Presupuesto de Facturación (En Miles)</t>
  </si>
  <si>
    <t>Presupuesto de Ventas (En Miles)</t>
  </si>
  <si>
    <t>Producto A</t>
  </si>
  <si>
    <t>Producto B</t>
  </si>
  <si>
    <t>50% mes anterior</t>
  </si>
  <si>
    <t>50% mes actual</t>
  </si>
  <si>
    <t>Factor division Muestra</t>
  </si>
  <si>
    <t>Porciento</t>
  </si>
  <si>
    <t>Porcentaje Cobranza</t>
  </si>
  <si>
    <t>Prespuesto de Cobranzas (En Miles)</t>
  </si>
  <si>
    <t>Total A+B</t>
  </si>
  <si>
    <t>Presupuesto de Produccion</t>
  </si>
  <si>
    <t>Stock Inicial</t>
  </si>
  <si>
    <t>Ventas</t>
  </si>
  <si>
    <t>Stock Final</t>
  </si>
  <si>
    <t>QP</t>
  </si>
  <si>
    <t>Ventas Diciembre 2013 (Miles)</t>
  </si>
  <si>
    <t>Facturacion Diciembre 2013(Miles)</t>
  </si>
  <si>
    <t>Total A+B neto inc</t>
  </si>
  <si>
    <t>Presupuesto de Materias Primas</t>
  </si>
  <si>
    <t>Supuestos</t>
  </si>
  <si>
    <t>Las ventas de Diciembre de 2013 se toman como 2% menos que las del correspondiente mes de 2014</t>
  </si>
  <si>
    <t>Valor</t>
  </si>
  <si>
    <t>Qp</t>
  </si>
  <si>
    <t>Q Necesario</t>
  </si>
  <si>
    <t>Q Total</t>
  </si>
  <si>
    <t>Q Valorizado</t>
  </si>
  <si>
    <t>MP1</t>
  </si>
  <si>
    <t>MP2</t>
  </si>
  <si>
    <t>MP3</t>
  </si>
  <si>
    <t>MP4</t>
  </si>
  <si>
    <t>MONTO TOTAL COMPRA</t>
  </si>
  <si>
    <t>MP Stock Necesario</t>
  </si>
  <si>
    <t>MP Restante</t>
  </si>
  <si>
    <t>Enero (2015)</t>
  </si>
  <si>
    <t>Ventas Febrero 2015</t>
  </si>
  <si>
    <t>Presupuesto de Mano de Obra</t>
  </si>
  <si>
    <t>Turnos Proceso 1</t>
  </si>
  <si>
    <t>Cantidad Operarios P1</t>
  </si>
  <si>
    <t>Turnos Proceso 2</t>
  </si>
  <si>
    <t>Cantidad Operarios P2</t>
  </si>
  <si>
    <t>Total Turnos</t>
  </si>
  <si>
    <t>Total Operarios</t>
  </si>
  <si>
    <t>Remuneracion Bruto</t>
  </si>
  <si>
    <t>Remuneracion H.Extras</t>
  </si>
  <si>
    <t>Total Bruto</t>
  </si>
  <si>
    <t>Cargos Adicionales</t>
  </si>
  <si>
    <t>Total Neto</t>
  </si>
  <si>
    <t>Gastos de Fabricación</t>
  </si>
  <si>
    <t>Gastos de Administración y Ventas</t>
  </si>
  <si>
    <t>Costos Variables</t>
  </si>
  <si>
    <t>Costos Fijos Imputables</t>
  </si>
  <si>
    <t>Margen de Contribución</t>
  </si>
  <si>
    <t>Costos Fijos No Imputables</t>
  </si>
  <si>
    <t>Amortizaciones</t>
  </si>
  <si>
    <t>Utilidad Bruta</t>
  </si>
  <si>
    <t>Intereses</t>
  </si>
  <si>
    <t>Impuestos</t>
  </si>
  <si>
    <t>Utilidad Neta</t>
  </si>
  <si>
    <t>Años</t>
  </si>
  <si>
    <t>Anual</t>
  </si>
  <si>
    <t>Mensual</t>
  </si>
  <si>
    <t>Costo Compras MP</t>
  </si>
  <si>
    <t>Factor Impuestos</t>
  </si>
  <si>
    <t>Cuadro de Resultados</t>
  </si>
  <si>
    <t>Flujo Neto de Caja</t>
  </si>
  <si>
    <t>Cobranzas</t>
  </si>
  <si>
    <t>Otros Ingresos</t>
  </si>
  <si>
    <t>Mano de Obra Directa</t>
  </si>
  <si>
    <t>Gastos Generales de Fabricación</t>
  </si>
  <si>
    <t>Gastos Grles Administracion y Vtas</t>
  </si>
  <si>
    <t>Otros Egresos</t>
  </si>
  <si>
    <t>Total Egresos</t>
  </si>
  <si>
    <t>Total Ingresos</t>
  </si>
  <si>
    <t>Flujo Acumulado del Ejercicio</t>
  </si>
  <si>
    <t>Costo por Proceso</t>
  </si>
  <si>
    <t>Ventas (En Miles de pesos Sin Iva)</t>
  </si>
  <si>
    <t>Gastos (En Miles de Pesos)</t>
  </si>
  <si>
    <t>Requerimiento de PT - Stock Anterior</t>
  </si>
  <si>
    <t>Horas Trabajo por Turno</t>
  </si>
  <si>
    <t>Utilidad Bruta Diciembre 2013</t>
  </si>
  <si>
    <t>La Empresa Inicia 2014 con Stock de MP igual al 10% de lo necesario para la produccion correspondiente a las ventas de Enero 2014</t>
  </si>
  <si>
    <t>La Empresa Inicia 2014 con stock de PT igual al 20% de lo correspondiente a las ventas de Enero 2014</t>
  </si>
  <si>
    <t>A1</t>
  </si>
  <si>
    <t>A2</t>
  </si>
  <si>
    <t>B1</t>
  </si>
  <si>
    <t>B2</t>
  </si>
  <si>
    <t>Costos Unitarios Materia Prima</t>
  </si>
  <si>
    <t>Costos Unitarios Mano Obra</t>
  </si>
  <si>
    <t>Costos Unitarios Totales</t>
  </si>
  <si>
    <t>gv</t>
  </si>
</sst>
</file>

<file path=xl/styles.xml><?xml version="1.0" encoding="utf-8"?>
<styleSheet xmlns="http://schemas.openxmlformats.org/spreadsheetml/2006/main">
  <numFmts count="2">
    <numFmt numFmtId="164" formatCode="&quot;$&quot;\ #,##0"/>
    <numFmt numFmtId="165" formatCode="&quot;$&quot;\ #,##0.0"/>
  </numFmts>
  <fonts count="12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Fill="0"/>
  </cellStyleXfs>
  <cellXfs count="191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1" fillId="0" borderId="0" xfId="0" applyFont="1"/>
    <xf numFmtId="9" fontId="1" fillId="0" borderId="0" xfId="0" applyNumberFormat="1" applyFont="1"/>
    <xf numFmtId="9" fontId="0" fillId="0" borderId="0" xfId="0" applyNumberForma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0" xfId="0" applyFont="1"/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quotePrefix="1" applyFont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0" xfId="0" applyNumberFormat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0" fontId="8" fillId="0" borderId="0" xfId="0" applyFont="1"/>
    <xf numFmtId="0" fontId="0" fillId="0" borderId="1" xfId="0" applyBorder="1" applyAlignment="1">
      <alignment horizontal="center"/>
    </xf>
    <xf numFmtId="0" fontId="6" fillId="0" borderId="0" xfId="0" applyFont="1" applyFill="1" applyBorder="1"/>
    <xf numFmtId="0" fontId="0" fillId="0" borderId="1" xfId="0" applyBorder="1" applyAlignment="1"/>
    <xf numFmtId="0" fontId="6" fillId="0" borderId="1" xfId="0" applyFont="1" applyBorder="1"/>
    <xf numFmtId="0" fontId="6" fillId="0" borderId="1" xfId="0" applyFont="1" applyFill="1" applyBorder="1"/>
    <xf numFmtId="0" fontId="6" fillId="3" borderId="1" xfId="0" applyFont="1" applyFill="1" applyBorder="1"/>
    <xf numFmtId="1" fontId="0" fillId="3" borderId="1" xfId="0" applyNumberFormat="1" applyFill="1" applyBorder="1"/>
    <xf numFmtId="0" fontId="0" fillId="0" borderId="51" xfId="0" applyBorder="1"/>
    <xf numFmtId="0" fontId="0" fillId="0" borderId="50" xfId="0" applyBorder="1"/>
    <xf numFmtId="0" fontId="0" fillId="0" borderId="49" xfId="0" applyBorder="1"/>
    <xf numFmtId="0" fontId="0" fillId="0" borderId="52" xfId="0" applyBorder="1"/>
    <xf numFmtId="0" fontId="0" fillId="0" borderId="1" xfId="0" applyBorder="1"/>
    <xf numFmtId="0" fontId="0" fillId="0" borderId="1" xfId="0" applyBorder="1"/>
    <xf numFmtId="0" fontId="0" fillId="0" borderId="53" xfId="0" applyFont="1" applyFill="1" applyBorder="1"/>
    <xf numFmtId="0" fontId="0" fillId="0" borderId="1" xfId="0" applyFont="1" applyFill="1" applyBorder="1"/>
    <xf numFmtId="164" fontId="0" fillId="0" borderId="1" xfId="0" applyNumberFormat="1" applyBorder="1"/>
    <xf numFmtId="0" fontId="10" fillId="0" borderId="1" xfId="0" applyFont="1" applyBorder="1"/>
    <xf numFmtId="0" fontId="10" fillId="0" borderId="1" xfId="0" applyFont="1" applyFill="1" applyBorder="1"/>
    <xf numFmtId="17" fontId="6" fillId="0" borderId="1" xfId="0" applyNumberFormat="1" applyFont="1" applyBorder="1"/>
    <xf numFmtId="0" fontId="0" fillId="0" borderId="53" xfId="0" applyFill="1" applyBorder="1"/>
    <xf numFmtId="1" fontId="0" fillId="0" borderId="1" xfId="0" applyNumberFormat="1" applyFill="1" applyBorder="1"/>
    <xf numFmtId="0" fontId="0" fillId="0" borderId="51" xfId="0" applyFont="1" applyFill="1" applyBorder="1"/>
    <xf numFmtId="0" fontId="6" fillId="10" borderId="1" xfId="0" applyFont="1" applyFill="1" applyBorder="1"/>
    <xf numFmtId="0" fontId="6" fillId="0" borderId="38" xfId="0" applyFont="1" applyBorder="1"/>
    <xf numFmtId="0" fontId="6" fillId="12" borderId="1" xfId="0" applyFont="1" applyFill="1" applyBorder="1"/>
    <xf numFmtId="1" fontId="6" fillId="0" borderId="1" xfId="0" applyNumberFormat="1" applyFont="1" applyBorder="1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165" fontId="0" fillId="0" borderId="54" xfId="0" applyNumberFormat="1" applyFill="1" applyBorder="1"/>
    <xf numFmtId="165" fontId="0" fillId="0" borderId="0" xfId="0" applyNumberFormat="1" applyBorder="1"/>
    <xf numFmtId="0" fontId="6" fillId="0" borderId="0" xfId="0" applyFont="1" applyFill="1" applyBorder="1" applyAlignment="1"/>
    <xf numFmtId="0" fontId="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/>
    <xf numFmtId="0" fontId="0" fillId="0" borderId="0" xfId="0" applyBorder="1" applyAlignment="1"/>
    <xf numFmtId="0" fontId="6" fillId="0" borderId="18" xfId="0" applyFont="1" applyBorder="1" applyAlignment="1"/>
    <xf numFmtId="0" fontId="0" fillId="0" borderId="19" xfId="0" applyBorder="1" applyAlignment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24" xfId="0" applyFont="1" applyBorder="1" applyAlignment="1"/>
    <xf numFmtId="0" fontId="0" fillId="0" borderId="25" xfId="0" applyBorder="1" applyAlignment="1"/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/>
    <xf numFmtId="0" fontId="3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6" fillId="4" borderId="49" xfId="0" applyFont="1" applyFill="1" applyBorder="1" applyAlignment="1">
      <alignment horizontal="center"/>
    </xf>
    <xf numFmtId="0" fontId="6" fillId="4" borderId="50" xfId="0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1" xfId="0" applyBorder="1"/>
    <xf numFmtId="0" fontId="6" fillId="14" borderId="39" xfId="0" applyFont="1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6" fillId="11" borderId="49" xfId="0" applyFont="1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1" borderId="50" xfId="0" applyFont="1" applyFill="1" applyBorder="1" applyAlignment="1">
      <alignment horizontal="center"/>
    </xf>
    <xf numFmtId="0" fontId="6" fillId="11" borderId="5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PRONOSTICO DE VENTAS 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AR" sz="900"/>
              <a:t>(Grupo  Imes Pons)</a:t>
            </a:r>
          </a:p>
        </c:rich>
      </c:tx>
      <c:layout>
        <c:manualLayout>
          <c:xMode val="edge"/>
          <c:yMode val="edge"/>
          <c:x val="0.39760638297872436"/>
          <c:y val="3.2171623884184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34583280356948E-2"/>
          <c:y val="0.18766780599107491"/>
          <c:w val="0.89530734681446711"/>
          <c:h val="0.65153558507889264"/>
        </c:manualLayout>
      </c:layout>
      <c:barChart>
        <c:barDir val="col"/>
        <c:grouping val="stacked"/>
        <c:ser>
          <c:idx val="0"/>
          <c:order val="0"/>
          <c:tx>
            <c:v>Producto A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Hoja1!$C$21:$N$21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Septiem.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Hoja1!$C$22:$N$22</c:f>
              <c:numCache>
                <c:formatCode>0</c:formatCode>
                <c:ptCount val="12"/>
                <c:pt idx="0">
                  <c:v>2000</c:v>
                </c:pt>
                <c:pt idx="1">
                  <c:v>2100</c:v>
                </c:pt>
                <c:pt idx="2">
                  <c:v>2100</c:v>
                </c:pt>
                <c:pt idx="3">
                  <c:v>2275</c:v>
                </c:pt>
                <c:pt idx="4">
                  <c:v>2300</c:v>
                </c:pt>
                <c:pt idx="5">
                  <c:v>1997.5</c:v>
                </c:pt>
                <c:pt idx="6">
                  <c:v>2730</c:v>
                </c:pt>
                <c:pt idx="7">
                  <c:v>2606.5</c:v>
                </c:pt>
                <c:pt idx="8">
                  <c:v>2730</c:v>
                </c:pt>
                <c:pt idx="9">
                  <c:v>2300</c:v>
                </c:pt>
                <c:pt idx="10">
                  <c:v>2325</c:v>
                </c:pt>
                <c:pt idx="11">
                  <c:v>1933.75</c:v>
                </c:pt>
              </c:numCache>
            </c:numRef>
          </c:val>
        </c:ser>
        <c:ser>
          <c:idx val="1"/>
          <c:order val="1"/>
          <c:tx>
            <c:v>Producto B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Hoja1!$C$21:$N$21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Septiem.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Hoja1!$C$23:$N$23</c:f>
              <c:numCache>
                <c:formatCode>0</c:formatCode>
                <c:ptCount val="12"/>
                <c:pt idx="0">
                  <c:v>500</c:v>
                </c:pt>
                <c:pt idx="1">
                  <c:v>650</c:v>
                </c:pt>
                <c:pt idx="2">
                  <c:v>800</c:v>
                </c:pt>
                <c:pt idx="3">
                  <c:v>600</c:v>
                </c:pt>
                <c:pt idx="4">
                  <c:v>690</c:v>
                </c:pt>
                <c:pt idx="5">
                  <c:v>700</c:v>
                </c:pt>
                <c:pt idx="6">
                  <c:v>550</c:v>
                </c:pt>
                <c:pt idx="7">
                  <c:v>1050</c:v>
                </c:pt>
                <c:pt idx="8">
                  <c:v>975</c:v>
                </c:pt>
                <c:pt idx="9">
                  <c:v>1025</c:v>
                </c:pt>
                <c:pt idx="10">
                  <c:v>600</c:v>
                </c:pt>
                <c:pt idx="11">
                  <c:v>650</c:v>
                </c:pt>
              </c:numCache>
            </c:numRef>
          </c:val>
        </c:ser>
        <c:overlap val="100"/>
        <c:axId val="73563520"/>
        <c:axId val="73581696"/>
      </c:barChart>
      <c:catAx>
        <c:axId val="73563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3581696"/>
        <c:crosses val="autoZero"/>
        <c:auto val="1"/>
        <c:lblAlgn val="ctr"/>
        <c:lblOffset val="100"/>
        <c:tickLblSkip val="1"/>
        <c:tickMarkSkip val="1"/>
      </c:catAx>
      <c:valAx>
        <c:axId val="7358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Unidades</a:t>
                </a:r>
              </a:p>
            </c:rich>
          </c:tx>
          <c:layout>
            <c:manualLayout>
              <c:xMode val="edge"/>
              <c:yMode val="edge"/>
              <c:x val="7.413461225720821E-3"/>
              <c:y val="0.4584457483355121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356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327334928045583"/>
          <c:y val="0.9134011491806765"/>
          <c:w val="0.30946886614764785"/>
          <c:h val="8.346529656765905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33" r="0.75000000000000133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1895516614987512E-2"/>
          <c:y val="6.5822784810126891E-2"/>
          <c:w val="0.9098050829823876"/>
          <c:h val="0.822784810126584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Hoja1!$C$22:$N$22</c:f>
              <c:numCache>
                <c:formatCode>0</c:formatCode>
                <c:ptCount val="12"/>
                <c:pt idx="0">
                  <c:v>2000</c:v>
                </c:pt>
                <c:pt idx="1">
                  <c:v>2100</c:v>
                </c:pt>
                <c:pt idx="2">
                  <c:v>2100</c:v>
                </c:pt>
                <c:pt idx="3">
                  <c:v>2275</c:v>
                </c:pt>
                <c:pt idx="4">
                  <c:v>2300</c:v>
                </c:pt>
                <c:pt idx="5">
                  <c:v>1997.5</c:v>
                </c:pt>
                <c:pt idx="6">
                  <c:v>2730</c:v>
                </c:pt>
                <c:pt idx="7">
                  <c:v>2606.5</c:v>
                </c:pt>
                <c:pt idx="8">
                  <c:v>2730</c:v>
                </c:pt>
                <c:pt idx="9">
                  <c:v>2300</c:v>
                </c:pt>
                <c:pt idx="10">
                  <c:v>2325</c:v>
                </c:pt>
                <c:pt idx="11">
                  <c:v>1933.75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Hoja1!$C$28:$N$28</c:f>
              <c:numCache>
                <c:formatCode>0</c:formatCode>
                <c:ptCount val="12"/>
                <c:pt idx="0">
                  <c:v>2019.6000000000001</c:v>
                </c:pt>
                <c:pt idx="1">
                  <c:v>2120.58</c:v>
                </c:pt>
                <c:pt idx="2">
                  <c:v>2120.58</c:v>
                </c:pt>
                <c:pt idx="3">
                  <c:v>2297.2950000000001</c:v>
                </c:pt>
                <c:pt idx="4">
                  <c:v>2322.54</c:v>
                </c:pt>
                <c:pt idx="5">
                  <c:v>2017.0755000000001</c:v>
                </c:pt>
                <c:pt idx="6">
                  <c:v>2756.7539999999999</c:v>
                </c:pt>
                <c:pt idx="7">
                  <c:v>2632.0437000000002</c:v>
                </c:pt>
                <c:pt idx="8">
                  <c:v>2756.7539999999999</c:v>
                </c:pt>
                <c:pt idx="9">
                  <c:v>2322.54</c:v>
                </c:pt>
                <c:pt idx="10">
                  <c:v>2347.7849999999999</c:v>
                </c:pt>
                <c:pt idx="11">
                  <c:v>1952.70075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Hoja1!$C$34:$N$34</c:f>
              <c:numCache>
                <c:formatCode>0</c:formatCode>
                <c:ptCount val="12"/>
                <c:pt idx="0">
                  <c:v>1999.4040000000002</c:v>
                </c:pt>
                <c:pt idx="1">
                  <c:v>2099.3741999999997</c:v>
                </c:pt>
                <c:pt idx="2">
                  <c:v>2099.3741999999997</c:v>
                </c:pt>
                <c:pt idx="3">
                  <c:v>2274.3220500000002</c:v>
                </c:pt>
                <c:pt idx="4">
                  <c:v>2299.3146000000002</c:v>
                </c:pt>
                <c:pt idx="5">
                  <c:v>1996.904745</c:v>
                </c:pt>
                <c:pt idx="6">
                  <c:v>2729.1864599999999</c:v>
                </c:pt>
                <c:pt idx="7">
                  <c:v>2605.7232630000003</c:v>
                </c:pt>
                <c:pt idx="8">
                  <c:v>2729.1864599999999</c:v>
                </c:pt>
                <c:pt idx="9">
                  <c:v>2299.3146000000002</c:v>
                </c:pt>
                <c:pt idx="10">
                  <c:v>2324.3071499999996</c:v>
                </c:pt>
                <c:pt idx="11">
                  <c:v>1933.1737424999999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Hoja1!$C$40:$N$40</c:f>
              <c:numCache>
                <c:formatCode>0</c:formatCode>
                <c:ptCount val="12"/>
                <c:pt idx="0">
                  <c:v>1979.4099600000002</c:v>
                </c:pt>
                <c:pt idx="1">
                  <c:v>2078.3804579999996</c:v>
                </c:pt>
                <c:pt idx="2">
                  <c:v>2078.3804579999996</c:v>
                </c:pt>
                <c:pt idx="3">
                  <c:v>2251.5788295000002</c:v>
                </c:pt>
                <c:pt idx="4">
                  <c:v>2276.3214540000004</c:v>
                </c:pt>
                <c:pt idx="5">
                  <c:v>1976.93569755</c:v>
                </c:pt>
                <c:pt idx="6">
                  <c:v>2701.8945954000001</c:v>
                </c:pt>
                <c:pt idx="7">
                  <c:v>2579.6660303700005</c:v>
                </c:pt>
                <c:pt idx="8">
                  <c:v>2701.8945954000001</c:v>
                </c:pt>
                <c:pt idx="9">
                  <c:v>2276.3214540000004</c:v>
                </c:pt>
                <c:pt idx="10">
                  <c:v>2301.0640784999996</c:v>
                </c:pt>
                <c:pt idx="11">
                  <c:v>1913.8420050749999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Hoja1!$C$46:$N$46</c:f>
              <c:numCache>
                <c:formatCode>0</c:formatCode>
                <c:ptCount val="12"/>
                <c:pt idx="0">
                  <c:v>2009.1011094</c:v>
                </c:pt>
                <c:pt idx="1">
                  <c:v>2109.5561648699995</c:v>
                </c:pt>
                <c:pt idx="2">
                  <c:v>2109.5561648699995</c:v>
                </c:pt>
                <c:pt idx="3">
                  <c:v>2285.3525119424999</c:v>
                </c:pt>
                <c:pt idx="4">
                  <c:v>2310.4662758100003</c:v>
                </c:pt>
                <c:pt idx="5">
                  <c:v>2006.5897330132498</c:v>
                </c:pt>
                <c:pt idx="6">
                  <c:v>2742.4230143309996</c:v>
                </c:pt>
                <c:pt idx="7">
                  <c:v>2618.3610208255504</c:v>
                </c:pt>
                <c:pt idx="8">
                  <c:v>2742.4230143309996</c:v>
                </c:pt>
                <c:pt idx="9">
                  <c:v>2310.4662758100003</c:v>
                </c:pt>
                <c:pt idx="10">
                  <c:v>2335.5800396774994</c:v>
                </c:pt>
                <c:pt idx="11">
                  <c:v>1942.5496351511247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Hoja1!#REF!</c:f>
              <c:numCache>
                <c:formatCode>0</c:formatCode>
                <c:ptCount val="12"/>
                <c:pt idx="0">
                  <c:v>2028.7981790999997</c:v>
                </c:pt>
                <c:pt idx="1">
                  <c:v>2130.2380880549954</c:v>
                </c:pt>
                <c:pt idx="2">
                  <c:v>2130.2380880549954</c:v>
                </c:pt>
                <c:pt idx="3">
                  <c:v>2307.7579287262497</c:v>
                </c:pt>
                <c:pt idx="4">
                  <c:v>2333.1179059649999</c:v>
                </c:pt>
                <c:pt idx="5">
                  <c:v>2026.262181376125</c:v>
                </c:pt>
                <c:pt idx="6">
                  <c:v>2769.3095144715048</c:v>
                </c:pt>
                <c:pt idx="7">
                  <c:v>2644.0312269120786</c:v>
                </c:pt>
                <c:pt idx="8">
                  <c:v>2769.3095144715048</c:v>
                </c:pt>
                <c:pt idx="9">
                  <c:v>2333.1179059649999</c:v>
                </c:pt>
                <c:pt idx="10">
                  <c:v>2358.4778832037496</c:v>
                </c:pt>
                <c:pt idx="11">
                  <c:v>1961.5942394173092</c:v>
                </c:pt>
              </c:numCache>
            </c:numRef>
          </c:val>
        </c:ser>
        <c:axId val="73246592"/>
        <c:axId val="73248128"/>
      </c:barChart>
      <c:catAx>
        <c:axId val="732465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3248128"/>
        <c:crosses val="autoZero"/>
        <c:auto val="1"/>
        <c:lblAlgn val="ctr"/>
        <c:lblOffset val="100"/>
        <c:tickLblSkip val="1"/>
        <c:tickMarkSkip val="1"/>
      </c:catAx>
      <c:valAx>
        <c:axId val="73248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73246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33" r="0.750000000000001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1989528795811525E-2"/>
          <c:y val="6.8241644730265547E-2"/>
          <c:w val="0.90968586387434569"/>
          <c:h val="0.8162750581197164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Hoja1!$C$23:$N$23</c:f>
              <c:numCache>
                <c:formatCode>0</c:formatCode>
                <c:ptCount val="12"/>
                <c:pt idx="0">
                  <c:v>500</c:v>
                </c:pt>
                <c:pt idx="1">
                  <c:v>650</c:v>
                </c:pt>
                <c:pt idx="2">
                  <c:v>800</c:v>
                </c:pt>
                <c:pt idx="3">
                  <c:v>600</c:v>
                </c:pt>
                <c:pt idx="4">
                  <c:v>690</c:v>
                </c:pt>
                <c:pt idx="5">
                  <c:v>700</c:v>
                </c:pt>
                <c:pt idx="6">
                  <c:v>550</c:v>
                </c:pt>
                <c:pt idx="7">
                  <c:v>1050</c:v>
                </c:pt>
                <c:pt idx="8">
                  <c:v>975</c:v>
                </c:pt>
                <c:pt idx="9">
                  <c:v>1025</c:v>
                </c:pt>
                <c:pt idx="10">
                  <c:v>600</c:v>
                </c:pt>
                <c:pt idx="11">
                  <c:v>650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Hoja1!$C$29:$N$29</c:f>
              <c:numCache>
                <c:formatCode>0</c:formatCode>
                <c:ptCount val="12"/>
                <c:pt idx="0">
                  <c:v>504.90000000000003</c:v>
                </c:pt>
                <c:pt idx="1">
                  <c:v>656.37</c:v>
                </c:pt>
                <c:pt idx="2">
                  <c:v>807.84</c:v>
                </c:pt>
                <c:pt idx="3">
                  <c:v>605.88</c:v>
                </c:pt>
                <c:pt idx="4">
                  <c:v>696.76200000000006</c:v>
                </c:pt>
                <c:pt idx="5">
                  <c:v>706.86</c:v>
                </c:pt>
                <c:pt idx="6">
                  <c:v>555.39</c:v>
                </c:pt>
                <c:pt idx="7">
                  <c:v>1060.29</c:v>
                </c:pt>
                <c:pt idx="8">
                  <c:v>984.55500000000006</c:v>
                </c:pt>
                <c:pt idx="9">
                  <c:v>1035.0450000000001</c:v>
                </c:pt>
                <c:pt idx="10">
                  <c:v>605.88</c:v>
                </c:pt>
                <c:pt idx="11">
                  <c:v>656.37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Hoja1!$C$35:$N$35</c:f>
              <c:numCache>
                <c:formatCode>0</c:formatCode>
                <c:ptCount val="12"/>
                <c:pt idx="0">
                  <c:v>499.85100000000006</c:v>
                </c:pt>
                <c:pt idx="1">
                  <c:v>649.80629999999996</c:v>
                </c:pt>
                <c:pt idx="2">
                  <c:v>799.76160000000004</c:v>
                </c:pt>
                <c:pt idx="3">
                  <c:v>599.82119999999998</c:v>
                </c:pt>
                <c:pt idx="4">
                  <c:v>689.79438000000005</c:v>
                </c:pt>
                <c:pt idx="5">
                  <c:v>699.79139999999995</c:v>
                </c:pt>
                <c:pt idx="6">
                  <c:v>549.83609999999999</c:v>
                </c:pt>
                <c:pt idx="7">
                  <c:v>1049.6870999999999</c:v>
                </c:pt>
                <c:pt idx="8">
                  <c:v>974.70945000000006</c:v>
                </c:pt>
                <c:pt idx="9">
                  <c:v>1024.6945500000002</c:v>
                </c:pt>
                <c:pt idx="10">
                  <c:v>599.82119999999998</c:v>
                </c:pt>
                <c:pt idx="11">
                  <c:v>649.80629999999996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Hoja1!$C$41:$N$41</c:f>
              <c:numCache>
                <c:formatCode>0</c:formatCode>
                <c:ptCount val="12"/>
                <c:pt idx="0">
                  <c:v>494.85249000000005</c:v>
                </c:pt>
                <c:pt idx="1">
                  <c:v>643.30823699999996</c:v>
                </c:pt>
                <c:pt idx="2">
                  <c:v>791.76398400000005</c:v>
                </c:pt>
                <c:pt idx="3">
                  <c:v>593.82298800000001</c:v>
                </c:pt>
                <c:pt idx="4">
                  <c:v>682.89643620000004</c:v>
                </c:pt>
                <c:pt idx="5">
                  <c:v>692.79348599999992</c:v>
                </c:pt>
                <c:pt idx="6">
                  <c:v>544.33773899999994</c:v>
                </c:pt>
                <c:pt idx="7">
                  <c:v>1039.1902289999998</c:v>
                </c:pt>
                <c:pt idx="8">
                  <c:v>964.96235550000006</c:v>
                </c:pt>
                <c:pt idx="9">
                  <c:v>1014.4476045000001</c:v>
                </c:pt>
                <c:pt idx="10">
                  <c:v>593.82298800000001</c:v>
                </c:pt>
                <c:pt idx="11">
                  <c:v>643.30823699999996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Hoja1!$C$47:$N$47</c:f>
              <c:numCache>
                <c:formatCode>0</c:formatCode>
                <c:ptCount val="12"/>
                <c:pt idx="0">
                  <c:v>502.27527735000001</c:v>
                </c:pt>
                <c:pt idx="1">
                  <c:v>652.95786055499991</c:v>
                </c:pt>
                <c:pt idx="2">
                  <c:v>803.64044375999993</c:v>
                </c:pt>
                <c:pt idx="3">
                  <c:v>602.73033281999994</c:v>
                </c:pt>
                <c:pt idx="4">
                  <c:v>693.13988274299993</c:v>
                </c:pt>
                <c:pt idx="5">
                  <c:v>703.18538828999988</c:v>
                </c:pt>
                <c:pt idx="6">
                  <c:v>552.50280508499986</c:v>
                </c:pt>
                <c:pt idx="7">
                  <c:v>1054.7780824349998</c:v>
                </c:pt>
                <c:pt idx="8">
                  <c:v>979.43679083249992</c:v>
                </c:pt>
                <c:pt idx="9">
                  <c:v>1029.6643185675</c:v>
                </c:pt>
                <c:pt idx="10">
                  <c:v>602.73033281999994</c:v>
                </c:pt>
                <c:pt idx="11">
                  <c:v>652.95786055499991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Hoja1!#REF!</c:f>
              <c:numCache>
                <c:formatCode>0</c:formatCode>
                <c:ptCount val="12"/>
                <c:pt idx="0">
                  <c:v>507.19954477499994</c:v>
                </c:pt>
                <c:pt idx="1">
                  <c:v>659.3594082075</c:v>
                </c:pt>
                <c:pt idx="2">
                  <c:v>811.51927163999994</c:v>
                </c:pt>
                <c:pt idx="3">
                  <c:v>608.6394537299999</c:v>
                </c:pt>
                <c:pt idx="4">
                  <c:v>699.93537178949998</c:v>
                </c:pt>
                <c:pt idx="5">
                  <c:v>710.07936268500009</c:v>
                </c:pt>
                <c:pt idx="6">
                  <c:v>557.91949925250003</c:v>
                </c:pt>
                <c:pt idx="7">
                  <c:v>1065.1190440274977</c:v>
                </c:pt>
                <c:pt idx="8">
                  <c:v>989.03911231124948</c:v>
                </c:pt>
                <c:pt idx="9">
                  <c:v>1039.7590667887519</c:v>
                </c:pt>
                <c:pt idx="10">
                  <c:v>608.6394537299999</c:v>
                </c:pt>
                <c:pt idx="11">
                  <c:v>659.3594082075</c:v>
                </c:pt>
              </c:numCache>
            </c:numRef>
          </c:val>
        </c:ser>
        <c:axId val="37165312"/>
        <c:axId val="37195776"/>
      </c:barChart>
      <c:catAx>
        <c:axId val="371653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37195776"/>
        <c:crosses val="autoZero"/>
        <c:auto val="1"/>
        <c:lblAlgn val="ctr"/>
        <c:lblOffset val="100"/>
        <c:tickLblSkip val="1"/>
        <c:tickMarkSkip val="1"/>
      </c:catAx>
      <c:valAx>
        <c:axId val="37195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3716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000000000000133" r="0.750000000000001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155575</xdr:colOff>
      <xdr:row>19</xdr:row>
      <xdr:rowOff>53975</xdr:rowOff>
    </xdr:from>
    <xdr:to>
      <xdr:col>27</xdr:col>
      <xdr:colOff>228600</xdr:colOff>
      <xdr:row>44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428625</xdr:colOff>
      <xdr:row>23</xdr:row>
      <xdr:rowOff>38100</xdr:rowOff>
    </xdr:to>
    <xdr:graphicFrame macro="">
      <xdr:nvGraphicFramePr>
        <xdr:cNvPr id="20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9</xdr:col>
      <xdr:colOff>419100</xdr:colOff>
      <xdr:row>50</xdr:row>
      <xdr:rowOff>66675</xdr:rowOff>
    </xdr:to>
    <xdr:graphicFrame macro="">
      <xdr:nvGraphicFramePr>
        <xdr:cNvPr id="20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31"/>
  <sheetViews>
    <sheetView showGridLines="0" topLeftCell="A7" zoomScaleNormal="100" workbookViewId="0">
      <selection activeCell="C28" sqref="C28"/>
    </sheetView>
  </sheetViews>
  <sheetFormatPr baseColWidth="10" defaultColWidth="11.42578125" defaultRowHeight="12.75"/>
  <cols>
    <col min="1" max="14" width="9.7109375" customWidth="1"/>
    <col min="15" max="15" width="13.140625" customWidth="1"/>
    <col min="24" max="24" width="13.140625" bestFit="1" customWidth="1"/>
    <col min="28" max="28" width="12.85546875" bestFit="1" customWidth="1"/>
    <col min="29" max="29" width="13.85546875" bestFit="1" customWidth="1"/>
  </cols>
  <sheetData>
    <row r="1" spans="1:15" ht="20.25">
      <c r="A1" s="97" t="s">
        <v>45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 ht="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18">
      <c r="A3" s="44" t="s">
        <v>49</v>
      </c>
      <c r="B3" s="16"/>
      <c r="C3" s="16"/>
    </row>
    <row r="4" spans="1:15" ht="6" customHeight="1">
      <c r="A4" s="44"/>
      <c r="B4" s="16"/>
      <c r="C4" s="16"/>
    </row>
    <row r="5" spans="1:15">
      <c r="A5" s="16"/>
      <c r="C5" s="32" t="s">
        <v>50</v>
      </c>
    </row>
    <row r="6" spans="1:15">
      <c r="A6" s="16"/>
      <c r="C6" s="32" t="s">
        <v>51</v>
      </c>
    </row>
    <row r="7" spans="1:15">
      <c r="A7" s="16"/>
      <c r="C7" s="32" t="s">
        <v>52</v>
      </c>
    </row>
    <row r="8" spans="1:15">
      <c r="A8" s="16"/>
      <c r="C8" s="32" t="s">
        <v>53</v>
      </c>
    </row>
    <row r="9" spans="1:15">
      <c r="A9" s="16"/>
      <c r="C9" s="32" t="s">
        <v>93</v>
      </c>
    </row>
    <row r="10" spans="1:15">
      <c r="A10" s="16"/>
      <c r="B10" s="32"/>
      <c r="C10" s="16"/>
    </row>
    <row r="11" spans="1:15" ht="15.75">
      <c r="A11" s="42" t="s">
        <v>71</v>
      </c>
    </row>
    <row r="12" spans="1:15" ht="15.75">
      <c r="A12" s="42"/>
    </row>
    <row r="13" spans="1:15">
      <c r="A13" s="16" t="s">
        <v>0</v>
      </c>
    </row>
    <row r="14" spans="1:15" ht="6" customHeight="1">
      <c r="A14" s="16"/>
    </row>
    <row r="15" spans="1:15">
      <c r="B15" s="27" t="s">
        <v>72</v>
      </c>
    </row>
    <row r="16" spans="1:15">
      <c r="B16" s="27" t="s">
        <v>94</v>
      </c>
    </row>
    <row r="17" spans="2:28">
      <c r="B17" t="s">
        <v>58</v>
      </c>
    </row>
    <row r="19" spans="2:28">
      <c r="B19" s="14" t="s">
        <v>70</v>
      </c>
    </row>
    <row r="20" spans="2:28">
      <c r="B20" s="113" t="s">
        <v>1</v>
      </c>
      <c r="C20" s="114">
        <v>2013</v>
      </c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 t="s">
        <v>2</v>
      </c>
    </row>
    <row r="21" spans="2:28">
      <c r="B21" s="113"/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14"/>
    </row>
    <row r="22" spans="2:28">
      <c r="B22" s="2" t="s">
        <v>15</v>
      </c>
      <c r="C22" s="3">
        <v>2000</v>
      </c>
      <c r="D22" s="3">
        <v>2100</v>
      </c>
      <c r="E22" s="3">
        <v>2100</v>
      </c>
      <c r="F22" s="3">
        <v>2275</v>
      </c>
      <c r="G22" s="3">
        <v>2300</v>
      </c>
      <c r="H22" s="3">
        <f>2350*0.85</f>
        <v>1997.5</v>
      </c>
      <c r="I22" s="3">
        <f>2275*1.2</f>
        <v>2730</v>
      </c>
      <c r="J22" s="3">
        <f>2005*1.3</f>
        <v>2606.5</v>
      </c>
      <c r="K22" s="3">
        <f>2100*1.3</f>
        <v>2730</v>
      </c>
      <c r="L22" s="3">
        <v>2300</v>
      </c>
      <c r="M22" s="3">
        <v>2325</v>
      </c>
      <c r="N22" s="3">
        <f>2275*0.85</f>
        <v>1933.75</v>
      </c>
      <c r="O22" s="3">
        <f>SUM(C22:N22)</f>
        <v>27397.75</v>
      </c>
      <c r="AB22" s="37"/>
    </row>
    <row r="23" spans="2:28">
      <c r="B23" s="2" t="s">
        <v>16</v>
      </c>
      <c r="C23" s="3">
        <v>500</v>
      </c>
      <c r="D23" s="3">
        <v>650</v>
      </c>
      <c r="E23" s="3">
        <v>800</v>
      </c>
      <c r="F23" s="3">
        <v>600</v>
      </c>
      <c r="G23" s="3">
        <v>690</v>
      </c>
      <c r="H23" s="3">
        <v>700</v>
      </c>
      <c r="I23" s="3">
        <v>550</v>
      </c>
      <c r="J23" s="3">
        <v>1050</v>
      </c>
      <c r="K23" s="3">
        <v>975</v>
      </c>
      <c r="L23" s="3">
        <v>1025</v>
      </c>
      <c r="M23" s="3">
        <v>600</v>
      </c>
      <c r="N23" s="3">
        <v>650</v>
      </c>
      <c r="O23" s="3">
        <f>SUM(C23:N23)</f>
        <v>8790</v>
      </c>
    </row>
    <row r="24" spans="2:28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28">
      <c r="B25" s="14" t="s">
        <v>68</v>
      </c>
    </row>
    <row r="26" spans="2:28">
      <c r="B26" s="106" t="s">
        <v>1</v>
      </c>
      <c r="C26" s="114">
        <v>2013</v>
      </c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6" t="s">
        <v>2</v>
      </c>
    </row>
    <row r="27" spans="2:28">
      <c r="B27" s="107"/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  <c r="J27" s="1" t="s">
        <v>10</v>
      </c>
      <c r="K27" s="1" t="s">
        <v>11</v>
      </c>
      <c r="L27" s="1" t="s">
        <v>12</v>
      </c>
      <c r="M27" s="1" t="s">
        <v>13</v>
      </c>
      <c r="N27" s="1" t="s">
        <v>14</v>
      </c>
      <c r="O27" s="96"/>
    </row>
    <row r="28" spans="2:28">
      <c r="B28" s="2" t="s">
        <v>15</v>
      </c>
      <c r="C28" s="3">
        <f t="shared" ref="C28:N28" si="0">(C22*0.99)*1.02</f>
        <v>2019.6000000000001</v>
      </c>
      <c r="D28" s="3">
        <f t="shared" si="0"/>
        <v>2120.58</v>
      </c>
      <c r="E28" s="3">
        <f t="shared" si="0"/>
        <v>2120.58</v>
      </c>
      <c r="F28" s="3">
        <f t="shared" si="0"/>
        <v>2297.2950000000001</v>
      </c>
      <c r="G28" s="3">
        <f t="shared" si="0"/>
        <v>2322.54</v>
      </c>
      <c r="H28" s="3">
        <f t="shared" si="0"/>
        <v>2017.0755000000001</v>
      </c>
      <c r="I28" s="3">
        <f t="shared" si="0"/>
        <v>2756.7539999999999</v>
      </c>
      <c r="J28" s="3">
        <f t="shared" si="0"/>
        <v>2632.0437000000002</v>
      </c>
      <c r="K28" s="3">
        <f t="shared" si="0"/>
        <v>2756.7539999999999</v>
      </c>
      <c r="L28" s="3">
        <f t="shared" si="0"/>
        <v>2322.54</v>
      </c>
      <c r="M28" s="3">
        <f t="shared" si="0"/>
        <v>2347.7849999999999</v>
      </c>
      <c r="N28" s="3">
        <f t="shared" si="0"/>
        <v>1952.70075</v>
      </c>
      <c r="O28" s="3">
        <f>(SUM(C28:N28))*1.02</f>
        <v>28219.572909000006</v>
      </c>
      <c r="AB28" s="37"/>
    </row>
    <row r="29" spans="2:28">
      <c r="B29" s="2" t="s">
        <v>16</v>
      </c>
      <c r="C29" s="3">
        <f t="shared" ref="C29:N29" si="1">(C23*0.99)*1.02</f>
        <v>504.90000000000003</v>
      </c>
      <c r="D29" s="3">
        <f t="shared" si="1"/>
        <v>656.37</v>
      </c>
      <c r="E29" s="3">
        <f t="shared" si="1"/>
        <v>807.84</v>
      </c>
      <c r="F29" s="3">
        <f t="shared" si="1"/>
        <v>605.88</v>
      </c>
      <c r="G29" s="3">
        <f t="shared" si="1"/>
        <v>696.76200000000006</v>
      </c>
      <c r="H29" s="3">
        <f t="shared" si="1"/>
        <v>706.86</v>
      </c>
      <c r="I29" s="3">
        <f t="shared" si="1"/>
        <v>555.39</v>
      </c>
      <c r="J29" s="3">
        <f t="shared" si="1"/>
        <v>1060.29</v>
      </c>
      <c r="K29" s="3">
        <f t="shared" si="1"/>
        <v>984.55500000000006</v>
      </c>
      <c r="L29" s="3">
        <f t="shared" si="1"/>
        <v>1035.0450000000001</v>
      </c>
      <c r="M29" s="3">
        <f t="shared" si="1"/>
        <v>605.88</v>
      </c>
      <c r="N29" s="3">
        <f t="shared" si="1"/>
        <v>656.37</v>
      </c>
      <c r="O29" s="3">
        <f>(SUM(C29:N29))*1.02</f>
        <v>9053.6648400000013</v>
      </c>
    </row>
    <row r="30" spans="2:28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28">
      <c r="B31" s="27" t="s">
        <v>67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28">
      <c r="B32" s="113" t="s">
        <v>1</v>
      </c>
      <c r="C32" s="114">
        <v>2013</v>
      </c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 t="s">
        <v>2</v>
      </c>
    </row>
    <row r="33" spans="2:28">
      <c r="B33" s="113"/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I33" s="1" t="s">
        <v>9</v>
      </c>
      <c r="J33" s="1" t="s">
        <v>10</v>
      </c>
      <c r="K33" s="1" t="s">
        <v>11</v>
      </c>
      <c r="L33" s="1" t="s">
        <v>12</v>
      </c>
      <c r="M33" s="1" t="s">
        <v>13</v>
      </c>
      <c r="N33" s="1" t="s">
        <v>14</v>
      </c>
      <c r="O33" s="114"/>
    </row>
    <row r="34" spans="2:28">
      <c r="B34" s="2" t="s">
        <v>15</v>
      </c>
      <c r="C34" s="3">
        <f t="shared" ref="C34:N34" si="2">C28*0.99</f>
        <v>1999.4040000000002</v>
      </c>
      <c r="D34" s="3">
        <f t="shared" si="2"/>
        <v>2099.3741999999997</v>
      </c>
      <c r="E34" s="3">
        <f t="shared" si="2"/>
        <v>2099.3741999999997</v>
      </c>
      <c r="F34" s="3">
        <f t="shared" si="2"/>
        <v>2274.3220500000002</v>
      </c>
      <c r="G34" s="3">
        <f t="shared" si="2"/>
        <v>2299.3146000000002</v>
      </c>
      <c r="H34" s="3">
        <f t="shared" si="2"/>
        <v>1996.904745</v>
      </c>
      <c r="I34" s="3">
        <f t="shared" si="2"/>
        <v>2729.1864599999999</v>
      </c>
      <c r="J34" s="3">
        <f t="shared" si="2"/>
        <v>2605.7232630000003</v>
      </c>
      <c r="K34" s="3">
        <f t="shared" si="2"/>
        <v>2729.1864599999999</v>
      </c>
      <c r="L34" s="3">
        <f t="shared" si="2"/>
        <v>2299.3146000000002</v>
      </c>
      <c r="M34" s="3">
        <f t="shared" si="2"/>
        <v>2324.3071499999996</v>
      </c>
      <c r="N34" s="3">
        <f t="shared" si="2"/>
        <v>1933.1737424999999</v>
      </c>
      <c r="O34" s="3">
        <f>SUM(C34:N34)</f>
        <v>27389.585470500002</v>
      </c>
      <c r="AB34" s="37"/>
    </row>
    <row r="35" spans="2:28">
      <c r="B35" s="2" t="s">
        <v>16</v>
      </c>
      <c r="C35" s="3">
        <f t="shared" ref="C35:N35" si="3">C29*0.99</f>
        <v>499.85100000000006</v>
      </c>
      <c r="D35" s="3">
        <f t="shared" si="3"/>
        <v>649.80629999999996</v>
      </c>
      <c r="E35" s="3">
        <f t="shared" si="3"/>
        <v>799.76160000000004</v>
      </c>
      <c r="F35" s="3">
        <f t="shared" si="3"/>
        <v>599.82119999999998</v>
      </c>
      <c r="G35" s="3">
        <f t="shared" si="3"/>
        <v>689.79438000000005</v>
      </c>
      <c r="H35" s="3">
        <f t="shared" si="3"/>
        <v>699.79139999999995</v>
      </c>
      <c r="I35" s="3">
        <f t="shared" si="3"/>
        <v>549.83609999999999</v>
      </c>
      <c r="J35" s="3">
        <f t="shared" si="3"/>
        <v>1049.6870999999999</v>
      </c>
      <c r="K35" s="3">
        <f t="shared" si="3"/>
        <v>974.70945000000006</v>
      </c>
      <c r="L35" s="3">
        <f t="shared" si="3"/>
        <v>1024.6945500000002</v>
      </c>
      <c r="M35" s="3">
        <f t="shared" si="3"/>
        <v>599.82119999999998</v>
      </c>
      <c r="N35" s="3">
        <f t="shared" si="3"/>
        <v>649.80629999999996</v>
      </c>
      <c r="O35" s="3">
        <f>SUM(C35:N35)</f>
        <v>8787.3805800000009</v>
      </c>
    </row>
    <row r="36" spans="2:28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28">
      <c r="B37" s="15" t="s">
        <v>69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28">
      <c r="B38" s="113" t="s">
        <v>1</v>
      </c>
      <c r="C38" s="114">
        <v>2013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 t="s">
        <v>2</v>
      </c>
    </row>
    <row r="39" spans="2:28">
      <c r="B39" s="113"/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11</v>
      </c>
      <c r="L39" s="1" t="s">
        <v>12</v>
      </c>
      <c r="M39" s="1" t="s">
        <v>13</v>
      </c>
      <c r="N39" s="1" t="s">
        <v>14</v>
      </c>
      <c r="O39" s="114"/>
    </row>
    <row r="40" spans="2:28">
      <c r="B40" s="2" t="s">
        <v>15</v>
      </c>
      <c r="C40" s="3">
        <f>C34*0.99</f>
        <v>1979.4099600000002</v>
      </c>
      <c r="D40" s="3">
        <f t="shared" ref="D40:N40" si="4">D34*0.99</f>
        <v>2078.3804579999996</v>
      </c>
      <c r="E40" s="3">
        <f t="shared" si="4"/>
        <v>2078.3804579999996</v>
      </c>
      <c r="F40" s="3">
        <f t="shared" si="4"/>
        <v>2251.5788295000002</v>
      </c>
      <c r="G40" s="3">
        <f t="shared" si="4"/>
        <v>2276.3214540000004</v>
      </c>
      <c r="H40" s="3">
        <f t="shared" si="4"/>
        <v>1976.93569755</v>
      </c>
      <c r="I40" s="3">
        <f t="shared" si="4"/>
        <v>2701.8945954000001</v>
      </c>
      <c r="J40" s="3">
        <f t="shared" si="4"/>
        <v>2579.6660303700005</v>
      </c>
      <c r="K40" s="3">
        <f t="shared" si="4"/>
        <v>2701.8945954000001</v>
      </c>
      <c r="L40" s="3">
        <f t="shared" si="4"/>
        <v>2276.3214540000004</v>
      </c>
      <c r="M40" s="3">
        <f t="shared" si="4"/>
        <v>2301.0640784999996</v>
      </c>
      <c r="N40" s="3">
        <f t="shared" si="4"/>
        <v>1913.8420050749999</v>
      </c>
      <c r="O40" s="3">
        <f>SUM(C40:N40)</f>
        <v>27115.689615795</v>
      </c>
      <c r="AB40" s="37"/>
    </row>
    <row r="41" spans="2:28">
      <c r="B41" s="2" t="s">
        <v>16</v>
      </c>
      <c r="C41" s="3">
        <f>C35*0.99</f>
        <v>494.85249000000005</v>
      </c>
      <c r="D41" s="3">
        <f t="shared" ref="D41:N41" si="5">D35*0.99</f>
        <v>643.30823699999996</v>
      </c>
      <c r="E41" s="3">
        <f t="shared" si="5"/>
        <v>791.76398400000005</v>
      </c>
      <c r="F41" s="3">
        <f t="shared" si="5"/>
        <v>593.82298800000001</v>
      </c>
      <c r="G41" s="3">
        <f t="shared" si="5"/>
        <v>682.89643620000004</v>
      </c>
      <c r="H41" s="3">
        <f t="shared" si="5"/>
        <v>692.79348599999992</v>
      </c>
      <c r="I41" s="3">
        <f t="shared" si="5"/>
        <v>544.33773899999994</v>
      </c>
      <c r="J41" s="3">
        <f t="shared" si="5"/>
        <v>1039.1902289999998</v>
      </c>
      <c r="K41" s="3">
        <f t="shared" si="5"/>
        <v>964.96235550000006</v>
      </c>
      <c r="L41" s="3">
        <f t="shared" si="5"/>
        <v>1014.4476045000001</v>
      </c>
      <c r="M41" s="3">
        <f t="shared" si="5"/>
        <v>593.82298800000001</v>
      </c>
      <c r="N41" s="3">
        <f t="shared" si="5"/>
        <v>643.30823699999996</v>
      </c>
      <c r="O41" s="3">
        <f>SUM(C41:N41)</f>
        <v>8699.5067741999992</v>
      </c>
    </row>
    <row r="42" spans="2:28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28">
      <c r="B43" s="27" t="s">
        <v>66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28">
      <c r="B44" s="106" t="s">
        <v>1</v>
      </c>
      <c r="C44" s="108">
        <v>2013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10"/>
      <c r="O44" s="116" t="s">
        <v>2</v>
      </c>
    </row>
    <row r="45" spans="2:28">
      <c r="B45" s="107"/>
      <c r="C45" s="1" t="s">
        <v>3</v>
      </c>
      <c r="D45" s="1" t="s">
        <v>4</v>
      </c>
      <c r="E45" s="1" t="s">
        <v>5</v>
      </c>
      <c r="F45" s="1" t="s">
        <v>6</v>
      </c>
      <c r="G45" s="1" t="s">
        <v>7</v>
      </c>
      <c r="H45" s="1" t="s">
        <v>8</v>
      </c>
      <c r="I45" s="1" t="s">
        <v>9</v>
      </c>
      <c r="J45" s="1" t="s">
        <v>10</v>
      </c>
      <c r="K45" s="1" t="s">
        <v>11</v>
      </c>
      <c r="L45" s="1" t="s">
        <v>12</v>
      </c>
      <c r="M45" s="1" t="s">
        <v>13</v>
      </c>
      <c r="N45" s="1" t="s">
        <v>14</v>
      </c>
      <c r="O45" s="96"/>
    </row>
    <row r="46" spans="2:28">
      <c r="B46" s="2" t="s">
        <v>15</v>
      </c>
      <c r="C46" s="3">
        <f>C40*1.015</f>
        <v>2009.1011094</v>
      </c>
      <c r="D46" s="3">
        <f t="shared" ref="D46:N46" si="6">D40*1.015</f>
        <v>2109.5561648699995</v>
      </c>
      <c r="E46" s="3">
        <f t="shared" si="6"/>
        <v>2109.5561648699995</v>
      </c>
      <c r="F46" s="3">
        <f t="shared" si="6"/>
        <v>2285.3525119424999</v>
      </c>
      <c r="G46" s="3">
        <f t="shared" si="6"/>
        <v>2310.4662758100003</v>
      </c>
      <c r="H46" s="3">
        <f t="shared" si="6"/>
        <v>2006.5897330132498</v>
      </c>
      <c r="I46" s="3">
        <f t="shared" si="6"/>
        <v>2742.4230143309996</v>
      </c>
      <c r="J46" s="3">
        <f t="shared" si="6"/>
        <v>2618.3610208255504</v>
      </c>
      <c r="K46" s="3">
        <f t="shared" si="6"/>
        <v>2742.4230143309996</v>
      </c>
      <c r="L46" s="3">
        <f t="shared" si="6"/>
        <v>2310.4662758100003</v>
      </c>
      <c r="M46" s="3">
        <f t="shared" si="6"/>
        <v>2335.5800396774994</v>
      </c>
      <c r="N46" s="3">
        <f t="shared" si="6"/>
        <v>1942.5496351511247</v>
      </c>
      <c r="O46" s="3">
        <f>SUM(C46:N46)</f>
        <v>27522.424960031924</v>
      </c>
      <c r="AB46" s="37"/>
    </row>
    <row r="47" spans="2:28">
      <c r="B47" s="2" t="s">
        <v>16</v>
      </c>
      <c r="C47" s="3">
        <f>C41*1.015</f>
        <v>502.27527735000001</v>
      </c>
      <c r="D47" s="3">
        <f t="shared" ref="D47:N47" si="7">D41*1.015</f>
        <v>652.95786055499991</v>
      </c>
      <c r="E47" s="3">
        <f t="shared" si="7"/>
        <v>803.64044375999993</v>
      </c>
      <c r="F47" s="3">
        <f t="shared" si="7"/>
        <v>602.73033281999994</v>
      </c>
      <c r="G47" s="3">
        <f t="shared" si="7"/>
        <v>693.13988274299993</v>
      </c>
      <c r="H47" s="3">
        <f t="shared" si="7"/>
        <v>703.18538828999988</v>
      </c>
      <c r="I47" s="3">
        <f t="shared" si="7"/>
        <v>552.50280508499986</v>
      </c>
      <c r="J47" s="3">
        <f t="shared" si="7"/>
        <v>1054.7780824349998</v>
      </c>
      <c r="K47" s="3">
        <f t="shared" si="7"/>
        <v>979.43679083249992</v>
      </c>
      <c r="L47" s="3">
        <f t="shared" si="7"/>
        <v>1029.6643185675</v>
      </c>
      <c r="M47" s="3">
        <f t="shared" si="7"/>
        <v>602.73033281999994</v>
      </c>
      <c r="N47" s="3">
        <f t="shared" si="7"/>
        <v>652.95786055499991</v>
      </c>
      <c r="O47" s="3">
        <f>SUM(C47:N47)</f>
        <v>8829.9993758129986</v>
      </c>
    </row>
    <row r="48" spans="2:28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29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29" s="6" customFormat="1">
      <c r="B50" s="27" t="s">
        <v>95</v>
      </c>
      <c r="C50" s="27"/>
      <c r="D50" s="27"/>
      <c r="E50" s="27"/>
      <c r="F50" s="27"/>
      <c r="G50" s="27"/>
      <c r="I50" s="27"/>
      <c r="AC50"/>
    </row>
    <row r="51" spans="1:29" s="6" customFormat="1">
      <c r="B51" s="27"/>
      <c r="C51" s="27"/>
      <c r="D51" s="27"/>
      <c r="E51" s="27"/>
      <c r="F51" s="27"/>
      <c r="G51" s="27"/>
      <c r="H51" s="27"/>
      <c r="I51" s="27"/>
    </row>
    <row r="52" spans="1:29" s="6" customFormat="1"/>
    <row r="53" spans="1:29" s="6" customFormat="1">
      <c r="A53" s="16" t="s">
        <v>17</v>
      </c>
    </row>
    <row r="54" spans="1:29" s="6" customFormat="1" ht="6" customHeight="1"/>
    <row r="55" spans="1:29" s="6" customFormat="1">
      <c r="B55" t="s">
        <v>32</v>
      </c>
      <c r="G55" s="7"/>
    </row>
    <row r="56" spans="1:29">
      <c r="B56" t="s">
        <v>73</v>
      </c>
      <c r="G56" s="8"/>
    </row>
    <row r="57" spans="1:29">
      <c r="B57" t="s">
        <v>74</v>
      </c>
    </row>
    <row r="58" spans="1:29" ht="13.5" thickBot="1"/>
    <row r="59" spans="1:29" ht="13.5" thickBot="1">
      <c r="C59" s="26" t="s">
        <v>31</v>
      </c>
      <c r="D59" s="102" t="s">
        <v>38</v>
      </c>
      <c r="E59" s="103"/>
      <c r="F59" s="102" t="s">
        <v>37</v>
      </c>
      <c r="G59" s="103"/>
      <c r="H59" s="102" t="s">
        <v>44</v>
      </c>
      <c r="I59" s="103"/>
      <c r="J59" s="102" t="s">
        <v>63</v>
      </c>
      <c r="K59" s="103"/>
      <c r="L59" s="117" t="s">
        <v>36</v>
      </c>
      <c r="M59" s="118"/>
      <c r="N59" s="117"/>
      <c r="O59" s="118"/>
    </row>
    <row r="60" spans="1:29">
      <c r="C60" s="33" t="s">
        <v>54</v>
      </c>
      <c r="D60" s="98">
        <v>97</v>
      </c>
      <c r="E60" s="99"/>
      <c r="F60" s="112">
        <v>98</v>
      </c>
      <c r="G60" s="99"/>
      <c r="H60" s="104">
        <v>99</v>
      </c>
      <c r="I60" s="104"/>
      <c r="J60" s="104">
        <v>99</v>
      </c>
      <c r="K60" s="104"/>
      <c r="L60" s="112">
        <v>98</v>
      </c>
      <c r="M60" s="99"/>
      <c r="N60" s="98"/>
      <c r="O60" s="115"/>
    </row>
    <row r="61" spans="1:29" ht="13.5" thickBot="1">
      <c r="C61" s="23" t="s">
        <v>55</v>
      </c>
      <c r="D61" s="100">
        <v>0.5</v>
      </c>
      <c r="E61" s="101"/>
      <c r="F61" s="95">
        <v>0.75</v>
      </c>
      <c r="G61" s="94"/>
      <c r="H61" s="105">
        <v>0.9</v>
      </c>
      <c r="I61" s="105"/>
      <c r="J61" s="105">
        <v>0.85</v>
      </c>
      <c r="K61" s="105"/>
      <c r="L61" s="95">
        <v>0.75</v>
      </c>
      <c r="M61" s="94"/>
      <c r="N61" s="100"/>
      <c r="O61" s="111"/>
    </row>
    <row r="62" spans="1:29" hidden="1">
      <c r="C62" s="25" t="s">
        <v>35</v>
      </c>
      <c r="D62" s="98">
        <v>99</v>
      </c>
      <c r="E62" s="99"/>
      <c r="F62" s="112">
        <v>97</v>
      </c>
      <c r="G62" s="99"/>
      <c r="H62" s="104">
        <v>98</v>
      </c>
      <c r="I62" s="104"/>
      <c r="J62" s="104">
        <v>97.5</v>
      </c>
      <c r="K62" s="104"/>
      <c r="L62" s="112">
        <v>97</v>
      </c>
      <c r="M62" s="99"/>
      <c r="N62" s="98"/>
      <c r="O62" s="115"/>
    </row>
    <row r="63" spans="1:29" ht="13.5" hidden="1" thickBot="1">
      <c r="C63" s="23" t="s">
        <v>33</v>
      </c>
      <c r="D63" s="88">
        <v>0.6</v>
      </c>
      <c r="E63" s="94"/>
      <c r="F63" s="95">
        <v>0.7</v>
      </c>
      <c r="G63" s="94"/>
      <c r="H63" s="105">
        <v>0.8</v>
      </c>
      <c r="I63" s="105"/>
      <c r="J63" s="105">
        <v>0.8</v>
      </c>
      <c r="K63" s="105"/>
      <c r="L63" s="95">
        <v>0.7</v>
      </c>
      <c r="M63" s="94"/>
      <c r="N63" s="88"/>
      <c r="O63" s="89"/>
    </row>
    <row r="64" spans="1:29" hidden="1">
      <c r="C64" s="24" t="s">
        <v>34</v>
      </c>
      <c r="D64" s="86">
        <v>98</v>
      </c>
      <c r="E64" s="91"/>
      <c r="F64" s="90">
        <v>97.5</v>
      </c>
      <c r="G64" s="91"/>
      <c r="H64" s="96">
        <v>98.5</v>
      </c>
      <c r="I64" s="96"/>
      <c r="J64" s="96">
        <v>97</v>
      </c>
      <c r="K64" s="96"/>
      <c r="L64" s="90">
        <v>97.5</v>
      </c>
      <c r="M64" s="91"/>
      <c r="N64" s="86"/>
      <c r="O64" s="87"/>
    </row>
    <row r="65" spans="1:18" ht="13.5" hidden="1" thickBot="1">
      <c r="C65" s="23" t="s">
        <v>33</v>
      </c>
      <c r="D65" s="88">
        <v>0.65</v>
      </c>
      <c r="E65" s="94"/>
      <c r="F65" s="95">
        <v>0.7</v>
      </c>
      <c r="G65" s="94"/>
      <c r="H65" s="105">
        <v>0.8</v>
      </c>
      <c r="I65" s="105"/>
      <c r="J65" s="105">
        <v>0.8</v>
      </c>
      <c r="K65" s="105"/>
      <c r="L65" s="95">
        <v>0.7</v>
      </c>
      <c r="M65" s="94"/>
      <c r="N65" s="88"/>
      <c r="O65" s="89"/>
    </row>
    <row r="66" spans="1:18">
      <c r="G66" s="11"/>
      <c r="H66" s="13"/>
      <c r="I66" s="13"/>
      <c r="J66" s="13"/>
      <c r="K66" s="13"/>
      <c r="L66" s="13"/>
      <c r="M66" s="13"/>
      <c r="N66" s="13"/>
    </row>
    <row r="67" spans="1:18">
      <c r="G67" s="11"/>
      <c r="H67" s="13"/>
      <c r="I67" s="13"/>
      <c r="J67" s="13"/>
      <c r="K67" s="13"/>
      <c r="L67" s="13"/>
      <c r="M67" s="13"/>
      <c r="N67" s="13"/>
    </row>
    <row r="68" spans="1:18">
      <c r="A68" s="16" t="s">
        <v>61</v>
      </c>
      <c r="G68" s="11"/>
      <c r="H68" s="13"/>
      <c r="I68" s="13"/>
      <c r="J68" s="13"/>
      <c r="K68" s="13"/>
      <c r="L68" s="13"/>
      <c r="M68" s="13"/>
      <c r="N68" s="13"/>
    </row>
    <row r="69" spans="1:18" ht="6" customHeight="1"/>
    <row r="70" spans="1:18">
      <c r="B70" t="s">
        <v>60</v>
      </c>
    </row>
    <row r="71" spans="1:18">
      <c r="B71" t="s">
        <v>56</v>
      </c>
    </row>
    <row r="74" spans="1:18">
      <c r="A74" s="16" t="s">
        <v>18</v>
      </c>
    </row>
    <row r="75" spans="1:18" ht="9" customHeight="1" thickBot="1"/>
    <row r="76" spans="1:18" ht="12.75" customHeight="1">
      <c r="B76" s="92" t="s">
        <v>19</v>
      </c>
      <c r="C76" s="93"/>
      <c r="D76" s="81" t="s">
        <v>40</v>
      </c>
      <c r="E76" s="82"/>
      <c r="F76" s="82"/>
      <c r="G76" s="82"/>
      <c r="H76" s="82"/>
      <c r="I76" s="82"/>
      <c r="J76" s="83"/>
      <c r="K76" s="152" t="s">
        <v>20</v>
      </c>
    </row>
    <row r="77" spans="1:18" ht="13.5" thickBot="1">
      <c r="A77" s="9"/>
      <c r="B77" s="79" t="s">
        <v>39</v>
      </c>
      <c r="C77" s="80"/>
      <c r="D77" s="28" t="s">
        <v>38</v>
      </c>
      <c r="E77" s="29" t="s">
        <v>37</v>
      </c>
      <c r="F77" s="29" t="s">
        <v>44</v>
      </c>
      <c r="G77" s="29" t="s">
        <v>63</v>
      </c>
      <c r="H77" s="29" t="s">
        <v>36</v>
      </c>
      <c r="I77" s="29"/>
      <c r="J77" s="30"/>
      <c r="K77" s="154"/>
      <c r="M77" s="9"/>
      <c r="N77" s="9"/>
      <c r="O77" s="9"/>
      <c r="P77" s="9"/>
      <c r="Q77" s="9"/>
      <c r="R77" s="9"/>
    </row>
    <row r="78" spans="1:18">
      <c r="B78" s="84" t="s">
        <v>75</v>
      </c>
      <c r="C78" s="85"/>
      <c r="D78" s="12">
        <v>9</v>
      </c>
      <c r="E78" s="10">
        <v>12</v>
      </c>
      <c r="F78" s="10">
        <v>10</v>
      </c>
      <c r="G78" s="10">
        <v>9</v>
      </c>
      <c r="H78" s="31">
        <v>10</v>
      </c>
      <c r="I78" s="35"/>
      <c r="J78" s="13"/>
      <c r="K78" s="22">
        <v>9</v>
      </c>
      <c r="M78" s="9"/>
      <c r="N78" s="9"/>
      <c r="O78" s="9"/>
      <c r="P78" s="9"/>
      <c r="Q78" s="9"/>
      <c r="R78" s="9"/>
    </row>
    <row r="79" spans="1:18" ht="13.5" thickBot="1">
      <c r="B79" s="77" t="s">
        <v>76</v>
      </c>
      <c r="C79" s="78"/>
      <c r="D79" s="21">
        <v>14</v>
      </c>
      <c r="E79" s="20">
        <v>13</v>
      </c>
      <c r="F79" s="20">
        <v>14</v>
      </c>
      <c r="G79" s="20">
        <v>14</v>
      </c>
      <c r="H79" s="20">
        <v>15</v>
      </c>
      <c r="I79" s="34"/>
      <c r="J79" s="36"/>
      <c r="K79" s="23">
        <v>10</v>
      </c>
      <c r="M79" s="9"/>
      <c r="N79" s="9"/>
      <c r="O79" s="9"/>
      <c r="P79" s="9"/>
      <c r="Q79" s="9"/>
      <c r="R79" s="9"/>
    </row>
    <row r="80" spans="1:18" ht="13.5" thickBot="1">
      <c r="M80" s="9"/>
      <c r="N80" s="9"/>
      <c r="O80" s="9"/>
      <c r="P80" s="9"/>
      <c r="Q80" s="9"/>
      <c r="R80" s="9"/>
    </row>
    <row r="81" spans="2:18">
      <c r="B81" s="92" t="s">
        <v>19</v>
      </c>
      <c r="C81" s="93"/>
      <c r="D81" s="81" t="s">
        <v>41</v>
      </c>
      <c r="E81" s="82"/>
      <c r="F81" s="82"/>
      <c r="G81" s="82"/>
      <c r="H81" s="82"/>
      <c r="I81" s="82"/>
      <c r="J81" s="83"/>
      <c r="K81" s="152" t="s">
        <v>20</v>
      </c>
      <c r="M81" s="9"/>
      <c r="N81" s="9"/>
      <c r="O81" s="9"/>
      <c r="P81" s="9"/>
      <c r="Q81" s="9"/>
      <c r="R81" s="9"/>
    </row>
    <row r="82" spans="2:18" ht="12.75" customHeight="1" thickBot="1">
      <c r="B82" s="79" t="s">
        <v>39</v>
      </c>
      <c r="C82" s="80"/>
      <c r="D82" s="28" t="s">
        <v>38</v>
      </c>
      <c r="E82" s="29" t="s">
        <v>37</v>
      </c>
      <c r="F82" s="29" t="s">
        <v>44</v>
      </c>
      <c r="G82" s="29" t="s">
        <v>63</v>
      </c>
      <c r="H82" s="29" t="s">
        <v>36</v>
      </c>
      <c r="I82" s="29"/>
      <c r="J82" s="30"/>
      <c r="K82" s="153"/>
      <c r="M82" s="9"/>
      <c r="N82" s="9"/>
      <c r="O82" s="9"/>
      <c r="P82" s="9"/>
      <c r="Q82" s="9"/>
      <c r="R82" s="9"/>
    </row>
    <row r="83" spans="2:18">
      <c r="B83" s="84" t="s">
        <v>77</v>
      </c>
      <c r="C83" s="85"/>
      <c r="D83" s="12">
        <v>20</v>
      </c>
      <c r="E83" s="10">
        <v>20</v>
      </c>
      <c r="F83" s="10">
        <v>22</v>
      </c>
      <c r="G83" s="10">
        <v>21</v>
      </c>
      <c r="H83" s="31">
        <v>20</v>
      </c>
      <c r="I83" s="35"/>
      <c r="J83" s="13"/>
      <c r="K83" s="22">
        <v>8</v>
      </c>
      <c r="M83" s="9"/>
      <c r="N83" s="9"/>
      <c r="O83" s="9"/>
      <c r="P83" s="9"/>
      <c r="Q83" s="9"/>
      <c r="R83" s="9"/>
    </row>
    <row r="84" spans="2:18" ht="13.5" thickBot="1">
      <c r="B84" s="77" t="s">
        <v>78</v>
      </c>
      <c r="C84" s="78"/>
      <c r="D84" s="21">
        <v>25</v>
      </c>
      <c r="E84" s="20">
        <v>20</v>
      </c>
      <c r="F84" s="20">
        <v>24</v>
      </c>
      <c r="G84" s="20">
        <v>25</v>
      </c>
      <c r="H84" s="20">
        <v>22</v>
      </c>
      <c r="I84" s="34"/>
      <c r="J84" s="36"/>
      <c r="K84" s="23">
        <v>7</v>
      </c>
      <c r="M84" s="9"/>
      <c r="N84" s="9"/>
      <c r="O84" s="9"/>
      <c r="P84" s="9"/>
      <c r="Q84" s="9"/>
      <c r="R84" s="9"/>
    </row>
    <row r="85" spans="2:18">
      <c r="M85" s="9"/>
      <c r="N85" s="9"/>
      <c r="O85" s="9"/>
      <c r="P85" s="9"/>
      <c r="Q85" s="9"/>
      <c r="R85" s="9"/>
    </row>
    <row r="86" spans="2:18" ht="13.5" thickBot="1">
      <c r="M86" s="9"/>
      <c r="N86" s="9"/>
      <c r="O86" s="9"/>
      <c r="P86" s="9"/>
      <c r="Q86" s="9"/>
      <c r="R86" s="9"/>
    </row>
    <row r="87" spans="2:18">
      <c r="B87" s="92" t="s">
        <v>21</v>
      </c>
      <c r="C87" s="93"/>
      <c r="D87" s="145" t="s">
        <v>40</v>
      </c>
      <c r="E87" s="146"/>
      <c r="F87" s="146"/>
      <c r="G87" s="146"/>
      <c r="H87" s="145" t="s">
        <v>41</v>
      </c>
      <c r="I87" s="146"/>
      <c r="J87" s="146"/>
      <c r="K87" s="149"/>
      <c r="M87" s="9"/>
      <c r="N87" s="9"/>
      <c r="O87" s="9"/>
      <c r="P87" s="9"/>
      <c r="Q87" s="9"/>
      <c r="R87" s="9"/>
    </row>
    <row r="88" spans="2:18" ht="13.5" thickBot="1">
      <c r="B88" s="79" t="s">
        <v>42</v>
      </c>
      <c r="C88" s="80"/>
      <c r="D88" s="147"/>
      <c r="E88" s="148"/>
      <c r="F88" s="148"/>
      <c r="G88" s="148"/>
      <c r="H88" s="147"/>
      <c r="I88" s="148"/>
      <c r="J88" s="148"/>
      <c r="K88" s="150"/>
      <c r="M88" s="9"/>
      <c r="N88" s="9"/>
      <c r="O88" s="9"/>
      <c r="P88" s="9"/>
      <c r="Q88" s="9"/>
      <c r="R88" s="9"/>
    </row>
    <row r="89" spans="2:18">
      <c r="B89" s="137" t="s">
        <v>22</v>
      </c>
      <c r="C89" s="138"/>
      <c r="D89" s="129" t="s">
        <v>47</v>
      </c>
      <c r="E89" s="130"/>
      <c r="F89" s="130"/>
      <c r="G89" s="130"/>
      <c r="H89" s="129" t="s">
        <v>48</v>
      </c>
      <c r="I89" s="130"/>
      <c r="J89" s="130"/>
      <c r="K89" s="132"/>
      <c r="M89" s="9"/>
      <c r="N89" s="9"/>
      <c r="O89" s="9"/>
      <c r="P89" s="9"/>
      <c r="Q89" s="9"/>
      <c r="R89" s="9"/>
    </row>
    <row r="90" spans="2:18">
      <c r="B90" s="139"/>
      <c r="C90" s="140"/>
      <c r="D90" s="129" t="s">
        <v>23</v>
      </c>
      <c r="E90" s="130"/>
      <c r="F90" s="130"/>
      <c r="G90" s="130"/>
      <c r="H90" s="131" t="s">
        <v>64</v>
      </c>
      <c r="I90" s="130"/>
      <c r="J90" s="130"/>
      <c r="K90" s="132"/>
      <c r="M90" s="9"/>
      <c r="N90" s="9"/>
      <c r="O90" s="9"/>
      <c r="P90" s="9"/>
      <c r="Q90" s="9"/>
      <c r="R90" s="9"/>
    </row>
    <row r="91" spans="2:18" ht="13.5" thickBot="1">
      <c r="B91" s="141"/>
      <c r="C91" s="142"/>
      <c r="D91" s="143" t="s">
        <v>79</v>
      </c>
      <c r="E91" s="144"/>
      <c r="F91" s="144"/>
      <c r="G91" s="144"/>
      <c r="H91" s="143" t="s">
        <v>81</v>
      </c>
      <c r="I91" s="144"/>
      <c r="J91" s="144"/>
      <c r="K91" s="151"/>
      <c r="M91" s="9"/>
      <c r="N91" s="9"/>
      <c r="O91" s="9"/>
      <c r="P91" s="9"/>
      <c r="Q91" s="9"/>
      <c r="R91" s="9"/>
    </row>
    <row r="92" spans="2:18">
      <c r="B92" s="133" t="s">
        <v>24</v>
      </c>
      <c r="C92" s="134"/>
      <c r="D92" s="129" t="s">
        <v>47</v>
      </c>
      <c r="E92" s="130"/>
      <c r="F92" s="130"/>
      <c r="G92" s="130"/>
      <c r="H92" s="129" t="s">
        <v>46</v>
      </c>
      <c r="I92" s="130"/>
      <c r="J92" s="130"/>
      <c r="K92" s="132"/>
      <c r="M92" s="9"/>
      <c r="N92" s="9"/>
      <c r="O92" s="9"/>
      <c r="P92" s="9"/>
      <c r="Q92" s="9"/>
      <c r="R92" s="9"/>
    </row>
    <row r="93" spans="2:18">
      <c r="B93" s="133"/>
      <c r="C93" s="134"/>
      <c r="D93" s="129" t="s">
        <v>25</v>
      </c>
      <c r="E93" s="130"/>
      <c r="F93" s="130"/>
      <c r="G93" s="130"/>
      <c r="H93" s="129" t="s">
        <v>65</v>
      </c>
      <c r="I93" s="130"/>
      <c r="J93" s="130"/>
      <c r="K93" s="132"/>
      <c r="M93" s="9"/>
      <c r="N93" s="9"/>
      <c r="O93" s="9"/>
      <c r="P93" s="9"/>
      <c r="Q93" s="9"/>
      <c r="R93" s="9"/>
    </row>
    <row r="94" spans="2:18" ht="13.5" thickBot="1">
      <c r="B94" s="135"/>
      <c r="C94" s="136"/>
      <c r="D94" s="131" t="s">
        <v>80</v>
      </c>
      <c r="E94" s="130"/>
      <c r="F94" s="130"/>
      <c r="G94" s="130"/>
      <c r="H94" s="131" t="s">
        <v>82</v>
      </c>
      <c r="I94" s="130"/>
      <c r="J94" s="130"/>
      <c r="K94" s="132"/>
      <c r="M94" s="9"/>
      <c r="N94" s="9"/>
      <c r="O94" s="9"/>
      <c r="P94" s="9"/>
      <c r="Q94" s="9"/>
      <c r="R94" s="9"/>
    </row>
    <row r="95" spans="2:18">
      <c r="B95" s="125" t="s">
        <v>26</v>
      </c>
      <c r="C95" s="126"/>
      <c r="D95" s="119" t="s">
        <v>83</v>
      </c>
      <c r="E95" s="120"/>
      <c r="F95" s="120"/>
      <c r="G95" s="120"/>
      <c r="H95" s="120"/>
      <c r="I95" s="120"/>
      <c r="J95" s="120"/>
      <c r="K95" s="121"/>
      <c r="M95" s="9"/>
      <c r="N95" s="9"/>
      <c r="O95" s="9"/>
      <c r="P95" s="9"/>
      <c r="Q95" s="9"/>
      <c r="R95" s="9"/>
    </row>
    <row r="96" spans="2:18" ht="13.5" thickBot="1">
      <c r="B96" s="127"/>
      <c r="C96" s="128"/>
      <c r="D96" s="122"/>
      <c r="E96" s="123"/>
      <c r="F96" s="123"/>
      <c r="G96" s="123"/>
      <c r="H96" s="123"/>
      <c r="I96" s="123"/>
      <c r="J96" s="123"/>
      <c r="K96" s="124"/>
    </row>
    <row r="98" spans="1:16">
      <c r="B98" s="11" t="s">
        <v>57</v>
      </c>
      <c r="E98" s="11"/>
      <c r="F98" s="11"/>
      <c r="G98" s="11"/>
      <c r="H98" s="11"/>
      <c r="I98" s="11"/>
      <c r="J98" s="11"/>
      <c r="K98" s="11"/>
      <c r="L98" s="11"/>
    </row>
    <row r="99" spans="1:16">
      <c r="B99" s="43" t="s">
        <v>84</v>
      </c>
      <c r="E99" s="11"/>
      <c r="F99" s="11"/>
      <c r="G99" s="11"/>
      <c r="H99" s="11"/>
      <c r="I99" s="11"/>
      <c r="J99" s="11"/>
      <c r="K99" s="11"/>
      <c r="L99" s="11"/>
    </row>
    <row r="100" spans="1:16">
      <c r="B100" s="11"/>
      <c r="E100" s="11"/>
      <c r="F100" s="11"/>
      <c r="G100" s="11"/>
      <c r="H100" s="11"/>
      <c r="I100" s="11"/>
      <c r="J100" s="11"/>
      <c r="K100" s="11"/>
      <c r="L100" s="11"/>
    </row>
    <row r="101" spans="1:16">
      <c r="A101" s="11"/>
      <c r="D101" s="11"/>
      <c r="E101" s="11"/>
      <c r="F101" s="11"/>
      <c r="G101" s="11"/>
      <c r="H101" s="11"/>
      <c r="I101" s="11"/>
      <c r="J101" s="11"/>
      <c r="K101" s="11"/>
    </row>
    <row r="102" spans="1:16">
      <c r="A102" s="16" t="s">
        <v>27</v>
      </c>
    </row>
    <row r="103" spans="1:16" ht="6" customHeight="1"/>
    <row r="104" spans="1:16" ht="12.75" customHeight="1">
      <c r="B104" s="39" t="s">
        <v>86</v>
      </c>
      <c r="C104" s="40"/>
      <c r="D104" s="40"/>
      <c r="E104" s="40"/>
      <c r="F104" s="40"/>
      <c r="G104" s="40"/>
      <c r="H104" s="40"/>
      <c r="I104" s="40"/>
      <c r="J104" s="40"/>
      <c r="K104" s="40"/>
    </row>
    <row r="105" spans="1:16">
      <c r="A105" s="40"/>
      <c r="B105" s="39" t="s">
        <v>85</v>
      </c>
      <c r="C105" s="40"/>
      <c r="D105" s="40"/>
      <c r="E105" s="40"/>
      <c r="F105" s="40"/>
      <c r="G105" s="40"/>
      <c r="H105" s="40"/>
      <c r="I105" s="40"/>
      <c r="J105" s="40"/>
      <c r="K105" s="40"/>
    </row>
    <row r="108" spans="1:16">
      <c r="A108" s="16" t="s">
        <v>28</v>
      </c>
    </row>
    <row r="109" spans="1:16" ht="6" customHeight="1"/>
    <row r="110" spans="1:16" ht="12.75" customHeight="1">
      <c r="B110" s="38" t="s">
        <v>87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8"/>
      <c r="M110" s="18"/>
      <c r="N110" s="18"/>
      <c r="O110" s="18"/>
      <c r="P110" s="18"/>
    </row>
    <row r="111" spans="1:16">
      <c r="B111" s="39" t="s">
        <v>88</v>
      </c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1:16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4" spans="1:15">
      <c r="A114" s="16" t="s">
        <v>29</v>
      </c>
    </row>
    <row r="115" spans="1:15" ht="6" customHeight="1"/>
    <row r="116" spans="1:15" ht="12.75" customHeight="1">
      <c r="B116" s="18" t="s">
        <v>59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pans="1:15">
      <c r="B117" s="38" t="s">
        <v>89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</row>
    <row r="118" spans="1: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1:15">
      <c r="A120" s="16" t="s">
        <v>30</v>
      </c>
    </row>
    <row r="121" spans="1:15" ht="6" customHeight="1"/>
    <row r="122" spans="1:15">
      <c r="B122" t="s">
        <v>62</v>
      </c>
    </row>
    <row r="125" spans="1:15">
      <c r="A125" s="16" t="s">
        <v>43</v>
      </c>
    </row>
    <row r="126" spans="1:15" ht="6" customHeight="1"/>
    <row r="127" spans="1:15">
      <c r="B127" s="27" t="s">
        <v>90</v>
      </c>
    </row>
    <row r="128" spans="1:15">
      <c r="B128" s="27" t="s">
        <v>91</v>
      </c>
    </row>
    <row r="131" spans="1:1">
      <c r="A131" s="16" t="s">
        <v>92</v>
      </c>
    </row>
  </sheetData>
  <mergeCells count="90">
    <mergeCell ref="H91:K91"/>
    <mergeCell ref="K81:K82"/>
    <mergeCell ref="D76:J76"/>
    <mergeCell ref="K76:K77"/>
    <mergeCell ref="F62:G62"/>
    <mergeCell ref="F63:G63"/>
    <mergeCell ref="D63:E63"/>
    <mergeCell ref="J65:K65"/>
    <mergeCell ref="F61:G61"/>
    <mergeCell ref="H63:I63"/>
    <mergeCell ref="H64:I64"/>
    <mergeCell ref="J63:K63"/>
    <mergeCell ref="H65:I65"/>
    <mergeCell ref="O20:O21"/>
    <mergeCell ref="O32:O33"/>
    <mergeCell ref="B26:B27"/>
    <mergeCell ref="C26:N26"/>
    <mergeCell ref="O26:O27"/>
    <mergeCell ref="B32:B33"/>
    <mergeCell ref="C32:N32"/>
    <mergeCell ref="B20:B21"/>
    <mergeCell ref="C20:N20"/>
    <mergeCell ref="B89:C91"/>
    <mergeCell ref="B87:C87"/>
    <mergeCell ref="B88:C88"/>
    <mergeCell ref="D91:G91"/>
    <mergeCell ref="N62:O62"/>
    <mergeCell ref="N63:O63"/>
    <mergeCell ref="D87:G88"/>
    <mergeCell ref="D89:G89"/>
    <mergeCell ref="D90:G90"/>
    <mergeCell ref="H89:K89"/>
    <mergeCell ref="H87:K88"/>
    <mergeCell ref="H90:K90"/>
    <mergeCell ref="L63:M63"/>
    <mergeCell ref="L64:M64"/>
    <mergeCell ref="L65:M65"/>
    <mergeCell ref="J62:K62"/>
    <mergeCell ref="D95:K96"/>
    <mergeCell ref="B95:C96"/>
    <mergeCell ref="D92:G92"/>
    <mergeCell ref="D93:G93"/>
    <mergeCell ref="D94:G94"/>
    <mergeCell ref="H94:K94"/>
    <mergeCell ref="H93:K93"/>
    <mergeCell ref="B92:C94"/>
    <mergeCell ref="H92:K92"/>
    <mergeCell ref="C38:N38"/>
    <mergeCell ref="L60:M60"/>
    <mergeCell ref="N60:O60"/>
    <mergeCell ref="O38:O39"/>
    <mergeCell ref="F59:G59"/>
    <mergeCell ref="H59:I59"/>
    <mergeCell ref="J59:K59"/>
    <mergeCell ref="O44:O45"/>
    <mergeCell ref="L59:M59"/>
    <mergeCell ref="N59:O59"/>
    <mergeCell ref="J60:K60"/>
    <mergeCell ref="A1:O1"/>
    <mergeCell ref="D60:E60"/>
    <mergeCell ref="D61:E61"/>
    <mergeCell ref="D62:E62"/>
    <mergeCell ref="D59:E59"/>
    <mergeCell ref="H60:I60"/>
    <mergeCell ref="H61:I61"/>
    <mergeCell ref="H62:I62"/>
    <mergeCell ref="B44:B45"/>
    <mergeCell ref="C44:N44"/>
    <mergeCell ref="N61:O61"/>
    <mergeCell ref="F60:G60"/>
    <mergeCell ref="L62:M62"/>
    <mergeCell ref="L61:M61"/>
    <mergeCell ref="J61:K61"/>
    <mergeCell ref="B38:B39"/>
    <mergeCell ref="B84:C84"/>
    <mergeCell ref="B82:C82"/>
    <mergeCell ref="D81:J81"/>
    <mergeCell ref="B83:C83"/>
    <mergeCell ref="N64:O64"/>
    <mergeCell ref="N65:O65"/>
    <mergeCell ref="F64:G64"/>
    <mergeCell ref="B76:C76"/>
    <mergeCell ref="B77:C77"/>
    <mergeCell ref="D64:E64"/>
    <mergeCell ref="D65:E65"/>
    <mergeCell ref="F65:G65"/>
    <mergeCell ref="B81:C81"/>
    <mergeCell ref="B78:C78"/>
    <mergeCell ref="B79:C79"/>
    <mergeCell ref="J64:K64"/>
  </mergeCells>
  <phoneticPr fontId="0" type="noConversion"/>
  <printOptions horizontalCentered="1" verticalCentered="1"/>
  <pageMargins left="0.35433070866141736" right="0.35433070866141736" top="0.39370078740157483" bottom="0.39370078740157483" header="0" footer="0"/>
  <pageSetup scale="80" orientation="landscape" r:id="rId1"/>
  <headerFooter alignWithMargins="0"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6" sqref="F26"/>
    </sheetView>
  </sheetViews>
  <sheetFormatPr baseColWidth="10" defaultColWidth="11.42578125" defaultRowHeight="12.75"/>
  <sheetData/>
  <phoneticPr fontId="0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2.75"/>
  <sheetData/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40"/>
  <sheetViews>
    <sheetView tabSelected="1" topLeftCell="A24" workbookViewId="0">
      <selection activeCell="K3" sqref="K3"/>
    </sheetView>
  </sheetViews>
  <sheetFormatPr baseColWidth="10" defaultRowHeight="12.75"/>
  <cols>
    <col min="1" max="1" width="30.85546875" customWidth="1"/>
    <col min="2" max="2" width="12" customWidth="1"/>
    <col min="15" max="15" width="22.5703125" customWidth="1"/>
    <col min="16" max="16" width="30.5703125" customWidth="1"/>
    <col min="17" max="17" width="18.5703125" customWidth="1"/>
  </cols>
  <sheetData>
    <row r="1" spans="1:20">
      <c r="A1" s="158" t="s">
        <v>159</v>
      </c>
      <c r="B1" s="159"/>
      <c r="C1" s="159"/>
      <c r="D1" s="159"/>
      <c r="E1" s="159"/>
      <c r="F1" s="159"/>
      <c r="G1" s="159"/>
      <c r="H1" s="159"/>
      <c r="I1" s="159"/>
      <c r="J1" s="160"/>
    </row>
    <row r="2" spans="1:20">
      <c r="A2" s="158" t="s">
        <v>220</v>
      </c>
      <c r="B2" s="109"/>
      <c r="C2" s="109"/>
      <c r="D2" s="109"/>
      <c r="E2" s="109"/>
      <c r="F2" s="109"/>
      <c r="G2" s="109"/>
      <c r="H2" s="109"/>
      <c r="I2" s="109"/>
      <c r="J2" s="110"/>
      <c r="P2" s="1" t="s">
        <v>123</v>
      </c>
      <c r="Q2" s="1" t="s">
        <v>98</v>
      </c>
      <c r="R2" s="1" t="s">
        <v>99</v>
      </c>
      <c r="S2" s="1" t="s">
        <v>100</v>
      </c>
      <c r="T2" s="1" t="s">
        <v>101</v>
      </c>
    </row>
    <row r="3" spans="1:20">
      <c r="A3" s="158" t="s">
        <v>221</v>
      </c>
      <c r="B3" s="109"/>
      <c r="C3" s="109"/>
      <c r="D3" s="109"/>
      <c r="E3" s="109"/>
      <c r="F3" s="109"/>
      <c r="G3" s="109"/>
      <c r="H3" s="109"/>
      <c r="I3" s="109"/>
      <c r="J3" s="110"/>
      <c r="P3" s="1"/>
      <c r="Q3" s="1">
        <v>4</v>
      </c>
      <c r="R3" s="1">
        <v>4</v>
      </c>
      <c r="S3" s="1">
        <v>3</v>
      </c>
      <c r="T3" s="1">
        <v>5</v>
      </c>
    </row>
    <row r="4" spans="1:20">
      <c r="A4" s="158" t="s">
        <v>160</v>
      </c>
      <c r="B4" s="109"/>
      <c r="C4" s="109"/>
      <c r="D4" s="109"/>
      <c r="E4" s="109"/>
      <c r="F4" s="109"/>
      <c r="G4" s="109"/>
      <c r="H4" s="109"/>
      <c r="I4" s="109"/>
      <c r="J4" s="110"/>
      <c r="P4" s="1" t="s">
        <v>124</v>
      </c>
      <c r="Q4" s="1">
        <v>34</v>
      </c>
      <c r="R4" s="1">
        <v>28</v>
      </c>
      <c r="S4" s="1">
        <v>42</v>
      </c>
      <c r="T4" s="1">
        <v>31</v>
      </c>
    </row>
    <row r="5" spans="1:20">
      <c r="A5" s="109"/>
      <c r="B5" s="109"/>
      <c r="C5" s="109"/>
      <c r="D5" s="109"/>
      <c r="E5" s="109"/>
      <c r="F5" s="109"/>
      <c r="G5" s="109"/>
      <c r="H5" s="109"/>
      <c r="I5" s="109"/>
      <c r="J5" s="109"/>
    </row>
    <row r="6" spans="1:20">
      <c r="A6" s="163" t="s">
        <v>97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  <c r="P6" s="48" t="s">
        <v>109</v>
      </c>
    </row>
    <row r="7" spans="1:20">
      <c r="A7" s="1"/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96</v>
      </c>
      <c r="K7" s="1" t="s">
        <v>12</v>
      </c>
      <c r="L7" s="1" t="s">
        <v>13</v>
      </c>
      <c r="M7" s="1" t="s">
        <v>14</v>
      </c>
      <c r="P7" s="1">
        <v>1.02</v>
      </c>
    </row>
    <row r="8" spans="1:20">
      <c r="A8" s="1" t="s">
        <v>98</v>
      </c>
      <c r="B8" s="1">
        <v>22</v>
      </c>
      <c r="C8" s="1">
        <v>18</v>
      </c>
      <c r="D8" s="1">
        <v>22</v>
      </c>
      <c r="E8" s="1">
        <v>23</v>
      </c>
      <c r="F8" s="1">
        <v>21</v>
      </c>
      <c r="G8" s="1">
        <v>21</v>
      </c>
      <c r="H8" s="1">
        <v>23</v>
      </c>
      <c r="I8" s="1">
        <v>20</v>
      </c>
      <c r="J8" s="1">
        <v>21</v>
      </c>
      <c r="K8" s="1">
        <v>20</v>
      </c>
      <c r="L8" s="1">
        <v>22</v>
      </c>
      <c r="M8" s="1">
        <v>20</v>
      </c>
    </row>
    <row r="9" spans="1:20">
      <c r="A9" s="1" t="s">
        <v>99</v>
      </c>
      <c r="B9" s="1">
        <v>3</v>
      </c>
      <c r="C9" s="1">
        <v>4</v>
      </c>
      <c r="D9" s="1">
        <v>2</v>
      </c>
      <c r="E9" s="1">
        <v>1</v>
      </c>
      <c r="F9" s="1">
        <v>2</v>
      </c>
      <c r="G9" s="1">
        <v>1</v>
      </c>
      <c r="H9" s="1">
        <v>4</v>
      </c>
      <c r="I9" s="1">
        <v>2</v>
      </c>
      <c r="J9" s="1">
        <v>1</v>
      </c>
      <c r="K9" s="1">
        <v>4</v>
      </c>
      <c r="L9" s="1">
        <v>3</v>
      </c>
      <c r="M9" s="1">
        <v>4</v>
      </c>
      <c r="P9" s="48" t="s">
        <v>218</v>
      </c>
      <c r="Q9" s="48">
        <f>48/5.5</f>
        <v>8.7272727272727266</v>
      </c>
    </row>
    <row r="10" spans="1:20">
      <c r="A10" s="1" t="s">
        <v>100</v>
      </c>
      <c r="B10" s="1">
        <v>7</v>
      </c>
      <c r="C10" s="1">
        <v>4</v>
      </c>
      <c r="D10" s="1">
        <v>6</v>
      </c>
      <c r="E10" s="1">
        <v>5</v>
      </c>
      <c r="F10" s="1">
        <v>3</v>
      </c>
      <c r="G10" s="1">
        <v>2</v>
      </c>
      <c r="H10" s="1">
        <v>4</v>
      </c>
      <c r="I10" s="1">
        <v>6</v>
      </c>
      <c r="J10" s="1">
        <v>6</v>
      </c>
      <c r="K10" s="1">
        <v>6</v>
      </c>
      <c r="L10" s="1">
        <v>4</v>
      </c>
      <c r="M10" s="1">
        <v>5</v>
      </c>
    </row>
    <row r="11" spans="1:20">
      <c r="A11" s="1" t="s">
        <v>101</v>
      </c>
      <c r="B11" s="1">
        <v>0</v>
      </c>
      <c r="C11" s="1">
        <v>4</v>
      </c>
      <c r="D11" s="1">
        <v>1</v>
      </c>
      <c r="E11" s="1">
        <v>2</v>
      </c>
      <c r="F11" s="1">
        <v>4</v>
      </c>
      <c r="G11" s="1">
        <v>5</v>
      </c>
      <c r="H11" s="1">
        <v>0</v>
      </c>
      <c r="I11" s="1">
        <v>3</v>
      </c>
      <c r="J11" s="1">
        <v>3</v>
      </c>
      <c r="K11" s="1">
        <v>2</v>
      </c>
      <c r="L11" s="1">
        <v>2</v>
      </c>
      <c r="M11" s="1">
        <v>2</v>
      </c>
      <c r="P11" s="114" t="s">
        <v>105</v>
      </c>
      <c r="Q11" s="114"/>
      <c r="R11" s="114"/>
    </row>
    <row r="12" spans="1:20">
      <c r="P12" s="45"/>
      <c r="Q12" s="45"/>
      <c r="R12" s="13"/>
    </row>
    <row r="13" spans="1:20">
      <c r="A13" s="163" t="s">
        <v>104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5"/>
      <c r="P13" s="1" t="s">
        <v>98</v>
      </c>
      <c r="Q13" s="47">
        <v>10</v>
      </c>
      <c r="S13" s="47">
        <v>9</v>
      </c>
    </row>
    <row r="14" spans="1:20">
      <c r="A14" s="1" t="s">
        <v>98</v>
      </c>
      <c r="B14" s="1">
        <f>B8*$Q19</f>
        <v>2200</v>
      </c>
      <c r="C14" s="1">
        <f t="shared" ref="C14:M14" si="0">C8*$Q19</f>
        <v>1800</v>
      </c>
      <c r="D14" s="1">
        <f t="shared" si="0"/>
        <v>2200</v>
      </c>
      <c r="E14" s="1">
        <f t="shared" si="0"/>
        <v>2300</v>
      </c>
      <c r="F14" s="1">
        <f t="shared" si="0"/>
        <v>2100</v>
      </c>
      <c r="G14" s="1">
        <f t="shared" si="0"/>
        <v>2100</v>
      </c>
      <c r="H14" s="1">
        <f t="shared" si="0"/>
        <v>2300</v>
      </c>
      <c r="I14" s="1">
        <f t="shared" si="0"/>
        <v>2000</v>
      </c>
      <c r="J14" s="1">
        <f t="shared" si="0"/>
        <v>2100</v>
      </c>
      <c r="K14" s="1">
        <f t="shared" si="0"/>
        <v>2000</v>
      </c>
      <c r="L14" s="1">
        <f t="shared" si="0"/>
        <v>2200</v>
      </c>
      <c r="M14" s="1">
        <f t="shared" si="0"/>
        <v>2000</v>
      </c>
      <c r="P14" s="1" t="s">
        <v>99</v>
      </c>
      <c r="Q14" s="47">
        <v>14</v>
      </c>
      <c r="S14" s="47">
        <v>10</v>
      </c>
    </row>
    <row r="15" spans="1:20">
      <c r="A15" s="1" t="s">
        <v>99</v>
      </c>
      <c r="B15" s="1">
        <f>B9*$Q20</f>
        <v>240</v>
      </c>
      <c r="C15" s="1">
        <f t="shared" ref="C15:M15" si="1">C9*$Q20</f>
        <v>320</v>
      </c>
      <c r="D15" s="1">
        <f t="shared" si="1"/>
        <v>160</v>
      </c>
      <c r="E15" s="1">
        <f t="shared" si="1"/>
        <v>80</v>
      </c>
      <c r="F15" s="1">
        <f t="shared" si="1"/>
        <v>160</v>
      </c>
      <c r="G15" s="1">
        <f t="shared" si="1"/>
        <v>80</v>
      </c>
      <c r="H15" s="1">
        <f t="shared" si="1"/>
        <v>320</v>
      </c>
      <c r="I15" s="1">
        <f t="shared" si="1"/>
        <v>160</v>
      </c>
      <c r="J15" s="1">
        <f t="shared" si="1"/>
        <v>80</v>
      </c>
      <c r="K15" s="1">
        <f t="shared" si="1"/>
        <v>320</v>
      </c>
      <c r="L15" s="1">
        <f t="shared" si="1"/>
        <v>240</v>
      </c>
      <c r="M15" s="1">
        <f t="shared" si="1"/>
        <v>320</v>
      </c>
      <c r="P15" s="1" t="s">
        <v>102</v>
      </c>
      <c r="Q15" s="47">
        <v>22</v>
      </c>
      <c r="S15" s="47">
        <v>8</v>
      </c>
    </row>
    <row r="16" spans="1:20">
      <c r="A16" s="48" t="s">
        <v>107</v>
      </c>
      <c r="B16" s="1">
        <f>B14+B15</f>
        <v>2440</v>
      </c>
      <c r="C16" s="1">
        <f t="shared" ref="C16:M16" si="2">C14+C15</f>
        <v>2120</v>
      </c>
      <c r="D16" s="1">
        <f t="shared" si="2"/>
        <v>2360</v>
      </c>
      <c r="E16" s="1">
        <f t="shared" si="2"/>
        <v>2380</v>
      </c>
      <c r="F16" s="1">
        <f t="shared" si="2"/>
        <v>2260</v>
      </c>
      <c r="G16" s="1">
        <f t="shared" si="2"/>
        <v>2180</v>
      </c>
      <c r="H16" s="1">
        <f t="shared" si="2"/>
        <v>2620</v>
      </c>
      <c r="I16" s="1">
        <f t="shared" si="2"/>
        <v>2160</v>
      </c>
      <c r="J16" s="1">
        <f t="shared" si="2"/>
        <v>2180</v>
      </c>
      <c r="K16" s="1">
        <f t="shared" si="2"/>
        <v>2320</v>
      </c>
      <c r="L16" s="1">
        <f t="shared" si="2"/>
        <v>2440</v>
      </c>
      <c r="M16" s="1">
        <f t="shared" si="2"/>
        <v>2320</v>
      </c>
      <c r="P16" s="1" t="s">
        <v>103</v>
      </c>
      <c r="Q16" s="47">
        <v>24</v>
      </c>
      <c r="S16" s="47">
        <v>7</v>
      </c>
    </row>
    <row r="17" spans="1:20">
      <c r="A17" s="54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2"/>
    </row>
    <row r="18" spans="1:20">
      <c r="A18" s="1" t="s">
        <v>100</v>
      </c>
      <c r="B18" s="1">
        <f>B10*$Q21</f>
        <v>770</v>
      </c>
      <c r="C18" s="1">
        <f t="shared" ref="C18:M18" si="3">C10*$Q21</f>
        <v>440</v>
      </c>
      <c r="D18" s="1">
        <f t="shared" si="3"/>
        <v>660</v>
      </c>
      <c r="E18" s="1">
        <f t="shared" si="3"/>
        <v>550</v>
      </c>
      <c r="F18" s="1">
        <f t="shared" si="3"/>
        <v>330</v>
      </c>
      <c r="G18" s="1">
        <f t="shared" si="3"/>
        <v>220</v>
      </c>
      <c r="H18" s="1">
        <f t="shared" si="3"/>
        <v>440</v>
      </c>
      <c r="I18" s="1">
        <f t="shared" si="3"/>
        <v>660</v>
      </c>
      <c r="J18" s="1">
        <f t="shared" si="3"/>
        <v>660</v>
      </c>
      <c r="K18" s="1">
        <f t="shared" si="3"/>
        <v>660</v>
      </c>
      <c r="L18" s="1">
        <f t="shared" si="3"/>
        <v>440</v>
      </c>
      <c r="M18" s="1">
        <f t="shared" si="3"/>
        <v>550</v>
      </c>
      <c r="P18" s="156" t="s">
        <v>106</v>
      </c>
      <c r="Q18" s="156"/>
      <c r="R18" s="38"/>
    </row>
    <row r="19" spans="1:20">
      <c r="A19" s="1" t="s">
        <v>101</v>
      </c>
      <c r="B19" s="1">
        <f>B11*$Q22</f>
        <v>0</v>
      </c>
      <c r="C19" s="1">
        <f t="shared" ref="C19:M19" si="4">C11*$Q22</f>
        <v>360</v>
      </c>
      <c r="D19" s="1">
        <f t="shared" si="4"/>
        <v>90</v>
      </c>
      <c r="E19" s="1">
        <f t="shared" si="4"/>
        <v>180</v>
      </c>
      <c r="F19" s="1">
        <f t="shared" si="4"/>
        <v>360</v>
      </c>
      <c r="G19" s="1">
        <f t="shared" si="4"/>
        <v>450</v>
      </c>
      <c r="H19" s="1">
        <f t="shared" si="4"/>
        <v>0</v>
      </c>
      <c r="I19" s="1">
        <f t="shared" si="4"/>
        <v>270</v>
      </c>
      <c r="J19" s="1">
        <f t="shared" si="4"/>
        <v>270</v>
      </c>
      <c r="K19" s="1">
        <f t="shared" si="4"/>
        <v>180</v>
      </c>
      <c r="L19" s="1">
        <f t="shared" si="4"/>
        <v>180</v>
      </c>
      <c r="M19" s="1">
        <f t="shared" si="4"/>
        <v>180</v>
      </c>
      <c r="P19" s="48" t="s">
        <v>98</v>
      </c>
      <c r="Q19" s="1">
        <v>100</v>
      </c>
    </row>
    <row r="20" spans="1:20">
      <c r="A20" s="48" t="s">
        <v>108</v>
      </c>
      <c r="B20" s="1">
        <f>B18+B19</f>
        <v>770</v>
      </c>
      <c r="C20" s="1">
        <f t="shared" ref="C20:M20" si="5">C18+C19</f>
        <v>800</v>
      </c>
      <c r="D20" s="1">
        <f t="shared" si="5"/>
        <v>750</v>
      </c>
      <c r="E20" s="1">
        <f t="shared" si="5"/>
        <v>730</v>
      </c>
      <c r="F20" s="1">
        <f t="shared" si="5"/>
        <v>690</v>
      </c>
      <c r="G20" s="1">
        <f t="shared" si="5"/>
        <v>670</v>
      </c>
      <c r="H20" s="1">
        <f t="shared" si="5"/>
        <v>440</v>
      </c>
      <c r="I20" s="1">
        <f t="shared" si="5"/>
        <v>930</v>
      </c>
      <c r="J20" s="1">
        <f t="shared" si="5"/>
        <v>930</v>
      </c>
      <c r="K20" s="1">
        <f t="shared" si="5"/>
        <v>840</v>
      </c>
      <c r="L20" s="1">
        <f t="shared" si="5"/>
        <v>620</v>
      </c>
      <c r="M20" s="1">
        <f t="shared" si="5"/>
        <v>730</v>
      </c>
      <c r="O20" s="27"/>
      <c r="P20" s="49" t="s">
        <v>99</v>
      </c>
      <c r="Q20" s="1">
        <v>80</v>
      </c>
    </row>
    <row r="21" spans="1:20">
      <c r="P21" s="48" t="s">
        <v>100</v>
      </c>
      <c r="Q21" s="1">
        <v>110</v>
      </c>
    </row>
    <row r="22" spans="1:20">
      <c r="B22">
        <f>B8*$Q3+B9*$R3+B10*$S3+B11*$T3</f>
        <v>121</v>
      </c>
      <c r="C22">
        <f t="shared" ref="C22:M22" si="6">C8*$Q3+C9*$R3+C10*$S3+C11*$T3</f>
        <v>120</v>
      </c>
      <c r="D22">
        <f t="shared" si="6"/>
        <v>119</v>
      </c>
      <c r="E22">
        <f t="shared" si="6"/>
        <v>121</v>
      </c>
      <c r="F22">
        <f t="shared" si="6"/>
        <v>121</v>
      </c>
      <c r="G22">
        <f t="shared" si="6"/>
        <v>119</v>
      </c>
      <c r="H22">
        <f t="shared" si="6"/>
        <v>120</v>
      </c>
      <c r="I22">
        <f t="shared" si="6"/>
        <v>121</v>
      </c>
      <c r="J22">
        <f t="shared" si="6"/>
        <v>121</v>
      </c>
      <c r="K22">
        <f t="shared" si="6"/>
        <v>124</v>
      </c>
      <c r="L22">
        <f t="shared" si="6"/>
        <v>122</v>
      </c>
      <c r="M22">
        <f t="shared" si="6"/>
        <v>121</v>
      </c>
      <c r="P22" s="48" t="s">
        <v>101</v>
      </c>
      <c r="Q22" s="1">
        <v>90</v>
      </c>
    </row>
    <row r="24" spans="1:20">
      <c r="P24" s="48" t="s">
        <v>110</v>
      </c>
    </row>
    <row r="25" spans="1:20">
      <c r="A25" s="166" t="s">
        <v>127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8"/>
      <c r="P25" s="1">
        <v>0.2</v>
      </c>
    </row>
    <row r="26" spans="1:20">
      <c r="A26" s="1"/>
      <c r="B26" s="1" t="s">
        <v>3</v>
      </c>
      <c r="C26" s="1" t="s">
        <v>4</v>
      </c>
      <c r="D26" s="1" t="s">
        <v>5</v>
      </c>
      <c r="E26" s="1" t="s">
        <v>6</v>
      </c>
      <c r="F26" s="1" t="s">
        <v>7</v>
      </c>
      <c r="G26" s="1" t="s">
        <v>8</v>
      </c>
      <c r="H26" s="1" t="s">
        <v>9</v>
      </c>
      <c r="I26" s="1" t="s">
        <v>10</v>
      </c>
      <c r="J26" s="1" t="s">
        <v>96</v>
      </c>
      <c r="K26" s="1" t="s">
        <v>12</v>
      </c>
      <c r="L26" s="1" t="s">
        <v>13</v>
      </c>
      <c r="M26" s="1" t="s">
        <v>14</v>
      </c>
    </row>
    <row r="27" spans="1:20">
      <c r="A27" s="48">
        <f>B56*$P$28</f>
        <v>2440</v>
      </c>
      <c r="B27" s="1">
        <f>B42+B56-A27</f>
        <v>24080</v>
      </c>
      <c r="C27" s="1">
        <f>C56+C42-B42</f>
        <v>21440</v>
      </c>
      <c r="D27" s="1">
        <f t="shared" ref="D27:L27" si="7">D56+D42-C42</f>
        <v>23620</v>
      </c>
      <c r="E27" s="1">
        <f t="shared" si="7"/>
        <v>23680</v>
      </c>
      <c r="F27" s="1">
        <f t="shared" si="7"/>
        <v>22520</v>
      </c>
      <c r="G27" s="1">
        <f t="shared" si="7"/>
        <v>22240</v>
      </c>
      <c r="H27" s="1">
        <f t="shared" si="7"/>
        <v>25740</v>
      </c>
      <c r="I27" s="1">
        <f t="shared" si="7"/>
        <v>21620</v>
      </c>
      <c r="J27" s="1">
        <f t="shared" si="7"/>
        <v>21940</v>
      </c>
      <c r="K27" s="1">
        <f t="shared" si="7"/>
        <v>23320</v>
      </c>
      <c r="L27" s="1">
        <f t="shared" si="7"/>
        <v>24280</v>
      </c>
      <c r="M27" s="3">
        <f>M56+N42-M42</f>
        <v>22873.991600000001</v>
      </c>
      <c r="P27" s="48" t="s">
        <v>111</v>
      </c>
    </row>
    <row r="28" spans="1:20">
      <c r="A28" s="48">
        <f t="shared" ref="A28:A30" si="8">B57*$P$28</f>
        <v>3416</v>
      </c>
      <c r="B28" s="1">
        <f>B43+B57-A28</f>
        <v>33712</v>
      </c>
      <c r="C28" s="1">
        <f>C57+C43-B43</f>
        <v>30016</v>
      </c>
      <c r="D28" s="1">
        <f t="shared" ref="D28:L28" si="9">D57+D43-C43</f>
        <v>33068</v>
      </c>
      <c r="E28" s="1">
        <f t="shared" si="9"/>
        <v>33152</v>
      </c>
      <c r="F28" s="1">
        <f t="shared" si="9"/>
        <v>31528</v>
      </c>
      <c r="G28" s="1">
        <f t="shared" si="9"/>
        <v>31136</v>
      </c>
      <c r="H28" s="1">
        <f t="shared" si="9"/>
        <v>36036</v>
      </c>
      <c r="I28" s="1">
        <f t="shared" si="9"/>
        <v>30268</v>
      </c>
      <c r="J28" s="1">
        <f t="shared" si="9"/>
        <v>30716</v>
      </c>
      <c r="K28" s="1">
        <f t="shared" si="9"/>
        <v>32648</v>
      </c>
      <c r="L28" s="1">
        <f t="shared" si="9"/>
        <v>33992</v>
      </c>
      <c r="M28" s="3">
        <f t="shared" ref="M28:M30" si="10">M57+N43-M43</f>
        <v>32023.188240000003</v>
      </c>
      <c r="P28" s="1">
        <v>0.1</v>
      </c>
    </row>
    <row r="29" spans="1:20">
      <c r="A29" s="48">
        <f t="shared" si="8"/>
        <v>1694</v>
      </c>
      <c r="B29" s="1">
        <f>B44+B58-A29</f>
        <v>17006</v>
      </c>
      <c r="C29" s="1">
        <f>C58+C44-B44</f>
        <v>17490</v>
      </c>
      <c r="D29" s="1">
        <f t="shared" ref="D29:L29" si="11">D58+D44-C44</f>
        <v>16456</v>
      </c>
      <c r="E29" s="1">
        <f t="shared" si="11"/>
        <v>15972</v>
      </c>
      <c r="F29" s="1">
        <f t="shared" si="11"/>
        <v>15136</v>
      </c>
      <c r="G29" s="1">
        <f t="shared" si="11"/>
        <v>14234</v>
      </c>
      <c r="H29" s="1">
        <f t="shared" si="11"/>
        <v>10758</v>
      </c>
      <c r="I29" s="1">
        <f t="shared" si="11"/>
        <v>20460</v>
      </c>
      <c r="J29" s="1">
        <f t="shared" si="11"/>
        <v>20262</v>
      </c>
      <c r="K29" s="1">
        <f t="shared" si="11"/>
        <v>17996</v>
      </c>
      <c r="L29" s="1">
        <f t="shared" si="11"/>
        <v>13882</v>
      </c>
      <c r="M29" s="3">
        <f t="shared" si="10"/>
        <v>15804.89428</v>
      </c>
      <c r="P29" s="11"/>
    </row>
    <row r="30" spans="1:20">
      <c r="A30" s="48">
        <f t="shared" si="8"/>
        <v>1848</v>
      </c>
      <c r="B30" s="1">
        <f>B45+B59-A30</f>
        <v>18552</v>
      </c>
      <c r="C30" s="1">
        <f>C59+C45-B45</f>
        <v>19080</v>
      </c>
      <c r="D30" s="1">
        <f t="shared" ref="D30:L30" si="12">D59+D45-C45</f>
        <v>17952</v>
      </c>
      <c r="E30" s="1">
        <f t="shared" si="12"/>
        <v>17424</v>
      </c>
      <c r="F30" s="1">
        <f t="shared" si="12"/>
        <v>16512</v>
      </c>
      <c r="G30" s="1">
        <f t="shared" si="12"/>
        <v>15528</v>
      </c>
      <c r="H30" s="1">
        <f t="shared" si="12"/>
        <v>11736</v>
      </c>
      <c r="I30" s="1">
        <f t="shared" si="12"/>
        <v>22320</v>
      </c>
      <c r="J30" s="1">
        <f t="shared" si="12"/>
        <v>22104</v>
      </c>
      <c r="K30" s="1">
        <f t="shared" si="12"/>
        <v>19632</v>
      </c>
      <c r="L30" s="1">
        <f t="shared" si="12"/>
        <v>15144</v>
      </c>
      <c r="M30" s="3">
        <f t="shared" si="10"/>
        <v>17241.79376</v>
      </c>
      <c r="P30" s="57" t="s">
        <v>214</v>
      </c>
      <c r="Q30" s="57">
        <v>1</v>
      </c>
      <c r="R30" s="57">
        <v>2</v>
      </c>
      <c r="S30" s="57">
        <v>3</v>
      </c>
      <c r="T30" s="57">
        <v>4</v>
      </c>
    </row>
    <row r="31" spans="1:20">
      <c r="A31" s="27"/>
      <c r="P31" s="57" t="s">
        <v>19</v>
      </c>
      <c r="Q31" s="57">
        <f>Q13*S13*Q19+Q14*S14*Q19</f>
        <v>23000</v>
      </c>
      <c r="R31" s="57">
        <f>Q13*S13*Q20+Q14*S14*Q20</f>
        <v>18400</v>
      </c>
      <c r="S31" s="57">
        <f>Q15*S15*Q21+Q16*S16*Q21</f>
        <v>37840</v>
      </c>
      <c r="T31" s="57">
        <f>Q15*S15*Q22+Q16*S16*Q22</f>
        <v>30960</v>
      </c>
    </row>
    <row r="32" spans="1:20">
      <c r="A32" s="157" t="s">
        <v>201</v>
      </c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P32" s="57" t="s">
        <v>21</v>
      </c>
      <c r="Q32" s="57">
        <f>Q3*Q4*Q9*1.8</f>
        <v>2136.4363636363632</v>
      </c>
      <c r="R32" s="57">
        <f>R3*R4*Q9*1.8</f>
        <v>1759.4181818181817</v>
      </c>
      <c r="S32" s="57">
        <f>S3*S4*Q9*1.8</f>
        <v>1979.3454545454545</v>
      </c>
      <c r="T32" s="57">
        <f>T3*T4*Q9*1.8</f>
        <v>2434.9090909090905</v>
      </c>
    </row>
    <row r="33" spans="1:20">
      <c r="A33" s="48"/>
      <c r="B33" s="56" t="s">
        <v>3</v>
      </c>
      <c r="C33" s="56" t="s">
        <v>4</v>
      </c>
      <c r="D33" s="56" t="s">
        <v>5</v>
      </c>
      <c r="E33" s="56" t="s">
        <v>6</v>
      </c>
      <c r="F33" s="56" t="s">
        <v>7</v>
      </c>
      <c r="G33" s="56" t="s">
        <v>8</v>
      </c>
      <c r="H33" s="56" t="s">
        <v>9</v>
      </c>
      <c r="I33" s="56" t="s">
        <v>10</v>
      </c>
      <c r="J33" s="56" t="s">
        <v>96</v>
      </c>
      <c r="K33" s="56" t="s">
        <v>12</v>
      </c>
      <c r="L33" s="56" t="s">
        <v>13</v>
      </c>
      <c r="M33" s="56" t="s">
        <v>14</v>
      </c>
      <c r="N33" s="58" t="s">
        <v>125</v>
      </c>
      <c r="P33" s="57"/>
      <c r="Q33" s="57">
        <f>Q31+Q32</f>
        <v>25136.436363636363</v>
      </c>
      <c r="R33" s="57">
        <f>R31+R32</f>
        <v>20159.418181818182</v>
      </c>
      <c r="S33" s="57">
        <f>S31+S32</f>
        <v>39819.345454545452</v>
      </c>
      <c r="T33" s="57">
        <f>T31+T32</f>
        <v>33394.909090909088</v>
      </c>
    </row>
    <row r="34" spans="1:20">
      <c r="A34" s="48" t="s">
        <v>98</v>
      </c>
      <c r="B34" s="56">
        <f t="shared" ref="B34:M34" si="13">(B27*$S$13)/1000</f>
        <v>216.72</v>
      </c>
      <c r="C34" s="56">
        <f t="shared" si="13"/>
        <v>192.96</v>
      </c>
      <c r="D34" s="56">
        <f t="shared" si="13"/>
        <v>212.58</v>
      </c>
      <c r="E34" s="56">
        <f t="shared" si="13"/>
        <v>213.12</v>
      </c>
      <c r="F34" s="56">
        <f t="shared" si="13"/>
        <v>202.68</v>
      </c>
      <c r="G34" s="56">
        <f t="shared" si="13"/>
        <v>200.16</v>
      </c>
      <c r="H34" s="56">
        <f t="shared" si="13"/>
        <v>231.66</v>
      </c>
      <c r="I34" s="56">
        <f t="shared" si="13"/>
        <v>194.58</v>
      </c>
      <c r="J34" s="56">
        <f t="shared" si="13"/>
        <v>197.46</v>
      </c>
      <c r="K34" s="56">
        <f t="shared" si="13"/>
        <v>209.88</v>
      </c>
      <c r="L34" s="56">
        <f t="shared" si="13"/>
        <v>218.52</v>
      </c>
      <c r="M34" s="3">
        <f t="shared" si="13"/>
        <v>205.86592440000001</v>
      </c>
      <c r="N34" s="64">
        <f>SUM(B34:M34)</f>
        <v>2496.1859244000002</v>
      </c>
      <c r="P34" s="11"/>
    </row>
    <row r="35" spans="1:20">
      <c r="A35" s="48" t="s">
        <v>99</v>
      </c>
      <c r="B35" s="56">
        <f>(B28*$S14)/1000</f>
        <v>337.12</v>
      </c>
      <c r="C35" s="56">
        <f t="shared" ref="C35:M35" si="14">(C28*$S$14)/1000</f>
        <v>300.16000000000003</v>
      </c>
      <c r="D35" s="56">
        <f t="shared" si="14"/>
        <v>330.68</v>
      </c>
      <c r="E35" s="56">
        <f t="shared" si="14"/>
        <v>331.52</v>
      </c>
      <c r="F35" s="56">
        <f t="shared" si="14"/>
        <v>315.27999999999997</v>
      </c>
      <c r="G35" s="56">
        <f t="shared" si="14"/>
        <v>311.36</v>
      </c>
      <c r="H35" s="56">
        <f t="shared" si="14"/>
        <v>360.36</v>
      </c>
      <c r="I35" s="56">
        <f t="shared" si="14"/>
        <v>302.68</v>
      </c>
      <c r="J35" s="56">
        <f t="shared" si="14"/>
        <v>307.16000000000003</v>
      </c>
      <c r="K35" s="56">
        <f t="shared" si="14"/>
        <v>326.48</v>
      </c>
      <c r="L35" s="56">
        <f t="shared" si="14"/>
        <v>339.92</v>
      </c>
      <c r="M35" s="3">
        <f t="shared" si="14"/>
        <v>320.23188240000002</v>
      </c>
      <c r="N35" s="64">
        <f t="shared" ref="N35:N37" si="15">SUM(B35:M35)</f>
        <v>3882.9518823999997</v>
      </c>
      <c r="P35" s="11"/>
    </row>
    <row r="36" spans="1:20">
      <c r="A36" s="48" t="s">
        <v>102</v>
      </c>
      <c r="B36" s="56">
        <f>(B29*$S15)/1000</f>
        <v>136.048</v>
      </c>
      <c r="C36" s="56">
        <f t="shared" ref="C36:M36" si="16">(C29*$S15)/1000</f>
        <v>139.91999999999999</v>
      </c>
      <c r="D36" s="56">
        <f t="shared" si="16"/>
        <v>131.648</v>
      </c>
      <c r="E36" s="56">
        <f t="shared" si="16"/>
        <v>127.776</v>
      </c>
      <c r="F36" s="56">
        <f t="shared" si="16"/>
        <v>121.08799999999999</v>
      </c>
      <c r="G36" s="56">
        <f t="shared" si="16"/>
        <v>113.872</v>
      </c>
      <c r="H36" s="56">
        <f t="shared" si="16"/>
        <v>86.063999999999993</v>
      </c>
      <c r="I36" s="56">
        <f t="shared" si="16"/>
        <v>163.68</v>
      </c>
      <c r="J36" s="56">
        <f t="shared" si="16"/>
        <v>162.096</v>
      </c>
      <c r="K36" s="56">
        <f t="shared" si="16"/>
        <v>143.96799999999999</v>
      </c>
      <c r="L36" s="56">
        <f t="shared" si="16"/>
        <v>111.056</v>
      </c>
      <c r="M36" s="3">
        <f t="shared" si="16"/>
        <v>126.43915424000001</v>
      </c>
      <c r="N36" s="64">
        <f t="shared" si="15"/>
        <v>1563.65515424</v>
      </c>
      <c r="P36" s="11"/>
    </row>
    <row r="37" spans="1:20">
      <c r="A37" s="48" t="s">
        <v>103</v>
      </c>
      <c r="B37" s="56">
        <f>(B30*$S16)/1000</f>
        <v>129.864</v>
      </c>
      <c r="C37" s="56">
        <f t="shared" ref="C37:M37" si="17">(C30*$S16)/1000</f>
        <v>133.56</v>
      </c>
      <c r="D37" s="56">
        <f t="shared" si="17"/>
        <v>125.664</v>
      </c>
      <c r="E37" s="56">
        <f t="shared" si="17"/>
        <v>121.968</v>
      </c>
      <c r="F37" s="56">
        <f t="shared" si="17"/>
        <v>115.584</v>
      </c>
      <c r="G37" s="56">
        <f t="shared" si="17"/>
        <v>108.696</v>
      </c>
      <c r="H37" s="56">
        <f t="shared" si="17"/>
        <v>82.152000000000001</v>
      </c>
      <c r="I37" s="56">
        <f t="shared" si="17"/>
        <v>156.24</v>
      </c>
      <c r="J37" s="56">
        <f t="shared" si="17"/>
        <v>154.72800000000001</v>
      </c>
      <c r="K37" s="56">
        <f t="shared" si="17"/>
        <v>137.42400000000001</v>
      </c>
      <c r="L37" s="56">
        <f t="shared" si="17"/>
        <v>106.008</v>
      </c>
      <c r="M37" s="3">
        <f t="shared" si="17"/>
        <v>120.69255632000001</v>
      </c>
      <c r="N37" s="64">
        <f t="shared" si="15"/>
        <v>1492.5805563200001</v>
      </c>
      <c r="P37" s="11"/>
    </row>
    <row r="38" spans="1:20">
      <c r="A38" s="48" t="s">
        <v>125</v>
      </c>
      <c r="B38" s="56">
        <f>SUM(B34:B37)</f>
        <v>819.75200000000007</v>
      </c>
      <c r="C38" s="56">
        <f t="shared" ref="C38:M38" si="18">SUM(C34:C37)</f>
        <v>766.59999999999991</v>
      </c>
      <c r="D38" s="56">
        <f t="shared" si="18"/>
        <v>800.572</v>
      </c>
      <c r="E38" s="56">
        <f t="shared" si="18"/>
        <v>794.3839999999999</v>
      </c>
      <c r="F38" s="56">
        <f t="shared" si="18"/>
        <v>754.63200000000006</v>
      </c>
      <c r="G38" s="56">
        <f t="shared" si="18"/>
        <v>734.08799999999997</v>
      </c>
      <c r="H38" s="56">
        <f t="shared" si="18"/>
        <v>760.23599999999999</v>
      </c>
      <c r="I38" s="56">
        <f t="shared" si="18"/>
        <v>817.18000000000006</v>
      </c>
      <c r="J38" s="56">
        <f t="shared" si="18"/>
        <v>821.44399999999996</v>
      </c>
      <c r="K38" s="56">
        <f t="shared" si="18"/>
        <v>817.75199999999995</v>
      </c>
      <c r="L38" s="56">
        <f t="shared" si="18"/>
        <v>775.50400000000013</v>
      </c>
      <c r="M38" s="3">
        <f t="shared" si="18"/>
        <v>773.22951736000005</v>
      </c>
      <c r="N38" s="64">
        <f>SUM(B38:M38)</f>
        <v>9435.3735173600016</v>
      </c>
      <c r="P38" s="11"/>
    </row>
    <row r="39" spans="1:20">
      <c r="A39" s="68"/>
      <c r="P39" s="11"/>
    </row>
    <row r="40" spans="1:20">
      <c r="A40" s="166" t="s">
        <v>171</v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8"/>
      <c r="P40" s="11"/>
    </row>
    <row r="41" spans="1:20">
      <c r="A41" s="1"/>
      <c r="B41" s="1" t="s">
        <v>3</v>
      </c>
      <c r="C41" s="1" t="s">
        <v>4</v>
      </c>
      <c r="D41" s="1" t="s">
        <v>5</v>
      </c>
      <c r="E41" s="1" t="s">
        <v>6</v>
      </c>
      <c r="F41" s="1" t="s">
        <v>7</v>
      </c>
      <c r="G41" s="1" t="s">
        <v>8</v>
      </c>
      <c r="H41" s="1" t="s">
        <v>9</v>
      </c>
      <c r="I41" s="1" t="s">
        <v>10</v>
      </c>
      <c r="J41" s="1" t="s">
        <v>96</v>
      </c>
      <c r="K41" s="1" t="s">
        <v>12</v>
      </c>
      <c r="L41" s="1" t="s">
        <v>13</v>
      </c>
      <c r="M41" s="1" t="s">
        <v>14</v>
      </c>
      <c r="N41" s="63" t="s">
        <v>173</v>
      </c>
      <c r="P41" s="11"/>
    </row>
    <row r="42" spans="1:20">
      <c r="A42" s="48" t="s">
        <v>98</v>
      </c>
      <c r="B42" s="1">
        <f>C56*0.1</f>
        <v>2120</v>
      </c>
      <c r="C42" s="1">
        <f t="shared" ref="C42:L42" si="19">D56*0.1</f>
        <v>2360</v>
      </c>
      <c r="D42" s="1">
        <f t="shared" si="19"/>
        <v>2380</v>
      </c>
      <c r="E42" s="1">
        <f t="shared" si="19"/>
        <v>2260</v>
      </c>
      <c r="F42" s="1">
        <f t="shared" si="19"/>
        <v>2180</v>
      </c>
      <c r="G42" s="1">
        <f t="shared" si="19"/>
        <v>2620</v>
      </c>
      <c r="H42" s="1">
        <f t="shared" si="19"/>
        <v>2160</v>
      </c>
      <c r="I42" s="1">
        <f t="shared" si="19"/>
        <v>2180</v>
      </c>
      <c r="J42" s="1">
        <f t="shared" si="19"/>
        <v>2320</v>
      </c>
      <c r="K42" s="1">
        <f t="shared" si="19"/>
        <v>2440</v>
      </c>
      <c r="L42" s="1">
        <f t="shared" si="19"/>
        <v>2320</v>
      </c>
      <c r="M42" s="1">
        <f>ROUNDUP(N56*P$28,0)</f>
        <v>2489</v>
      </c>
      <c r="N42" s="65">
        <f>$Q$53*Q13*$P$28</f>
        <v>2162.9915999999998</v>
      </c>
      <c r="P42" s="11"/>
    </row>
    <row r="43" spans="1:20">
      <c r="A43" s="48" t="s">
        <v>99</v>
      </c>
      <c r="B43" s="1">
        <f>C57*0.1</f>
        <v>2968</v>
      </c>
      <c r="C43" s="1">
        <f t="shared" ref="C43:L43" si="20">D57*0.1</f>
        <v>3304</v>
      </c>
      <c r="D43" s="1">
        <f t="shared" si="20"/>
        <v>3332</v>
      </c>
      <c r="E43" s="1">
        <f t="shared" si="20"/>
        <v>3164</v>
      </c>
      <c r="F43" s="1">
        <f t="shared" si="20"/>
        <v>3052</v>
      </c>
      <c r="G43" s="1">
        <f t="shared" si="20"/>
        <v>3668</v>
      </c>
      <c r="H43" s="1">
        <f t="shared" si="20"/>
        <v>3024</v>
      </c>
      <c r="I43" s="1">
        <f t="shared" si="20"/>
        <v>3052</v>
      </c>
      <c r="J43" s="1">
        <f t="shared" si="20"/>
        <v>3248</v>
      </c>
      <c r="K43" s="1">
        <f t="shared" si="20"/>
        <v>3416</v>
      </c>
      <c r="L43" s="1">
        <f t="shared" si="20"/>
        <v>3248</v>
      </c>
      <c r="M43" s="56">
        <f t="shared" ref="M43:M45" si="21">ROUNDUP(N57*P$28,0)</f>
        <v>3485</v>
      </c>
      <c r="N43" s="65">
        <f t="shared" ref="N43" si="22">$Q$53*Q14*$P$28</f>
        <v>3028.18824</v>
      </c>
      <c r="P43" s="11"/>
    </row>
    <row r="44" spans="1:20">
      <c r="A44" s="48" t="s">
        <v>102</v>
      </c>
      <c r="B44" s="1">
        <f>C58*0.1</f>
        <v>1760</v>
      </c>
      <c r="C44" s="1">
        <f t="shared" ref="C44:K44" si="23">D58*0.1</f>
        <v>1650</v>
      </c>
      <c r="D44" s="1">
        <f t="shared" si="23"/>
        <v>1606</v>
      </c>
      <c r="E44" s="1">
        <f t="shared" si="23"/>
        <v>1518</v>
      </c>
      <c r="F44" s="1">
        <f t="shared" si="23"/>
        <v>1474</v>
      </c>
      <c r="G44" s="1">
        <f t="shared" si="23"/>
        <v>968</v>
      </c>
      <c r="H44" s="1">
        <f t="shared" si="23"/>
        <v>2046</v>
      </c>
      <c r="I44" s="1">
        <f t="shared" si="23"/>
        <v>2046</v>
      </c>
      <c r="J44" s="1">
        <f t="shared" si="23"/>
        <v>1848</v>
      </c>
      <c r="K44" s="1">
        <f t="shared" si="23"/>
        <v>1364</v>
      </c>
      <c r="L44" s="1">
        <f>M58*0.1</f>
        <v>1606</v>
      </c>
      <c r="M44" s="56">
        <f t="shared" si="21"/>
        <v>1728</v>
      </c>
      <c r="N44" s="65">
        <f>$Q$54*Q15*$P$28</f>
        <v>1472.89428</v>
      </c>
      <c r="P44" s="11"/>
    </row>
    <row r="45" spans="1:20">
      <c r="A45" s="48" t="s">
        <v>103</v>
      </c>
      <c r="B45" s="1">
        <f>C59*0.1</f>
        <v>1920</v>
      </c>
      <c r="C45" s="1">
        <f t="shared" ref="C45:L45" si="24">D59*0.1</f>
        <v>1800</v>
      </c>
      <c r="D45" s="1">
        <f t="shared" si="24"/>
        <v>1752</v>
      </c>
      <c r="E45" s="1">
        <f t="shared" si="24"/>
        <v>1656</v>
      </c>
      <c r="F45" s="1">
        <f t="shared" si="24"/>
        <v>1608</v>
      </c>
      <c r="G45" s="1">
        <f t="shared" si="24"/>
        <v>1056</v>
      </c>
      <c r="H45" s="1">
        <f t="shared" si="24"/>
        <v>2232</v>
      </c>
      <c r="I45" s="1">
        <f t="shared" si="24"/>
        <v>2232</v>
      </c>
      <c r="J45" s="1">
        <f t="shared" si="24"/>
        <v>2016</v>
      </c>
      <c r="K45" s="1">
        <f t="shared" si="24"/>
        <v>1488</v>
      </c>
      <c r="L45" s="1">
        <f t="shared" si="24"/>
        <v>1752</v>
      </c>
      <c r="M45" s="56">
        <f t="shared" si="21"/>
        <v>1885</v>
      </c>
      <c r="N45" s="65">
        <f>$Q$54*Q16*$P$28</f>
        <v>1606.79376</v>
      </c>
    </row>
    <row r="46" spans="1:20">
      <c r="A46" s="4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20">
      <c r="A47" s="157" t="s">
        <v>172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</row>
    <row r="48" spans="1:20">
      <c r="A48" s="48"/>
      <c r="B48" s="56" t="s">
        <v>3</v>
      </c>
      <c r="C48" s="56" t="s">
        <v>4</v>
      </c>
      <c r="D48" s="56" t="s">
        <v>5</v>
      </c>
      <c r="E48" s="56" t="s">
        <v>6</v>
      </c>
      <c r="F48" s="56" t="s">
        <v>7</v>
      </c>
      <c r="G48" s="56" t="s">
        <v>8</v>
      </c>
      <c r="H48" s="56" t="s">
        <v>9</v>
      </c>
      <c r="I48" s="56" t="s">
        <v>10</v>
      </c>
      <c r="J48" s="56" t="s">
        <v>96</v>
      </c>
      <c r="K48" s="56" t="s">
        <v>12</v>
      </c>
      <c r="L48" s="56" t="s">
        <v>13</v>
      </c>
      <c r="M48" s="56" t="s">
        <v>14</v>
      </c>
    </row>
    <row r="49" spans="1:19">
      <c r="A49" s="48" t="s">
        <v>98</v>
      </c>
      <c r="B49" s="56">
        <f>A27+B27-$Q13*B16</f>
        <v>2120</v>
      </c>
      <c r="C49" s="56">
        <f>B49+C27-C$16*$Q13</f>
        <v>2360</v>
      </c>
      <c r="D49" s="56">
        <f>C49+D27-D16*$Q13</f>
        <v>2380</v>
      </c>
      <c r="E49" s="56">
        <f>D49+E27-E16*$Q13</f>
        <v>2260</v>
      </c>
      <c r="F49" s="56">
        <f>E49+F27-F16*$Q13</f>
        <v>2180</v>
      </c>
      <c r="G49" s="56">
        <f>F49+G27-G16*$Q13</f>
        <v>2620</v>
      </c>
      <c r="H49" s="56">
        <f t="shared" ref="H49:K49" si="25">G49+H27-H16*$Q13</f>
        <v>2160</v>
      </c>
      <c r="I49" s="56">
        <f t="shared" si="25"/>
        <v>2180</v>
      </c>
      <c r="J49" s="56">
        <f t="shared" si="25"/>
        <v>2320</v>
      </c>
      <c r="K49" s="56">
        <f t="shared" si="25"/>
        <v>2440</v>
      </c>
      <c r="L49" s="56">
        <f>K49+L27-L16*$Q13</f>
        <v>2320</v>
      </c>
      <c r="M49" s="3">
        <f>ROUNDUP(L49+M27-M$16*Q13,0)</f>
        <v>1994</v>
      </c>
    </row>
    <row r="50" spans="1:19">
      <c r="A50" s="48" t="s">
        <v>99</v>
      </c>
      <c r="B50" s="71">
        <f>A28+B28-$Q14*B16</f>
        <v>2968</v>
      </c>
      <c r="C50" s="56">
        <f>B50+C28-C$16*$Q14</f>
        <v>3304</v>
      </c>
      <c r="D50" s="56">
        <f t="shared" ref="D50:L50" si="26">C50+D28-D$16*$Q14</f>
        <v>3332</v>
      </c>
      <c r="E50" s="56">
        <f t="shared" si="26"/>
        <v>3164</v>
      </c>
      <c r="F50" s="56">
        <f t="shared" si="26"/>
        <v>3052</v>
      </c>
      <c r="G50" s="56">
        <f t="shared" si="26"/>
        <v>3668</v>
      </c>
      <c r="H50" s="56">
        <f t="shared" si="26"/>
        <v>3024</v>
      </c>
      <c r="I50" s="56">
        <f t="shared" si="26"/>
        <v>3052</v>
      </c>
      <c r="J50" s="56">
        <f t="shared" si="26"/>
        <v>3248</v>
      </c>
      <c r="K50" s="56">
        <f t="shared" si="26"/>
        <v>3416</v>
      </c>
      <c r="L50" s="56">
        <f t="shared" si="26"/>
        <v>3248</v>
      </c>
      <c r="M50" s="3">
        <f>ROUNDUP(L50+M28-M$16*Q14,0)</f>
        <v>2792</v>
      </c>
    </row>
    <row r="51" spans="1:19">
      <c r="A51" s="48" t="s">
        <v>102</v>
      </c>
      <c r="B51" s="71">
        <f>A29+B29-$Q15*B20</f>
        <v>1760</v>
      </c>
      <c r="C51" s="56">
        <f>B51+C29-C$20*$Q15</f>
        <v>1650</v>
      </c>
      <c r="D51" s="56">
        <f>C51+D29-D20*$Q15</f>
        <v>1606</v>
      </c>
      <c r="E51" s="56">
        <f>D51+E29-E20*$Q15</f>
        <v>1518</v>
      </c>
      <c r="F51" s="56">
        <f t="shared" ref="F51:L51" si="27">E51+F29-F20*$Q15</f>
        <v>1474</v>
      </c>
      <c r="G51" s="56">
        <f t="shared" si="27"/>
        <v>968</v>
      </c>
      <c r="H51" s="56">
        <f t="shared" si="27"/>
        <v>2046</v>
      </c>
      <c r="I51" s="56">
        <f t="shared" si="27"/>
        <v>2046</v>
      </c>
      <c r="J51" s="56">
        <f t="shared" si="27"/>
        <v>1848</v>
      </c>
      <c r="K51" s="56">
        <f t="shared" si="27"/>
        <v>1364</v>
      </c>
      <c r="L51" s="56">
        <f t="shared" si="27"/>
        <v>1606</v>
      </c>
      <c r="M51" s="3">
        <f>ROUNDUP(L51+M29-M$20*Q15,0)</f>
        <v>1351</v>
      </c>
    </row>
    <row r="52" spans="1:19">
      <c r="A52" s="48" t="s">
        <v>103</v>
      </c>
      <c r="B52" s="71">
        <f>A30+B30-Q16*B20</f>
        <v>1920</v>
      </c>
      <c r="C52" s="56">
        <f>B52+C30-C$20*$Q16</f>
        <v>1800</v>
      </c>
      <c r="D52" s="56">
        <f t="shared" ref="D52:L52" si="28">C52+D30-D$20*$Q16</f>
        <v>1752</v>
      </c>
      <c r="E52" s="56">
        <f t="shared" si="28"/>
        <v>1656</v>
      </c>
      <c r="F52" s="56">
        <f t="shared" si="28"/>
        <v>1608</v>
      </c>
      <c r="G52" s="56">
        <f t="shared" si="28"/>
        <v>1056</v>
      </c>
      <c r="H52" s="56">
        <f t="shared" si="28"/>
        <v>2232</v>
      </c>
      <c r="I52" s="56">
        <f t="shared" si="28"/>
        <v>2232</v>
      </c>
      <c r="J52" s="56">
        <f t="shared" si="28"/>
        <v>2016</v>
      </c>
      <c r="K52" s="56">
        <f t="shared" si="28"/>
        <v>1488</v>
      </c>
      <c r="L52" s="56">
        <f t="shared" si="28"/>
        <v>1752</v>
      </c>
      <c r="M52" s="3">
        <f>ROUNDUP(L52+M30-M$20*Q16,0)</f>
        <v>1474</v>
      </c>
      <c r="P52" s="48" t="s">
        <v>112</v>
      </c>
      <c r="Q52" s="27" t="s">
        <v>174</v>
      </c>
    </row>
    <row r="53" spans="1:19">
      <c r="P53" s="1">
        <v>2061</v>
      </c>
      <c r="Q53" s="3">
        <f>2120.58*1.02</f>
        <v>2162.9915999999998</v>
      </c>
    </row>
    <row r="54" spans="1:19">
      <c r="A54" s="166" t="s">
        <v>115</v>
      </c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8"/>
      <c r="N54" s="11"/>
      <c r="P54" s="48">
        <v>670</v>
      </c>
      <c r="Q54" s="3">
        <f>656.37*1.02</f>
        <v>669.49739999999997</v>
      </c>
    </row>
    <row r="55" spans="1:19">
      <c r="A55" s="1"/>
      <c r="B55" s="1" t="s">
        <v>3</v>
      </c>
      <c r="C55" s="1" t="s">
        <v>4</v>
      </c>
      <c r="D55" s="1" t="s">
        <v>5</v>
      </c>
      <c r="E55" s="1" t="s">
        <v>6</v>
      </c>
      <c r="F55" s="1" t="s">
        <v>7</v>
      </c>
      <c r="G55" s="1" t="s">
        <v>8</v>
      </c>
      <c r="H55" s="1" t="s">
        <v>9</v>
      </c>
      <c r="I55" s="1" t="s">
        <v>10</v>
      </c>
      <c r="J55" s="1" t="s">
        <v>96</v>
      </c>
      <c r="K55" s="1" t="s">
        <v>12</v>
      </c>
      <c r="L55" s="1" t="s">
        <v>13</v>
      </c>
      <c r="M55" s="1" t="s">
        <v>14</v>
      </c>
      <c r="N55" s="63" t="s">
        <v>173</v>
      </c>
    </row>
    <row r="56" spans="1:19">
      <c r="A56" s="1" t="s">
        <v>98</v>
      </c>
      <c r="B56" s="1">
        <f>B16*$Q$13</f>
        <v>24400</v>
      </c>
      <c r="C56" s="71">
        <f t="shared" ref="C56:M56" si="29">C16*$Q$13</f>
        <v>21200</v>
      </c>
      <c r="D56" s="71">
        <f t="shared" si="29"/>
        <v>23600</v>
      </c>
      <c r="E56" s="71">
        <f t="shared" si="29"/>
        <v>23800</v>
      </c>
      <c r="F56" s="71">
        <f t="shared" si="29"/>
        <v>22600</v>
      </c>
      <c r="G56" s="71">
        <f t="shared" si="29"/>
        <v>21800</v>
      </c>
      <c r="H56" s="71">
        <f t="shared" si="29"/>
        <v>26200</v>
      </c>
      <c r="I56" s="71">
        <f t="shared" si="29"/>
        <v>21600</v>
      </c>
      <c r="J56" s="71">
        <f t="shared" si="29"/>
        <v>21800</v>
      </c>
      <c r="K56" s="71">
        <f t="shared" si="29"/>
        <v>23200</v>
      </c>
      <c r="L56" s="71">
        <f t="shared" si="29"/>
        <v>24400</v>
      </c>
      <c r="M56" s="71">
        <f t="shared" si="29"/>
        <v>23200</v>
      </c>
      <c r="N56" s="64">
        <f>ROUNDUP(Hoja4!B56*1.02,0)</f>
        <v>24888</v>
      </c>
    </row>
    <row r="57" spans="1:19">
      <c r="A57" s="1" t="s">
        <v>99</v>
      </c>
      <c r="B57" s="1">
        <f>B16*$Q$14</f>
        <v>34160</v>
      </c>
      <c r="C57" s="71">
        <f t="shared" ref="C57:M57" si="30">C16*$Q$14</f>
        <v>29680</v>
      </c>
      <c r="D57" s="71">
        <f t="shared" si="30"/>
        <v>33040</v>
      </c>
      <c r="E57" s="71">
        <f t="shared" si="30"/>
        <v>33320</v>
      </c>
      <c r="F57" s="71">
        <f t="shared" si="30"/>
        <v>31640</v>
      </c>
      <c r="G57" s="71">
        <f t="shared" si="30"/>
        <v>30520</v>
      </c>
      <c r="H57" s="71">
        <f t="shared" si="30"/>
        <v>36680</v>
      </c>
      <c r="I57" s="71">
        <f t="shared" si="30"/>
        <v>30240</v>
      </c>
      <c r="J57" s="71">
        <f t="shared" si="30"/>
        <v>30520</v>
      </c>
      <c r="K57" s="71">
        <f t="shared" si="30"/>
        <v>32480</v>
      </c>
      <c r="L57" s="71">
        <f t="shared" si="30"/>
        <v>34160</v>
      </c>
      <c r="M57" s="71">
        <f t="shared" si="30"/>
        <v>32480</v>
      </c>
      <c r="N57" s="64">
        <f>ROUNDUP(Hoja4!B57*1.02,0)</f>
        <v>34844</v>
      </c>
      <c r="O57" s="114" t="s">
        <v>116</v>
      </c>
      <c r="P57" s="114"/>
      <c r="Q57" s="114"/>
      <c r="R57" s="114"/>
      <c r="S57" s="114"/>
    </row>
    <row r="58" spans="1:19">
      <c r="A58" s="1" t="s">
        <v>102</v>
      </c>
      <c r="B58" s="1">
        <f>B20*$Q$15</f>
        <v>16940</v>
      </c>
      <c r="C58" s="71">
        <f t="shared" ref="C58:M58" si="31">C20*$Q$15</f>
        <v>17600</v>
      </c>
      <c r="D58" s="71">
        <f t="shared" si="31"/>
        <v>16500</v>
      </c>
      <c r="E58" s="71">
        <f t="shared" si="31"/>
        <v>16060</v>
      </c>
      <c r="F58" s="71">
        <f t="shared" si="31"/>
        <v>15180</v>
      </c>
      <c r="G58" s="71">
        <f t="shared" si="31"/>
        <v>14740</v>
      </c>
      <c r="H58" s="71">
        <f t="shared" si="31"/>
        <v>9680</v>
      </c>
      <c r="I58" s="71">
        <f t="shared" si="31"/>
        <v>20460</v>
      </c>
      <c r="J58" s="71">
        <f t="shared" si="31"/>
        <v>20460</v>
      </c>
      <c r="K58" s="71">
        <f t="shared" si="31"/>
        <v>18480</v>
      </c>
      <c r="L58" s="71">
        <f t="shared" si="31"/>
        <v>13640</v>
      </c>
      <c r="M58" s="71">
        <f t="shared" si="31"/>
        <v>16060</v>
      </c>
      <c r="N58" s="64">
        <f>ROUNDUP(Hoja4!B58*1.02,0)</f>
        <v>17279</v>
      </c>
      <c r="O58" s="1"/>
      <c r="P58" s="3" t="s">
        <v>117</v>
      </c>
      <c r="Q58" s="1" t="s">
        <v>118</v>
      </c>
      <c r="R58" s="1" t="s">
        <v>119</v>
      </c>
      <c r="S58" s="1" t="s">
        <v>120</v>
      </c>
    </row>
    <row r="59" spans="1:19">
      <c r="A59" s="1" t="s">
        <v>103</v>
      </c>
      <c r="B59" s="71">
        <f>B20*$Q$16</f>
        <v>18480</v>
      </c>
      <c r="C59" s="71">
        <f t="shared" ref="C59:M59" si="32">C20*$Q$16</f>
        <v>19200</v>
      </c>
      <c r="D59" s="71">
        <f t="shared" si="32"/>
        <v>18000</v>
      </c>
      <c r="E59" s="71">
        <f t="shared" si="32"/>
        <v>17520</v>
      </c>
      <c r="F59" s="71">
        <f t="shared" si="32"/>
        <v>16560</v>
      </c>
      <c r="G59" s="71">
        <f t="shared" si="32"/>
        <v>16080</v>
      </c>
      <c r="H59" s="71">
        <f t="shared" si="32"/>
        <v>10560</v>
      </c>
      <c r="I59" s="71">
        <f t="shared" si="32"/>
        <v>22320</v>
      </c>
      <c r="J59" s="71">
        <f t="shared" si="32"/>
        <v>22320</v>
      </c>
      <c r="K59" s="71">
        <f t="shared" si="32"/>
        <v>20160</v>
      </c>
      <c r="L59" s="71">
        <f t="shared" si="32"/>
        <v>14880</v>
      </c>
      <c r="M59" s="71">
        <f t="shared" si="32"/>
        <v>17520</v>
      </c>
      <c r="N59" s="64">
        <f>ROUNDUP(Hoja4!B59*1.02,0)</f>
        <v>18850</v>
      </c>
      <c r="O59" s="52" t="s">
        <v>121</v>
      </c>
      <c r="P59" s="1">
        <f>$Q$13*$Q19*$S$13+$Q$14*$Q19*$S$14</f>
        <v>23000</v>
      </c>
      <c r="Q59" s="1">
        <f>Q20*Q13*S13+Q20*Q14*S14</f>
        <v>18400</v>
      </c>
      <c r="R59" s="1">
        <f>Q21*Q15*S15+Q21*Q16*S16</f>
        <v>37840</v>
      </c>
      <c r="S59" s="1">
        <f>Q22*Q15*S15+Q22*Q16*S16</f>
        <v>30960</v>
      </c>
    </row>
    <row r="60" spans="1:19">
      <c r="N60" s="55"/>
      <c r="O60" s="52" t="s">
        <v>122</v>
      </c>
      <c r="P60" s="1">
        <f>Q9*Q3*Q4</f>
        <v>1186.9090909090908</v>
      </c>
      <c r="Q60" s="1">
        <f>Q9*R3*R4</f>
        <v>977.45454545454538</v>
      </c>
      <c r="R60" s="1">
        <f>S3*S4*Q9</f>
        <v>1099.6363636363635</v>
      </c>
      <c r="S60" s="1">
        <f>T3*T4*Q9</f>
        <v>1352.7272727272725</v>
      </c>
    </row>
    <row r="61" spans="1:19">
      <c r="O61" s="48" t="s">
        <v>125</v>
      </c>
      <c r="P61" s="3">
        <f>P59+P60</f>
        <v>24186.909090909092</v>
      </c>
      <c r="Q61" s="3">
        <f>Q59+Q60</f>
        <v>19377.454545454544</v>
      </c>
      <c r="R61" s="3">
        <f>R59+R60</f>
        <v>38939.63636363636</v>
      </c>
      <c r="S61" s="3">
        <f>S59+S60</f>
        <v>32312.727272727272</v>
      </c>
    </row>
    <row r="62" spans="1:19">
      <c r="A62" s="157" t="s">
        <v>128</v>
      </c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O62" s="50" t="s">
        <v>126</v>
      </c>
      <c r="P62" s="51">
        <f>P59+P60*1.8</f>
        <v>25136.436363636363</v>
      </c>
      <c r="Q62" s="51">
        <f>Q59+Q60*1.8</f>
        <v>20159.418181818182</v>
      </c>
      <c r="R62" s="51">
        <f>R59+R60*1.8</f>
        <v>39819.345454545452</v>
      </c>
      <c r="S62" s="51">
        <f>S59+S60*1.8</f>
        <v>33394.909090909088</v>
      </c>
    </row>
    <row r="63" spans="1:19">
      <c r="A63" s="1"/>
      <c r="B63" s="1" t="s">
        <v>3</v>
      </c>
      <c r="C63" s="1" t="s">
        <v>4</v>
      </c>
      <c r="D63" s="1" t="s">
        <v>5</v>
      </c>
      <c r="E63" s="1" t="s">
        <v>6</v>
      </c>
      <c r="F63" s="1" t="s">
        <v>7</v>
      </c>
      <c r="G63" s="1" t="s">
        <v>8</v>
      </c>
      <c r="H63" s="1" t="s">
        <v>9</v>
      </c>
      <c r="I63" s="1" t="s">
        <v>10</v>
      </c>
      <c r="J63" s="1" t="s">
        <v>96</v>
      </c>
      <c r="K63" s="1" t="s">
        <v>12</v>
      </c>
      <c r="L63" s="1" t="s">
        <v>13</v>
      </c>
      <c r="M63" s="1" t="s">
        <v>14</v>
      </c>
    </row>
    <row r="64" spans="1:19">
      <c r="A64" s="1"/>
      <c r="B64" s="156" t="s">
        <v>114</v>
      </c>
      <c r="C64" s="156"/>
      <c r="D64" s="1"/>
      <c r="E64" s="1"/>
      <c r="F64" s="1"/>
      <c r="G64" s="1"/>
      <c r="H64" s="1"/>
      <c r="I64" s="1"/>
      <c r="J64" s="1"/>
      <c r="K64" s="1"/>
      <c r="L64" s="1"/>
      <c r="M64" s="1"/>
      <c r="N64" s="11"/>
    </row>
    <row r="65" spans="1:16">
      <c r="A65" s="48" t="s">
        <v>15</v>
      </c>
      <c r="B65" s="3">
        <f>Hoja1!C28+Hoja1!D28*Hoja4!$P$25</f>
        <v>2443.7160000000003</v>
      </c>
      <c r="C65" s="3">
        <f>Hoja1!D28+Hoja1!E28*Hoja4!$P$25</f>
        <v>2544.6959999999999</v>
      </c>
      <c r="D65" s="3">
        <f>Hoja1!E28+Hoja1!F28*Hoja4!$P$25</f>
        <v>2580.0389999999998</v>
      </c>
      <c r="E65" s="3">
        <f>Hoja1!F28+Hoja1!G28*Hoja4!$P$25</f>
        <v>2761.8029999999999</v>
      </c>
      <c r="F65" s="3">
        <f>Hoja1!G28+Hoja1!H28*Hoja4!$P$25</f>
        <v>2725.9551000000001</v>
      </c>
      <c r="G65" s="3">
        <f>Hoja1!H28+Hoja1!I28*Hoja4!$P$25</f>
        <v>2568.4263000000001</v>
      </c>
      <c r="H65" s="3">
        <f>Hoja1!I28+Hoja1!J28*Hoja4!$P$25</f>
        <v>3283.1627399999998</v>
      </c>
      <c r="I65" s="3">
        <f>Hoja1!J28+Hoja1!K28*Hoja4!$P$25</f>
        <v>3183.3945000000003</v>
      </c>
      <c r="J65" s="3">
        <f>Hoja1!K28+Hoja1!L28*Hoja4!$P$25</f>
        <v>3221.2619999999997</v>
      </c>
      <c r="K65" s="3">
        <f>Hoja1!L28+Hoja1!M28*Hoja4!$P$25</f>
        <v>2792.0969999999998</v>
      </c>
      <c r="L65" s="3">
        <f>Hoja1!M28+Hoja1!N28*Hoja4!$P$25</f>
        <v>2738.3251499999997</v>
      </c>
      <c r="M65" s="3">
        <f>Hoja1!N28+P53*Hoja4!$P$25</f>
        <v>2364.9007499999998</v>
      </c>
      <c r="N65" s="5"/>
    </row>
    <row r="66" spans="1:16">
      <c r="A66" s="48" t="s">
        <v>16</v>
      </c>
      <c r="B66" s="3">
        <f>Hoja1!C29+Hoja1!D29*Hoja4!$P$25</f>
        <v>636.17399999999998</v>
      </c>
      <c r="C66" s="3">
        <f>Hoja1!D29+Hoja1!E29*Hoja4!$P$25</f>
        <v>817.93799999999999</v>
      </c>
      <c r="D66" s="3">
        <f>Hoja1!E29+Hoja1!F29*Hoja4!$P$25</f>
        <v>929.01600000000008</v>
      </c>
      <c r="E66" s="3">
        <f>Hoja1!F29+Hoja1!G29*Hoja4!$P$25</f>
        <v>745.23239999999998</v>
      </c>
      <c r="F66" s="3">
        <f>Hoja1!G29+Hoja1!H29*Hoja4!$P$25</f>
        <v>838.13400000000001</v>
      </c>
      <c r="G66" s="3">
        <f>Hoja1!H29+Hoja1!I29*Hoja4!$P$25</f>
        <v>817.93799999999999</v>
      </c>
      <c r="H66" s="3">
        <f>Hoja1!I29+Hoja1!J29*Hoja4!$P$25</f>
        <v>767.44799999999998</v>
      </c>
      <c r="I66" s="3">
        <f>Hoja1!J29+Hoja1!K29*Hoja4!$P$25</f>
        <v>1257.201</v>
      </c>
      <c r="J66" s="3">
        <f>Hoja1!K29+Hoja1!L29*Hoja4!$P$25</f>
        <v>1191.5640000000001</v>
      </c>
      <c r="K66" s="3">
        <f>Hoja1!L29+Hoja1!M29*Hoja4!$P$25</f>
        <v>1156.221</v>
      </c>
      <c r="L66" s="3">
        <f>Hoja1!M29+Hoja1!N29*Hoja4!$P$25</f>
        <v>737.154</v>
      </c>
      <c r="M66" s="3">
        <f>Hoja1!N29+P54*Hoja4!$P$25</f>
        <v>790.37</v>
      </c>
      <c r="N66" s="5"/>
    </row>
    <row r="67" spans="1:16">
      <c r="A67" s="4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48" t="s">
        <v>134</v>
      </c>
      <c r="P67" s="56"/>
    </row>
    <row r="68" spans="1:16">
      <c r="A68" s="166" t="s">
        <v>113</v>
      </c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5"/>
      <c r="O68" s="48" t="s">
        <v>15</v>
      </c>
      <c r="P68" s="56">
        <v>850</v>
      </c>
    </row>
    <row r="69" spans="1:16">
      <c r="A69" s="63" t="s">
        <v>14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1" t="s">
        <v>8</v>
      </c>
      <c r="H69" s="1" t="s">
        <v>9</v>
      </c>
      <c r="I69" s="1" t="s">
        <v>10</v>
      </c>
      <c r="J69" s="1" t="s">
        <v>96</v>
      </c>
      <c r="K69" s="1" t="s">
        <v>12</v>
      </c>
      <c r="L69" s="1" t="s">
        <v>13</v>
      </c>
      <c r="M69" s="1" t="s">
        <v>14</v>
      </c>
      <c r="N69" s="11"/>
      <c r="O69" s="59" t="s">
        <v>16</v>
      </c>
      <c r="P69" s="56">
        <v>1200</v>
      </c>
    </row>
    <row r="70" spans="1:16">
      <c r="A70" s="3">
        <f>Hoja1!C28*0.2</f>
        <v>403.92000000000007</v>
      </c>
      <c r="B70" s="3">
        <f>B16+A70-Hoja1!C28</f>
        <v>824.31999999999994</v>
      </c>
      <c r="C70" s="3">
        <f>C16+B70-Hoja1!D28</f>
        <v>823.73999999999978</v>
      </c>
      <c r="D70" s="3">
        <f>D16+C70-Hoja1!E28</f>
        <v>1063.1599999999999</v>
      </c>
      <c r="E70" s="3">
        <f>E16+D70-Hoja1!F28</f>
        <v>1145.8649999999998</v>
      </c>
      <c r="F70" s="3">
        <f>F16+E70-Hoja1!G28</f>
        <v>1083.3249999999998</v>
      </c>
      <c r="G70" s="3">
        <f>G16+F70-Hoja1!H28</f>
        <v>1246.2494999999997</v>
      </c>
      <c r="H70" s="3">
        <f>H16+G70-Hoja1!I28</f>
        <v>1109.4955</v>
      </c>
      <c r="I70" s="3">
        <f>I16+H70-Hoja1!J28</f>
        <v>637.45179999999982</v>
      </c>
      <c r="J70" s="3">
        <f>J16+I70-Hoja1!K28</f>
        <v>60.697799999999916</v>
      </c>
      <c r="K70" s="3">
        <f>K16+J70-Hoja1!L28</f>
        <v>58.157799999999952</v>
      </c>
      <c r="L70" s="3">
        <f>L16+K70-Hoja1!M28</f>
        <v>150.3728000000001</v>
      </c>
      <c r="M70" s="3">
        <f>M16+L70-Hoja1!N28</f>
        <v>517.67205000000013</v>
      </c>
      <c r="N70" s="5"/>
    </row>
    <row r="71" spans="1:16">
      <c r="A71" s="3">
        <f>Hoja1!C29*0.2</f>
        <v>100.98000000000002</v>
      </c>
      <c r="B71" s="3">
        <f>B20+A71-Hoja1!C29</f>
        <v>366.08</v>
      </c>
      <c r="C71" s="3">
        <f>C20+B71-Hoja1!D29</f>
        <v>509.70999999999992</v>
      </c>
      <c r="D71" s="3">
        <f>D20+C71-Hoja1!E29</f>
        <v>451.87</v>
      </c>
      <c r="E71" s="3">
        <f>E20+D71-Hoja1!F29</f>
        <v>575.9899999999999</v>
      </c>
      <c r="F71" s="3">
        <f>F20+E71-Hoja1!G29</f>
        <v>569.22799999999972</v>
      </c>
      <c r="G71" s="3">
        <f>G20+F71-Hoja1!H29</f>
        <v>532.3679999999996</v>
      </c>
      <c r="H71" s="3">
        <f>H20+G71-Hoja1!I29</f>
        <v>416.97799999999961</v>
      </c>
      <c r="I71" s="3">
        <f>I20+H71-Hoja1!J29</f>
        <v>286.68799999999965</v>
      </c>
      <c r="J71" s="3">
        <f>J20+I71-Hoja1!K29</f>
        <v>232.13299999999958</v>
      </c>
      <c r="K71" s="3">
        <f>K20+J71-Hoja1!L29</f>
        <v>37.087999999999511</v>
      </c>
      <c r="L71" s="3">
        <f>L20+K71-Hoja1!M29</f>
        <v>51.207999999999515</v>
      </c>
      <c r="M71" s="3">
        <f>M20+L71-Hoja1!N29</f>
        <v>124.83799999999951</v>
      </c>
      <c r="N71" s="11"/>
    </row>
    <row r="72" spans="1:16">
      <c r="O72" s="48" t="s">
        <v>137</v>
      </c>
    </row>
    <row r="73" spans="1:16">
      <c r="B73" s="172" t="s">
        <v>217</v>
      </c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O73" s="56">
        <v>0.9</v>
      </c>
      <c r="P73">
        <v>0.99099999999999999</v>
      </c>
    </row>
    <row r="74" spans="1:16">
      <c r="B74" s="71" t="s">
        <v>3</v>
      </c>
      <c r="C74" s="71" t="s">
        <v>4</v>
      </c>
      <c r="D74" s="71" t="s">
        <v>5</v>
      </c>
      <c r="E74" s="71" t="s">
        <v>6</v>
      </c>
      <c r="F74" s="71" t="s">
        <v>7</v>
      </c>
      <c r="G74" s="71" t="s">
        <v>8</v>
      </c>
      <c r="H74" s="71" t="s">
        <v>9</v>
      </c>
      <c r="I74" s="71" t="s">
        <v>10</v>
      </c>
      <c r="J74" s="71" t="s">
        <v>96</v>
      </c>
      <c r="K74" s="71" t="s">
        <v>12</v>
      </c>
      <c r="L74" s="71" t="s">
        <v>13</v>
      </c>
      <c r="M74" s="71" t="s">
        <v>14</v>
      </c>
      <c r="O74" s="48" t="s">
        <v>138</v>
      </c>
    </row>
    <row r="75" spans="1:16">
      <c r="B75" s="3">
        <f>B65-A70</f>
        <v>2039.7960000000003</v>
      </c>
      <c r="C75" s="3">
        <f t="shared" ref="C75:F76" si="33">C65-B70</f>
        <v>1720.376</v>
      </c>
      <c r="D75" s="3">
        <f t="shared" si="33"/>
        <v>1756.299</v>
      </c>
      <c r="E75" s="3">
        <f t="shared" si="33"/>
        <v>1698.643</v>
      </c>
      <c r="F75" s="3">
        <f t="shared" si="33"/>
        <v>1580.0901000000003</v>
      </c>
      <c r="G75" s="3">
        <f t="shared" ref="G75:M75" si="34">G65-F70</f>
        <v>1485.1013000000003</v>
      </c>
      <c r="H75" s="3">
        <f t="shared" si="34"/>
        <v>2036.9132400000001</v>
      </c>
      <c r="I75" s="3">
        <f t="shared" si="34"/>
        <v>2073.8990000000003</v>
      </c>
      <c r="J75" s="3">
        <f t="shared" si="34"/>
        <v>2583.8101999999999</v>
      </c>
      <c r="K75" s="3">
        <f t="shared" si="34"/>
        <v>2731.3991999999998</v>
      </c>
      <c r="L75" s="3">
        <f t="shared" si="34"/>
        <v>2680.1673499999997</v>
      </c>
      <c r="M75" s="3">
        <f t="shared" si="34"/>
        <v>2214.5279499999997</v>
      </c>
      <c r="N75" s="5"/>
      <c r="O75" s="56">
        <v>0.99</v>
      </c>
    </row>
    <row r="76" spans="1:16">
      <c r="B76" s="3">
        <f>B66-A71</f>
        <v>535.19399999999996</v>
      </c>
      <c r="C76" s="3">
        <f t="shared" si="33"/>
        <v>451.858</v>
      </c>
      <c r="D76" s="3">
        <f t="shared" si="33"/>
        <v>419.30600000000015</v>
      </c>
      <c r="E76" s="3">
        <f t="shared" si="33"/>
        <v>293.36239999999998</v>
      </c>
      <c r="F76" s="3">
        <f t="shared" si="33"/>
        <v>262.14400000000012</v>
      </c>
      <c r="G76" s="3">
        <f t="shared" ref="G76:M76" si="35">G66-F71</f>
        <v>248.71000000000026</v>
      </c>
      <c r="H76" s="3">
        <f t="shared" si="35"/>
        <v>235.08000000000038</v>
      </c>
      <c r="I76" s="3">
        <f t="shared" si="35"/>
        <v>840.22300000000041</v>
      </c>
      <c r="J76" s="3">
        <f t="shared" si="35"/>
        <v>904.87600000000043</v>
      </c>
      <c r="K76" s="3">
        <f t="shared" si="35"/>
        <v>924.08800000000042</v>
      </c>
      <c r="L76" s="3">
        <f t="shared" si="35"/>
        <v>700.06600000000049</v>
      </c>
      <c r="M76" s="3">
        <f t="shared" si="35"/>
        <v>739.16200000000049</v>
      </c>
      <c r="N76" s="5"/>
    </row>
    <row r="79" spans="1:16">
      <c r="A79" s="157" t="s">
        <v>129</v>
      </c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</row>
    <row r="80" spans="1:16">
      <c r="A80" s="1"/>
      <c r="B80" s="1" t="s">
        <v>3</v>
      </c>
      <c r="C80" s="1" t="s">
        <v>4</v>
      </c>
      <c r="D80" s="1" t="s">
        <v>5</v>
      </c>
      <c r="E80" s="1" t="s">
        <v>6</v>
      </c>
      <c r="F80" s="1" t="s">
        <v>7</v>
      </c>
      <c r="G80" s="1" t="s">
        <v>8</v>
      </c>
      <c r="H80" s="1" t="s">
        <v>9</v>
      </c>
      <c r="I80" s="1" t="s">
        <v>10</v>
      </c>
      <c r="J80" s="1" t="s">
        <v>96</v>
      </c>
      <c r="K80" s="1" t="s">
        <v>12</v>
      </c>
      <c r="L80" s="1" t="s">
        <v>13</v>
      </c>
      <c r="M80" s="1" t="s">
        <v>14</v>
      </c>
    </row>
    <row r="81" spans="1:13">
      <c r="A81" s="1"/>
      <c r="B81" s="3">
        <v>0</v>
      </c>
      <c r="C81" s="3">
        <v>0</v>
      </c>
      <c r="D81" s="3">
        <v>0</v>
      </c>
      <c r="E81" s="70">
        <v>190</v>
      </c>
      <c r="F81" s="70">
        <v>190</v>
      </c>
      <c r="G81" s="70">
        <v>190</v>
      </c>
      <c r="H81" s="70">
        <v>190</v>
      </c>
      <c r="I81" s="70">
        <v>190</v>
      </c>
      <c r="J81" s="3">
        <v>0</v>
      </c>
      <c r="K81" s="3">
        <v>0</v>
      </c>
      <c r="L81" s="3">
        <v>0</v>
      </c>
      <c r="M81" s="3">
        <v>0</v>
      </c>
    </row>
    <row r="84" spans="1:13">
      <c r="A84" s="170" t="s">
        <v>216</v>
      </c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</row>
    <row r="85" spans="1:13">
      <c r="A85" s="1"/>
      <c r="B85" s="1" t="s">
        <v>3</v>
      </c>
      <c r="C85" s="1" t="s">
        <v>4</v>
      </c>
      <c r="D85" s="1" t="s">
        <v>5</v>
      </c>
      <c r="E85" s="1" t="s">
        <v>6</v>
      </c>
      <c r="F85" s="1" t="s">
        <v>7</v>
      </c>
      <c r="G85" s="1" t="s">
        <v>8</v>
      </c>
      <c r="H85" s="1" t="s">
        <v>9</v>
      </c>
      <c r="I85" s="1" t="s">
        <v>10</v>
      </c>
      <c r="J85" s="1" t="s">
        <v>96</v>
      </c>
      <c r="K85" s="1" t="s">
        <v>12</v>
      </c>
      <c r="L85" s="1" t="s">
        <v>13</v>
      </c>
      <c r="M85" s="1" t="s">
        <v>14</v>
      </c>
    </row>
    <row r="86" spans="1:13">
      <c r="A86" s="48" t="s">
        <v>130</v>
      </c>
      <c r="B86" s="60">
        <v>107</v>
      </c>
      <c r="C86" s="60">
        <v>107</v>
      </c>
      <c r="D86" s="60">
        <v>107</v>
      </c>
      <c r="E86" s="60">
        <v>97</v>
      </c>
      <c r="F86" s="60">
        <v>97</v>
      </c>
      <c r="G86" s="60">
        <v>97</v>
      </c>
      <c r="H86" s="60">
        <v>97</v>
      </c>
      <c r="I86" s="60">
        <v>97</v>
      </c>
      <c r="J86" s="60">
        <v>97</v>
      </c>
      <c r="K86" s="60">
        <v>97</v>
      </c>
      <c r="L86" s="60">
        <v>97</v>
      </c>
      <c r="M86" s="60">
        <v>97</v>
      </c>
    </row>
    <row r="87" spans="1:13">
      <c r="A87" s="48" t="s">
        <v>131</v>
      </c>
      <c r="B87" s="60">
        <v>145</v>
      </c>
      <c r="C87" s="60">
        <v>145</v>
      </c>
      <c r="D87" s="60">
        <v>145</v>
      </c>
      <c r="E87" s="60">
        <v>145</v>
      </c>
      <c r="F87" s="60">
        <v>145</v>
      </c>
      <c r="G87" s="60">
        <v>145</v>
      </c>
      <c r="H87" s="60">
        <v>145</v>
      </c>
      <c r="I87" s="60">
        <v>145</v>
      </c>
      <c r="J87" s="60">
        <v>145</v>
      </c>
      <c r="K87" s="60">
        <v>145</v>
      </c>
      <c r="L87" s="60">
        <v>145</v>
      </c>
      <c r="M87" s="60">
        <v>145</v>
      </c>
    </row>
    <row r="88" spans="1:13">
      <c r="A88" s="48" t="s">
        <v>132</v>
      </c>
      <c r="B88" s="60">
        <v>120</v>
      </c>
      <c r="C88" s="60">
        <v>120</v>
      </c>
      <c r="D88" s="60">
        <v>120</v>
      </c>
      <c r="E88" s="60">
        <v>120</v>
      </c>
      <c r="F88" s="60">
        <v>120</v>
      </c>
      <c r="G88" s="60">
        <v>120</v>
      </c>
      <c r="H88" s="60">
        <v>120</v>
      </c>
      <c r="I88" s="60">
        <v>120</v>
      </c>
      <c r="J88" s="60">
        <v>120</v>
      </c>
      <c r="K88" s="60">
        <v>120</v>
      </c>
      <c r="L88" s="60">
        <v>120</v>
      </c>
      <c r="M88" s="60">
        <v>120</v>
      </c>
    </row>
    <row r="89" spans="1:13">
      <c r="A89" s="46"/>
    </row>
    <row r="90" spans="1:13">
      <c r="A90" s="170" t="s">
        <v>136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</row>
    <row r="91" spans="1:13">
      <c r="A91" s="1"/>
      <c r="B91" s="1" t="s">
        <v>3</v>
      </c>
      <c r="C91" s="1" t="s">
        <v>4</v>
      </c>
      <c r="D91" s="1" t="s">
        <v>5</v>
      </c>
      <c r="E91" s="1" t="s">
        <v>6</v>
      </c>
      <c r="F91" s="1" t="s">
        <v>7</v>
      </c>
      <c r="G91" s="1" t="s">
        <v>8</v>
      </c>
      <c r="H91" s="1" t="s">
        <v>9</v>
      </c>
      <c r="I91" s="1" t="s">
        <v>10</v>
      </c>
      <c r="J91" s="1" t="s">
        <v>96</v>
      </c>
      <c r="K91" s="1" t="s">
        <v>12</v>
      </c>
      <c r="L91" s="1" t="s">
        <v>13</v>
      </c>
      <c r="M91" s="1" t="s">
        <v>14</v>
      </c>
    </row>
    <row r="92" spans="1:13">
      <c r="A92" s="49" t="s">
        <v>133</v>
      </c>
      <c r="B92" s="60">
        <f>B97*0.05</f>
        <v>116.12700000000001</v>
      </c>
      <c r="C92" s="60">
        <f t="shared" ref="C92:M92" si="36">C97*0.05</f>
        <v>129.50685000000001</v>
      </c>
      <c r="D92" s="60">
        <f t="shared" si="36"/>
        <v>138.59504999999999</v>
      </c>
      <c r="E92" s="60">
        <f t="shared" si="36"/>
        <v>133.98783750000001</v>
      </c>
      <c r="F92" s="60">
        <f t="shared" si="36"/>
        <v>140.51367000000002</v>
      </c>
      <c r="G92" s="60">
        <f t="shared" si="36"/>
        <v>128.13730874999999</v>
      </c>
      <c r="H92" s="60">
        <f t="shared" si="36"/>
        <v>150.485445</v>
      </c>
      <c r="I92" s="60">
        <f t="shared" si="36"/>
        <v>175.47925725000002</v>
      </c>
      <c r="J92" s="60">
        <f t="shared" si="36"/>
        <v>176.23534500000002</v>
      </c>
      <c r="K92" s="60">
        <f t="shared" si="36"/>
        <v>160.81065000000001</v>
      </c>
      <c r="L92" s="60">
        <f t="shared" si="36"/>
        <v>136.13366249999999</v>
      </c>
      <c r="M92" s="60">
        <f t="shared" si="36"/>
        <v>122.37198187500002</v>
      </c>
    </row>
    <row r="93" spans="1:13">
      <c r="A93" s="46"/>
    </row>
    <row r="95" spans="1:13">
      <c r="A95" s="169" t="s">
        <v>215</v>
      </c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</row>
    <row r="96" spans="1:13">
      <c r="A96" s="1"/>
      <c r="B96" s="1" t="s">
        <v>3</v>
      </c>
      <c r="C96" s="1" t="s">
        <v>4</v>
      </c>
      <c r="D96" s="1" t="s">
        <v>5</v>
      </c>
      <c r="E96" s="1" t="s">
        <v>6</v>
      </c>
      <c r="F96" s="1" t="s">
        <v>7</v>
      </c>
      <c r="G96" s="1" t="s">
        <v>8</v>
      </c>
      <c r="H96" s="1" t="s">
        <v>9</v>
      </c>
      <c r="I96" s="1" t="s">
        <v>10</v>
      </c>
      <c r="J96" s="1" t="s">
        <v>96</v>
      </c>
      <c r="K96" s="1" t="s">
        <v>12</v>
      </c>
      <c r="L96" s="1" t="s">
        <v>13</v>
      </c>
      <c r="M96" s="1" t="s">
        <v>14</v>
      </c>
    </row>
    <row r="97" spans="1:16">
      <c r="A97" s="1"/>
      <c r="B97" s="60">
        <f>(Hoja1!C28*$P68+Hoja1!C29*$P69)/1000</f>
        <v>2322.54</v>
      </c>
      <c r="C97" s="60">
        <f>(Hoja1!D28*$P68+Hoja1!D29*$P69)/1000</f>
        <v>2590.1370000000002</v>
      </c>
      <c r="D97" s="60">
        <f>(Hoja1!E28*$P68+Hoja1!E29*$P69)/1000</f>
        <v>2771.9009999999998</v>
      </c>
      <c r="E97" s="60">
        <f>(Hoja1!F28*$P68+Hoja1!F29*$P69)/1000</f>
        <v>2679.75675</v>
      </c>
      <c r="F97" s="60">
        <f>(Hoja1!G28*$P68+Hoja1!G29*$P69)/1000</f>
        <v>2810.2734</v>
      </c>
      <c r="G97" s="60">
        <f>(Hoja1!H28*$P68+Hoja1!H29*$P69)/1000</f>
        <v>2562.7461749999998</v>
      </c>
      <c r="H97" s="60">
        <f>(Hoja1!I28*$P68+Hoja1!I29*$P69)/1000</f>
        <v>3009.7089000000001</v>
      </c>
      <c r="I97" s="60">
        <f>(Hoja1!J28*$P68+Hoja1!J29*$P69)/1000</f>
        <v>3509.585145</v>
      </c>
      <c r="J97" s="60">
        <f>(Hoja1!K28*$P68+Hoja1!K29*$P69)/1000</f>
        <v>3524.7069000000001</v>
      </c>
      <c r="K97" s="60">
        <f>(Hoja1!L28*$P68+Hoja1!L29*$P69)/1000</f>
        <v>3216.2130000000002</v>
      </c>
      <c r="L97" s="60">
        <f>(Hoja1!M28*$P68+Hoja1!M29*$P69)/1000</f>
        <v>2722.6732499999998</v>
      </c>
      <c r="M97" s="60">
        <f>(Hoja1!N28*$P68+Hoja1!N29*$P69)/1000</f>
        <v>2447.4396375000001</v>
      </c>
    </row>
    <row r="99" spans="1:16">
      <c r="A99" s="169" t="s">
        <v>135</v>
      </c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</row>
    <row r="100" spans="1:16">
      <c r="A100" s="1"/>
      <c r="B100" s="1" t="s">
        <v>3</v>
      </c>
      <c r="C100" s="1" t="s">
        <v>4</v>
      </c>
      <c r="D100" s="1" t="s">
        <v>5</v>
      </c>
      <c r="E100" s="1" t="s">
        <v>6</v>
      </c>
      <c r="F100" s="1" t="s">
        <v>7</v>
      </c>
      <c r="G100" s="1" t="s">
        <v>8</v>
      </c>
      <c r="H100" s="1" t="s">
        <v>9</v>
      </c>
      <c r="I100" s="1" t="s">
        <v>10</v>
      </c>
      <c r="J100" s="1" t="s">
        <v>96</v>
      </c>
      <c r="K100" s="1" t="s">
        <v>12</v>
      </c>
      <c r="L100" s="1" t="s">
        <v>13</v>
      </c>
      <c r="M100" s="1" t="s">
        <v>14</v>
      </c>
    </row>
    <row r="101" spans="1:16">
      <c r="A101" s="1"/>
      <c r="B101" s="73">
        <f>B97*0.21</f>
        <v>487.73339999999996</v>
      </c>
      <c r="C101" s="73">
        <f t="shared" ref="C101:M101" si="37">C97*0.21</f>
        <v>543.92876999999999</v>
      </c>
      <c r="D101" s="73">
        <f t="shared" si="37"/>
        <v>582.09920999999997</v>
      </c>
      <c r="E101" s="73">
        <f t="shared" si="37"/>
        <v>562.74891749999995</v>
      </c>
      <c r="F101" s="73">
        <f t="shared" si="37"/>
        <v>590.15741400000002</v>
      </c>
      <c r="G101" s="73">
        <f t="shared" si="37"/>
        <v>538.17669674999991</v>
      </c>
      <c r="H101" s="73">
        <f t="shared" si="37"/>
        <v>632.03886899999998</v>
      </c>
      <c r="I101" s="73">
        <f t="shared" si="37"/>
        <v>737.01288045000001</v>
      </c>
      <c r="J101" s="73">
        <f t="shared" si="37"/>
        <v>740.18844899999999</v>
      </c>
      <c r="K101" s="73">
        <f t="shared" si="37"/>
        <v>675.40472999999997</v>
      </c>
      <c r="L101" s="73">
        <f t="shared" si="37"/>
        <v>571.76138249999997</v>
      </c>
      <c r="M101" s="73">
        <f t="shared" si="37"/>
        <v>513.96232387500004</v>
      </c>
    </row>
    <row r="104" spans="1:16">
      <c r="A104" s="161" t="s">
        <v>140</v>
      </c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</row>
    <row r="105" spans="1:16">
      <c r="A105" s="56"/>
      <c r="B105" s="56" t="s">
        <v>3</v>
      </c>
      <c r="C105" s="56" t="s">
        <v>4</v>
      </c>
      <c r="D105" s="56" t="s">
        <v>5</v>
      </c>
      <c r="E105" s="56" t="s">
        <v>6</v>
      </c>
      <c r="F105" s="56" t="s">
        <v>7</v>
      </c>
      <c r="G105" s="56" t="s">
        <v>8</v>
      </c>
      <c r="H105" s="56" t="s">
        <v>9</v>
      </c>
      <c r="I105" s="56" t="s">
        <v>10</v>
      </c>
      <c r="J105" s="56" t="s">
        <v>96</v>
      </c>
      <c r="K105" s="56" t="s">
        <v>12</v>
      </c>
      <c r="L105" s="56" t="s">
        <v>13</v>
      </c>
      <c r="M105" s="56" t="s">
        <v>14</v>
      </c>
      <c r="N105" s="59" t="s">
        <v>125</v>
      </c>
    </row>
    <row r="106" spans="1:16">
      <c r="A106" s="48" t="s">
        <v>141</v>
      </c>
      <c r="B106" s="3">
        <v>2019.6000000000001</v>
      </c>
      <c r="C106" s="3">
        <v>2120.58</v>
      </c>
      <c r="D106" s="3">
        <v>2120.58</v>
      </c>
      <c r="E106" s="3">
        <v>2297.2950000000001</v>
      </c>
      <c r="F106" s="3">
        <v>2322.54</v>
      </c>
      <c r="G106" s="3">
        <v>2017.0755000000001</v>
      </c>
      <c r="H106" s="3">
        <v>2756.7539999999999</v>
      </c>
      <c r="I106" s="3">
        <v>2632.0437000000002</v>
      </c>
      <c r="J106" s="3">
        <v>2756.7539999999999</v>
      </c>
      <c r="K106" s="3">
        <v>2322.54</v>
      </c>
      <c r="L106" s="3">
        <v>2347.7849999999999</v>
      </c>
      <c r="M106" s="3">
        <v>1952.70075</v>
      </c>
      <c r="N106" s="3">
        <v>28219.572909000006</v>
      </c>
    </row>
    <row r="107" spans="1:16">
      <c r="A107" s="48" t="s">
        <v>142</v>
      </c>
      <c r="B107" s="3">
        <v>504.90000000000003</v>
      </c>
      <c r="C107" s="3">
        <v>656.37</v>
      </c>
      <c r="D107" s="3">
        <v>807.84</v>
      </c>
      <c r="E107" s="3">
        <v>605.88</v>
      </c>
      <c r="F107" s="3">
        <v>696.76200000000006</v>
      </c>
      <c r="G107" s="3">
        <v>706.86</v>
      </c>
      <c r="H107" s="3">
        <v>555.39</v>
      </c>
      <c r="I107" s="3">
        <v>1060.29</v>
      </c>
      <c r="J107" s="3">
        <v>984.55500000000006</v>
      </c>
      <c r="K107" s="3">
        <v>1035.0450000000001</v>
      </c>
      <c r="L107" s="3">
        <v>605.88</v>
      </c>
      <c r="M107" s="3">
        <v>656.37</v>
      </c>
      <c r="N107" s="3">
        <v>9053.6648400000013</v>
      </c>
    </row>
    <row r="108" spans="1:16">
      <c r="A108" s="48" t="s">
        <v>125</v>
      </c>
      <c r="B108" s="60">
        <f t="shared" ref="B108:N108" si="38">(B106*$P68+B107*$P69)/1000</f>
        <v>2322.54</v>
      </c>
      <c r="C108" s="60">
        <f t="shared" si="38"/>
        <v>2590.1370000000002</v>
      </c>
      <c r="D108" s="60">
        <f t="shared" si="38"/>
        <v>2771.9009999999998</v>
      </c>
      <c r="E108" s="60">
        <f t="shared" si="38"/>
        <v>2679.75675</v>
      </c>
      <c r="F108" s="60">
        <f t="shared" si="38"/>
        <v>2810.2734</v>
      </c>
      <c r="G108" s="60">
        <f t="shared" si="38"/>
        <v>2562.7461749999998</v>
      </c>
      <c r="H108" s="60">
        <f t="shared" si="38"/>
        <v>3009.7089000000001</v>
      </c>
      <c r="I108" s="60">
        <f t="shared" si="38"/>
        <v>3509.585145</v>
      </c>
      <c r="J108" s="60">
        <f t="shared" si="38"/>
        <v>3524.7069000000001</v>
      </c>
      <c r="K108" s="60">
        <f t="shared" si="38"/>
        <v>3216.2130000000002</v>
      </c>
      <c r="L108" s="60">
        <f t="shared" si="38"/>
        <v>2722.6732499999998</v>
      </c>
      <c r="M108" s="60">
        <f t="shared" si="38"/>
        <v>2447.4396375000001</v>
      </c>
      <c r="N108" s="60">
        <f t="shared" si="38"/>
        <v>34851.034780650007</v>
      </c>
    </row>
    <row r="110" spans="1:16">
      <c r="A110" s="161" t="s">
        <v>139</v>
      </c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</row>
    <row r="111" spans="1:16">
      <c r="A111" s="56"/>
      <c r="B111" s="56" t="s">
        <v>3</v>
      </c>
      <c r="C111" s="56" t="s">
        <v>4</v>
      </c>
      <c r="D111" s="56" t="s">
        <v>5</v>
      </c>
      <c r="E111" s="56" t="s">
        <v>6</v>
      </c>
      <c r="F111" s="56" t="s">
        <v>7</v>
      </c>
      <c r="G111" s="56" t="s">
        <v>8</v>
      </c>
      <c r="H111" s="56" t="s">
        <v>9</v>
      </c>
      <c r="I111" s="56" t="s">
        <v>10</v>
      </c>
      <c r="J111" s="56" t="s">
        <v>96</v>
      </c>
      <c r="K111" s="56" t="s">
        <v>12</v>
      </c>
      <c r="L111" s="56" t="s">
        <v>13</v>
      </c>
      <c r="M111" s="56" t="s">
        <v>14</v>
      </c>
      <c r="N111" s="59" t="s">
        <v>125</v>
      </c>
      <c r="O111" s="59" t="s">
        <v>145</v>
      </c>
      <c r="P111" s="56">
        <v>1000</v>
      </c>
    </row>
    <row r="112" spans="1:16">
      <c r="A112" s="48" t="s">
        <v>141</v>
      </c>
      <c r="B112" s="60">
        <f>((B106*$P68*$O$75)/1000)</f>
        <v>1699.4933999999998</v>
      </c>
      <c r="C112" s="60">
        <f t="shared" ref="C112:M112" si="39">((C106*$P68*$O$75)/1000)</f>
        <v>1784.4680700000001</v>
      </c>
      <c r="D112" s="60">
        <f t="shared" si="39"/>
        <v>1784.4680700000001</v>
      </c>
      <c r="E112" s="60">
        <f t="shared" si="39"/>
        <v>1933.1737424999999</v>
      </c>
      <c r="F112" s="60">
        <f t="shared" si="39"/>
        <v>1954.41741</v>
      </c>
      <c r="G112" s="60">
        <f t="shared" si="39"/>
        <v>1697.36903325</v>
      </c>
      <c r="H112" s="60">
        <f t="shared" si="39"/>
        <v>2319.8084909999998</v>
      </c>
      <c r="I112" s="60">
        <f t="shared" si="39"/>
        <v>2214.8647735499999</v>
      </c>
      <c r="J112" s="60">
        <f t="shared" si="39"/>
        <v>2319.8084909999998</v>
      </c>
      <c r="K112" s="60">
        <f t="shared" si="39"/>
        <v>1954.41741</v>
      </c>
      <c r="L112" s="60">
        <f t="shared" si="39"/>
        <v>1975.6610774999997</v>
      </c>
      <c r="M112" s="60">
        <f t="shared" si="39"/>
        <v>1643.1976811249999</v>
      </c>
      <c r="N112" s="60">
        <f>((N106*$P68*$O$75)/1000)</f>
        <v>23746.770602923505</v>
      </c>
      <c r="O112" s="48" t="s">
        <v>146</v>
      </c>
      <c r="P112" s="56">
        <v>100</v>
      </c>
    </row>
    <row r="113" spans="1:18">
      <c r="A113" s="48" t="s">
        <v>142</v>
      </c>
      <c r="B113" s="60">
        <f>((B107*$P69*$O$75)/1000)</f>
        <v>599.82119999999998</v>
      </c>
      <c r="C113" s="60">
        <f t="shared" ref="C113:M113" si="40">((C107*$P69*$O$75)/1000)</f>
        <v>779.76755999999989</v>
      </c>
      <c r="D113" s="60">
        <f t="shared" si="40"/>
        <v>959.71392000000003</v>
      </c>
      <c r="E113" s="60">
        <f t="shared" si="40"/>
        <v>719.78543999999999</v>
      </c>
      <c r="F113" s="60">
        <f t="shared" si="40"/>
        <v>827.75325600000008</v>
      </c>
      <c r="G113" s="60">
        <f t="shared" si="40"/>
        <v>839.7496799999999</v>
      </c>
      <c r="H113" s="60">
        <f t="shared" si="40"/>
        <v>659.80331999999999</v>
      </c>
      <c r="I113" s="60">
        <f t="shared" si="40"/>
        <v>1259.6245200000001</v>
      </c>
      <c r="J113" s="60">
        <f t="shared" si="40"/>
        <v>1169.6513400000001</v>
      </c>
      <c r="K113" s="60">
        <f t="shared" si="40"/>
        <v>1229.63346</v>
      </c>
      <c r="L113" s="60">
        <f t="shared" si="40"/>
        <v>719.78543999999999</v>
      </c>
      <c r="M113" s="60">
        <f t="shared" si="40"/>
        <v>779.76755999999989</v>
      </c>
      <c r="N113" s="60">
        <f>((N107*$P69*$O$75)/1000)</f>
        <v>10755.75382992</v>
      </c>
    </row>
    <row r="114" spans="1:18">
      <c r="A114" s="48" t="s">
        <v>125</v>
      </c>
      <c r="B114" s="60">
        <f>B112+B113</f>
        <v>2299.3145999999997</v>
      </c>
      <c r="C114" s="60">
        <f t="shared" ref="C114:N114" si="41">C112+C113</f>
        <v>2564.2356300000001</v>
      </c>
      <c r="D114" s="60">
        <f t="shared" si="41"/>
        <v>2744.18199</v>
      </c>
      <c r="E114" s="60">
        <f t="shared" si="41"/>
        <v>2652.9591824999998</v>
      </c>
      <c r="F114" s="60">
        <f t="shared" si="41"/>
        <v>2782.170666</v>
      </c>
      <c r="G114" s="60">
        <f t="shared" si="41"/>
        <v>2537.1187132499999</v>
      </c>
      <c r="H114" s="60">
        <f t="shared" si="41"/>
        <v>2979.6118109999998</v>
      </c>
      <c r="I114" s="60">
        <f t="shared" si="41"/>
        <v>3474.4892935500002</v>
      </c>
      <c r="J114" s="60">
        <f t="shared" si="41"/>
        <v>3489.4598310000001</v>
      </c>
      <c r="K114" s="60">
        <f t="shared" si="41"/>
        <v>3184.05087</v>
      </c>
      <c r="L114" s="60">
        <f t="shared" si="41"/>
        <v>2695.4465174999996</v>
      </c>
      <c r="M114" s="60">
        <f t="shared" si="41"/>
        <v>2422.9652411249999</v>
      </c>
      <c r="N114" s="60">
        <f t="shared" si="41"/>
        <v>34502.524432843507</v>
      </c>
    </row>
    <row r="116" spans="1:18">
      <c r="A116" s="187" t="s">
        <v>148</v>
      </c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</row>
    <row r="117" spans="1:18">
      <c r="A117" s="56"/>
      <c r="B117" s="56" t="s">
        <v>3</v>
      </c>
      <c r="C117" s="56" t="s">
        <v>4</v>
      </c>
      <c r="D117" s="56" t="s">
        <v>5</v>
      </c>
      <c r="E117" s="56" t="s">
        <v>6</v>
      </c>
      <c r="F117" s="56" t="s">
        <v>7</v>
      </c>
      <c r="G117" s="56" t="s">
        <v>8</v>
      </c>
      <c r="H117" s="56" t="s">
        <v>9</v>
      </c>
      <c r="I117" s="56" t="s">
        <v>10</v>
      </c>
      <c r="J117" s="56" t="s">
        <v>96</v>
      </c>
      <c r="K117" s="56" t="s">
        <v>12</v>
      </c>
      <c r="L117" s="56" t="s">
        <v>13</v>
      </c>
      <c r="M117" s="56" t="s">
        <v>14</v>
      </c>
      <c r="N117" s="59" t="s">
        <v>125</v>
      </c>
      <c r="P117" s="48" t="s">
        <v>147</v>
      </c>
    </row>
    <row r="118" spans="1:18">
      <c r="A118" s="48" t="s">
        <v>141</v>
      </c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P118" s="56">
        <v>0.5</v>
      </c>
    </row>
    <row r="119" spans="1:18">
      <c r="A119" s="61" t="s">
        <v>143</v>
      </c>
      <c r="B119" s="60">
        <f>Q125*P118*P73</f>
        <v>797.92036197748871</v>
      </c>
      <c r="C119" s="60">
        <f t="shared" ref="C119:M119" si="42">(B112*$P$118)*0.991</f>
        <v>842.09897969999986</v>
      </c>
      <c r="D119" s="60">
        <f t="shared" si="42"/>
        <v>884.20392868500005</v>
      </c>
      <c r="E119" s="60">
        <f t="shared" si="42"/>
        <v>884.20392868500005</v>
      </c>
      <c r="F119" s="60">
        <f t="shared" si="42"/>
        <v>957.88758940874993</v>
      </c>
      <c r="G119" s="60">
        <f t="shared" si="42"/>
        <v>968.41382665499998</v>
      </c>
      <c r="H119" s="60">
        <f t="shared" si="42"/>
        <v>841.04635597537504</v>
      </c>
      <c r="I119" s="60">
        <f t="shared" si="42"/>
        <v>1149.4651072904999</v>
      </c>
      <c r="J119" s="60">
        <f t="shared" si="42"/>
        <v>1097.465495294025</v>
      </c>
      <c r="K119" s="60">
        <f t="shared" si="42"/>
        <v>1149.4651072904999</v>
      </c>
      <c r="L119" s="60">
        <f t="shared" si="42"/>
        <v>968.41382665499998</v>
      </c>
      <c r="M119" s="60">
        <f t="shared" si="42"/>
        <v>978.9400639012498</v>
      </c>
      <c r="N119" s="60">
        <f>SUM(C119:M119)</f>
        <v>10721.604209540399</v>
      </c>
    </row>
    <row r="120" spans="1:18">
      <c r="A120" s="61" t="s">
        <v>144</v>
      </c>
      <c r="B120" s="60">
        <f>B112*P118*P73</f>
        <v>842.09897969999986</v>
      </c>
      <c r="C120" s="60">
        <f t="shared" ref="C120:M120" si="43">(C112*$P$118)*0.991</f>
        <v>884.20392868500005</v>
      </c>
      <c r="D120" s="60">
        <f t="shared" si="43"/>
        <v>884.20392868500005</v>
      </c>
      <c r="E120" s="60">
        <f t="shared" si="43"/>
        <v>957.88758940874993</v>
      </c>
      <c r="F120" s="60">
        <f t="shared" si="43"/>
        <v>968.41382665499998</v>
      </c>
      <c r="G120" s="60">
        <f t="shared" si="43"/>
        <v>841.04635597537504</v>
      </c>
      <c r="H120" s="60">
        <f t="shared" si="43"/>
        <v>1149.4651072904999</v>
      </c>
      <c r="I120" s="60">
        <f t="shared" si="43"/>
        <v>1097.465495294025</v>
      </c>
      <c r="J120" s="60">
        <f t="shared" si="43"/>
        <v>1149.4651072904999</v>
      </c>
      <c r="K120" s="60">
        <f t="shared" si="43"/>
        <v>968.41382665499998</v>
      </c>
      <c r="L120" s="60">
        <f t="shared" si="43"/>
        <v>978.9400639012498</v>
      </c>
      <c r="M120" s="60">
        <f t="shared" si="43"/>
        <v>814.20445099743745</v>
      </c>
      <c r="N120" s="60">
        <f>SUM(C120:M120)</f>
        <v>10693.709680837836</v>
      </c>
    </row>
    <row r="121" spans="1:18">
      <c r="A121" s="61" t="s">
        <v>107</v>
      </c>
      <c r="B121" s="60">
        <f>B119+B120</f>
        <v>1640.0193416774887</v>
      </c>
      <c r="C121" s="60">
        <f>C119+C120</f>
        <v>1726.3029083849999</v>
      </c>
      <c r="D121" s="60">
        <f t="shared" ref="D121:M121" si="44">D119+D120</f>
        <v>1768.4078573700001</v>
      </c>
      <c r="E121" s="60">
        <f t="shared" si="44"/>
        <v>1842.09151809375</v>
      </c>
      <c r="F121" s="60">
        <f t="shared" si="44"/>
        <v>1926.3014160637499</v>
      </c>
      <c r="G121" s="60">
        <f t="shared" si="44"/>
        <v>1809.4601826303751</v>
      </c>
      <c r="H121" s="60">
        <f t="shared" si="44"/>
        <v>1990.5114632658749</v>
      </c>
      <c r="I121" s="60">
        <f t="shared" si="44"/>
        <v>2246.9306025845249</v>
      </c>
      <c r="J121" s="60">
        <f t="shared" si="44"/>
        <v>2246.9306025845249</v>
      </c>
      <c r="K121" s="60">
        <f t="shared" si="44"/>
        <v>2117.8789339454997</v>
      </c>
      <c r="L121" s="60">
        <f t="shared" si="44"/>
        <v>1947.3538905562498</v>
      </c>
      <c r="M121" s="60">
        <f t="shared" si="44"/>
        <v>1793.1445148986872</v>
      </c>
      <c r="N121" s="60">
        <f>N119+N120</f>
        <v>21415.313890378235</v>
      </c>
      <c r="P121" s="48" t="s">
        <v>155</v>
      </c>
    </row>
    <row r="122" spans="1:18">
      <c r="A122" s="48" t="s">
        <v>142</v>
      </c>
      <c r="B122" s="60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P122" s="3">
        <f>M97*0.98/1000</f>
        <v>2.39849084475</v>
      </c>
    </row>
    <row r="123" spans="1:18">
      <c r="A123" s="61" t="s">
        <v>143</v>
      </c>
      <c r="B123" s="60">
        <f>R125*P118*P73</f>
        <v>378.64732946039993</v>
      </c>
      <c r="C123" s="60">
        <f t="shared" ref="C123:M123" si="45">(B113*$P$118)*0.991</f>
        <v>297.21140459999998</v>
      </c>
      <c r="D123" s="60">
        <f t="shared" si="45"/>
        <v>386.37482597999997</v>
      </c>
      <c r="E123" s="60">
        <f t="shared" si="45"/>
        <v>475.53824736000001</v>
      </c>
      <c r="F123" s="60">
        <f t="shared" si="45"/>
        <v>356.65368552000001</v>
      </c>
      <c r="G123" s="60">
        <f t="shared" si="45"/>
        <v>410.15173834800004</v>
      </c>
      <c r="H123" s="60">
        <f t="shared" si="45"/>
        <v>416.09596643999993</v>
      </c>
      <c r="I123" s="60">
        <f t="shared" si="45"/>
        <v>326.93254506</v>
      </c>
      <c r="J123" s="60">
        <f t="shared" si="45"/>
        <v>624.14394965999998</v>
      </c>
      <c r="K123" s="60">
        <f t="shared" si="45"/>
        <v>579.56223897000007</v>
      </c>
      <c r="L123" s="60">
        <f t="shared" si="45"/>
        <v>609.28337942999997</v>
      </c>
      <c r="M123" s="60">
        <f t="shared" si="45"/>
        <v>356.65368552000001</v>
      </c>
      <c r="N123" s="60">
        <f>SUM(C123:M123)</f>
        <v>4838.6016668880002</v>
      </c>
    </row>
    <row r="124" spans="1:18">
      <c r="A124" s="61" t="s">
        <v>144</v>
      </c>
      <c r="B124" s="60">
        <f>B113*P118*P73</f>
        <v>297.21140459999998</v>
      </c>
      <c r="C124" s="60">
        <f t="shared" ref="C124:M124" si="46">(C113*$P$118)*0.991</f>
        <v>386.37482597999997</v>
      </c>
      <c r="D124" s="60">
        <f t="shared" si="46"/>
        <v>475.53824736000001</v>
      </c>
      <c r="E124" s="60">
        <f t="shared" si="46"/>
        <v>356.65368552000001</v>
      </c>
      <c r="F124" s="60">
        <f t="shared" si="46"/>
        <v>410.15173834800004</v>
      </c>
      <c r="G124" s="60">
        <f t="shared" si="46"/>
        <v>416.09596643999993</v>
      </c>
      <c r="H124" s="60">
        <f t="shared" si="46"/>
        <v>326.93254506</v>
      </c>
      <c r="I124" s="60">
        <f t="shared" si="46"/>
        <v>624.14394965999998</v>
      </c>
      <c r="J124" s="60">
        <f t="shared" si="46"/>
        <v>579.56223897000007</v>
      </c>
      <c r="K124" s="60">
        <f t="shared" si="46"/>
        <v>609.28337942999997</v>
      </c>
      <c r="L124" s="60">
        <f t="shared" si="46"/>
        <v>356.65368552000001</v>
      </c>
      <c r="M124" s="60">
        <f t="shared" si="46"/>
        <v>386.37482597999997</v>
      </c>
      <c r="N124" s="60">
        <f>SUM(C124:M124)</f>
        <v>4927.7650882680009</v>
      </c>
      <c r="P124" s="48" t="s">
        <v>156</v>
      </c>
      <c r="Q124" s="48" t="s">
        <v>15</v>
      </c>
      <c r="R124" s="48" t="s">
        <v>16</v>
      </c>
    </row>
    <row r="125" spans="1:18">
      <c r="A125" s="62" t="s">
        <v>108</v>
      </c>
      <c r="B125" s="60">
        <f>B123+B124</f>
        <v>675.85873406039991</v>
      </c>
      <c r="C125" s="60">
        <f>C123+C124</f>
        <v>683.58623057999989</v>
      </c>
      <c r="D125" s="60">
        <f t="shared" ref="D125:M125" si="47">D123+D124</f>
        <v>861.91307333999998</v>
      </c>
      <c r="E125" s="60">
        <f t="shared" si="47"/>
        <v>832.19193287999997</v>
      </c>
      <c r="F125" s="60">
        <f t="shared" si="47"/>
        <v>766.80542386800005</v>
      </c>
      <c r="G125" s="60">
        <f t="shared" si="47"/>
        <v>826.24770478799996</v>
      </c>
      <c r="H125" s="60">
        <f t="shared" si="47"/>
        <v>743.02851149999992</v>
      </c>
      <c r="I125" s="60">
        <f t="shared" si="47"/>
        <v>951.07649472000003</v>
      </c>
      <c r="J125" s="60">
        <f t="shared" si="47"/>
        <v>1203.70618863</v>
      </c>
      <c r="K125" s="60">
        <f t="shared" si="47"/>
        <v>1188.8456184000001</v>
      </c>
      <c r="L125" s="60">
        <f t="shared" si="47"/>
        <v>965.93706494999992</v>
      </c>
      <c r="M125" s="60">
        <f t="shared" si="47"/>
        <v>743.02851149999992</v>
      </c>
      <c r="N125" s="60">
        <f>N123+N124</f>
        <v>9766.3667551560011</v>
      </c>
      <c r="P125" s="3">
        <f>P122*O75*P73</f>
        <v>2.3531353828757777</v>
      </c>
      <c r="Q125" s="60">
        <f>M112*0.98</f>
        <v>1610.3337275024999</v>
      </c>
      <c r="R125" s="60">
        <f>M113*0.98</f>
        <v>764.17220879999991</v>
      </c>
    </row>
    <row r="127" spans="1:18">
      <c r="A127" s="62" t="s">
        <v>149</v>
      </c>
      <c r="B127" s="60">
        <f>B121+B125</f>
        <v>2315.8780757378886</v>
      </c>
      <c r="C127" s="60">
        <f>C121+C125</f>
        <v>2409.8891389649998</v>
      </c>
      <c r="D127" s="60">
        <f t="shared" ref="D127:M127" si="48">D121+D125</f>
        <v>2630.3209307100001</v>
      </c>
      <c r="E127" s="60">
        <f t="shared" si="48"/>
        <v>2674.28345097375</v>
      </c>
      <c r="F127" s="60">
        <f t="shared" si="48"/>
        <v>2693.1068399317501</v>
      </c>
      <c r="G127" s="60">
        <f t="shared" si="48"/>
        <v>2635.7078874183753</v>
      </c>
      <c r="H127" s="60">
        <f t="shared" si="48"/>
        <v>2733.5399747658748</v>
      </c>
      <c r="I127" s="60">
        <f t="shared" si="48"/>
        <v>3198.0070973045249</v>
      </c>
      <c r="J127" s="60">
        <f t="shared" si="48"/>
        <v>3450.6367912145251</v>
      </c>
      <c r="K127" s="60">
        <f t="shared" si="48"/>
        <v>3306.7245523454999</v>
      </c>
      <c r="L127" s="60">
        <f t="shared" si="48"/>
        <v>2913.2909555062497</v>
      </c>
      <c r="M127" s="60">
        <f t="shared" si="48"/>
        <v>2536.1730263986874</v>
      </c>
      <c r="N127" s="60">
        <f>N121+N125</f>
        <v>31181.680645534238</v>
      </c>
    </row>
    <row r="128" spans="1:18">
      <c r="A128" s="62" t="s">
        <v>157</v>
      </c>
      <c r="B128" s="60">
        <f>B127/$P73</f>
        <v>2336.91026815125</v>
      </c>
      <c r="C128" s="60">
        <f t="shared" ref="C128:N128" si="49">C127/$P73</f>
        <v>2431.7751149999999</v>
      </c>
      <c r="D128" s="60">
        <f t="shared" si="49"/>
        <v>2654.2088100000001</v>
      </c>
      <c r="E128" s="60">
        <f t="shared" si="49"/>
        <v>2698.5705862499999</v>
      </c>
      <c r="F128" s="60">
        <f t="shared" si="49"/>
        <v>2717.5649242499999</v>
      </c>
      <c r="G128" s="60">
        <f t="shared" si="49"/>
        <v>2659.6446896250004</v>
      </c>
      <c r="H128" s="60">
        <f t="shared" si="49"/>
        <v>2758.3652621249998</v>
      </c>
      <c r="I128" s="60">
        <f t="shared" si="49"/>
        <v>3227.050552275</v>
      </c>
      <c r="J128" s="60">
        <f t="shared" si="49"/>
        <v>3481.9745622750002</v>
      </c>
      <c r="K128" s="60">
        <f t="shared" si="49"/>
        <v>3336.7553505000001</v>
      </c>
      <c r="L128" s="60">
        <f t="shared" si="49"/>
        <v>2939.7486937499998</v>
      </c>
      <c r="M128" s="60">
        <f t="shared" si="49"/>
        <v>2559.2058793124997</v>
      </c>
      <c r="N128" s="60">
        <f t="shared" si="49"/>
        <v>31464.864425362499</v>
      </c>
    </row>
    <row r="130" spans="1:14">
      <c r="A130" s="189" t="s">
        <v>150</v>
      </c>
      <c r="B130" s="190"/>
      <c r="C130" s="190"/>
      <c r="D130" s="190"/>
      <c r="E130" s="190"/>
      <c r="F130" s="190"/>
      <c r="G130" s="190"/>
      <c r="H130" s="190"/>
      <c r="I130" s="190"/>
      <c r="J130" s="190"/>
      <c r="K130" s="190"/>
      <c r="L130" s="190"/>
      <c r="M130" s="190"/>
      <c r="N130" s="190"/>
    </row>
    <row r="131" spans="1:14">
      <c r="A131" s="56"/>
      <c r="B131" s="56" t="s">
        <v>3</v>
      </c>
      <c r="C131" s="56" t="s">
        <v>4</v>
      </c>
      <c r="D131" s="56" t="s">
        <v>5</v>
      </c>
      <c r="E131" s="56" t="s">
        <v>6</v>
      </c>
      <c r="F131" s="56" t="s">
        <v>7</v>
      </c>
      <c r="G131" s="56" t="s">
        <v>8</v>
      </c>
      <c r="H131" s="56" t="s">
        <v>9</v>
      </c>
      <c r="I131" s="56" t="s">
        <v>10</v>
      </c>
      <c r="J131" s="56" t="s">
        <v>96</v>
      </c>
      <c r="K131" s="56" t="s">
        <v>12</v>
      </c>
      <c r="L131" s="56" t="s">
        <v>13</v>
      </c>
      <c r="M131" s="56" t="s">
        <v>14</v>
      </c>
      <c r="N131" s="59" t="s">
        <v>125</v>
      </c>
    </row>
    <row r="132" spans="1:14">
      <c r="A132" s="48" t="s">
        <v>141</v>
      </c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</row>
    <row r="133" spans="1:14">
      <c r="A133" s="48" t="s">
        <v>151</v>
      </c>
      <c r="B133" s="3">
        <f>A70</f>
        <v>403.92000000000007</v>
      </c>
      <c r="C133" s="3">
        <f>B135</f>
        <v>824.31999999999994</v>
      </c>
      <c r="D133" s="3">
        <f t="shared" ref="D133:M133" si="50">C135</f>
        <v>823.73999999999978</v>
      </c>
      <c r="E133" s="3">
        <f t="shared" si="50"/>
        <v>1063.1599999999999</v>
      </c>
      <c r="F133" s="3">
        <f t="shared" si="50"/>
        <v>1145.8649999999998</v>
      </c>
      <c r="G133" s="3">
        <f t="shared" si="50"/>
        <v>1083.3249999999998</v>
      </c>
      <c r="H133" s="3">
        <f t="shared" si="50"/>
        <v>1246.2494999999997</v>
      </c>
      <c r="I133" s="3">
        <f t="shared" si="50"/>
        <v>1109.4955</v>
      </c>
      <c r="J133" s="3">
        <f t="shared" si="50"/>
        <v>637.45179999999982</v>
      </c>
      <c r="K133" s="3">
        <f t="shared" si="50"/>
        <v>60.697799999999916</v>
      </c>
      <c r="L133" s="3">
        <f t="shared" si="50"/>
        <v>58.157799999999952</v>
      </c>
      <c r="M133" s="3">
        <f t="shared" si="50"/>
        <v>150.3728000000001</v>
      </c>
      <c r="N133" s="56"/>
    </row>
    <row r="134" spans="1:14">
      <c r="A134" s="48" t="s">
        <v>152</v>
      </c>
      <c r="B134" s="3">
        <f>Hoja1!C28</f>
        <v>2019.6000000000001</v>
      </c>
      <c r="C134" s="3">
        <f>Hoja1!D28</f>
        <v>2120.58</v>
      </c>
      <c r="D134" s="3">
        <f>Hoja1!E28</f>
        <v>2120.58</v>
      </c>
      <c r="E134" s="3">
        <f>Hoja1!F28</f>
        <v>2297.2950000000001</v>
      </c>
      <c r="F134" s="3">
        <f>Hoja1!G28</f>
        <v>2322.54</v>
      </c>
      <c r="G134" s="3">
        <f>Hoja1!H28</f>
        <v>2017.0755000000001</v>
      </c>
      <c r="H134" s="3">
        <f>Hoja1!I28</f>
        <v>2756.7539999999999</v>
      </c>
      <c r="I134" s="3">
        <f>Hoja1!J28</f>
        <v>2632.0437000000002</v>
      </c>
      <c r="J134" s="3">
        <f>Hoja1!K28</f>
        <v>2756.7539999999999</v>
      </c>
      <c r="K134" s="3">
        <f>Hoja1!L28</f>
        <v>2322.54</v>
      </c>
      <c r="L134" s="3">
        <f>Hoja1!M28</f>
        <v>2347.7849999999999</v>
      </c>
      <c r="M134" s="3">
        <f>Hoja1!N28</f>
        <v>1952.70075</v>
      </c>
      <c r="N134" s="56"/>
    </row>
    <row r="135" spans="1:14">
      <c r="A135" s="49" t="s">
        <v>153</v>
      </c>
      <c r="B135" s="3">
        <f>B70</f>
        <v>824.31999999999994</v>
      </c>
      <c r="C135" s="3">
        <f t="shared" ref="C135:M135" si="51">C70</f>
        <v>823.73999999999978</v>
      </c>
      <c r="D135" s="3">
        <f t="shared" si="51"/>
        <v>1063.1599999999999</v>
      </c>
      <c r="E135" s="3">
        <f t="shared" si="51"/>
        <v>1145.8649999999998</v>
      </c>
      <c r="F135" s="3">
        <f t="shared" si="51"/>
        <v>1083.3249999999998</v>
      </c>
      <c r="G135" s="3">
        <f t="shared" si="51"/>
        <v>1246.2494999999997</v>
      </c>
      <c r="H135" s="3">
        <f t="shared" si="51"/>
        <v>1109.4955</v>
      </c>
      <c r="I135" s="3">
        <f t="shared" si="51"/>
        <v>637.45179999999982</v>
      </c>
      <c r="J135" s="3">
        <f t="shared" si="51"/>
        <v>60.697799999999916</v>
      </c>
      <c r="K135" s="3">
        <f t="shared" si="51"/>
        <v>58.157799999999952</v>
      </c>
      <c r="L135" s="3">
        <f t="shared" si="51"/>
        <v>150.3728000000001</v>
      </c>
      <c r="M135" s="3">
        <f t="shared" si="51"/>
        <v>517.67205000000013</v>
      </c>
      <c r="N135" s="56"/>
    </row>
    <row r="136" spans="1:14">
      <c r="A136" s="49" t="s">
        <v>154</v>
      </c>
      <c r="B136" s="3">
        <f>B134+(B135-B133)</f>
        <v>2440</v>
      </c>
      <c r="C136" s="3">
        <f t="shared" ref="C136:M136" si="52">C134+(C135-C133)</f>
        <v>2120</v>
      </c>
      <c r="D136" s="3">
        <f t="shared" si="52"/>
        <v>2360</v>
      </c>
      <c r="E136" s="3">
        <f t="shared" si="52"/>
        <v>2380</v>
      </c>
      <c r="F136" s="3">
        <f t="shared" si="52"/>
        <v>2260</v>
      </c>
      <c r="G136" s="3">
        <f t="shared" si="52"/>
        <v>2180</v>
      </c>
      <c r="H136" s="3">
        <f t="shared" si="52"/>
        <v>2620</v>
      </c>
      <c r="I136" s="3">
        <f t="shared" si="52"/>
        <v>2160</v>
      </c>
      <c r="J136" s="3">
        <f t="shared" si="52"/>
        <v>2180</v>
      </c>
      <c r="K136" s="3">
        <f t="shared" si="52"/>
        <v>2320</v>
      </c>
      <c r="L136" s="3">
        <f t="shared" si="52"/>
        <v>2440</v>
      </c>
      <c r="M136" s="3">
        <f t="shared" si="52"/>
        <v>2320</v>
      </c>
      <c r="N136" s="3">
        <f>SUM(B136:M136)</f>
        <v>27780</v>
      </c>
    </row>
    <row r="137" spans="1:14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</row>
    <row r="138" spans="1:14">
      <c r="A138" s="48" t="s">
        <v>142</v>
      </c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</row>
    <row r="139" spans="1:14">
      <c r="A139" s="48" t="s">
        <v>151</v>
      </c>
      <c r="B139" s="3">
        <f>A71</f>
        <v>100.98000000000002</v>
      </c>
      <c r="C139" s="3">
        <f>B141</f>
        <v>366.08</v>
      </c>
      <c r="D139" s="3">
        <f t="shared" ref="D139:M139" si="53">C141</f>
        <v>509.70999999999992</v>
      </c>
      <c r="E139" s="3">
        <f t="shared" si="53"/>
        <v>451.87</v>
      </c>
      <c r="F139" s="3">
        <f t="shared" si="53"/>
        <v>575.9899999999999</v>
      </c>
      <c r="G139" s="3">
        <f t="shared" si="53"/>
        <v>569.22799999999972</v>
      </c>
      <c r="H139" s="3">
        <f t="shared" si="53"/>
        <v>532.3679999999996</v>
      </c>
      <c r="I139" s="3">
        <f t="shared" si="53"/>
        <v>416.97799999999961</v>
      </c>
      <c r="J139" s="3">
        <f t="shared" si="53"/>
        <v>286.68799999999965</v>
      </c>
      <c r="K139" s="3">
        <f t="shared" si="53"/>
        <v>232.13299999999958</v>
      </c>
      <c r="L139" s="3">
        <f t="shared" si="53"/>
        <v>37.087999999999511</v>
      </c>
      <c r="M139" s="3">
        <f t="shared" si="53"/>
        <v>51.207999999999515</v>
      </c>
      <c r="N139" s="56"/>
    </row>
    <row r="140" spans="1:14">
      <c r="A140" s="48" t="s">
        <v>152</v>
      </c>
      <c r="B140" s="3">
        <f>Hoja1!C29</f>
        <v>504.90000000000003</v>
      </c>
      <c r="C140" s="3">
        <f>Hoja1!D29</f>
        <v>656.37</v>
      </c>
      <c r="D140" s="3">
        <f>Hoja1!E29</f>
        <v>807.84</v>
      </c>
      <c r="E140" s="3">
        <f>Hoja1!F29</f>
        <v>605.88</v>
      </c>
      <c r="F140" s="3">
        <f>Hoja1!G29</f>
        <v>696.76200000000006</v>
      </c>
      <c r="G140" s="3">
        <f>Hoja1!H29</f>
        <v>706.86</v>
      </c>
      <c r="H140" s="3">
        <f>Hoja1!I29</f>
        <v>555.39</v>
      </c>
      <c r="I140" s="3">
        <f>Hoja1!J29</f>
        <v>1060.29</v>
      </c>
      <c r="J140" s="3">
        <f>Hoja1!K29</f>
        <v>984.55500000000006</v>
      </c>
      <c r="K140" s="3">
        <f>Hoja1!L29</f>
        <v>1035.0450000000001</v>
      </c>
      <c r="L140" s="3">
        <f>Hoja1!M29</f>
        <v>605.88</v>
      </c>
      <c r="M140" s="3">
        <f>Hoja1!N29</f>
        <v>656.37</v>
      </c>
      <c r="N140" s="56"/>
    </row>
    <row r="141" spans="1:14">
      <c r="A141" s="48" t="s">
        <v>153</v>
      </c>
      <c r="B141" s="3">
        <f>B71</f>
        <v>366.08</v>
      </c>
      <c r="C141" s="3">
        <f t="shared" ref="C141:M141" si="54">C71</f>
        <v>509.70999999999992</v>
      </c>
      <c r="D141" s="3">
        <f t="shared" si="54"/>
        <v>451.87</v>
      </c>
      <c r="E141" s="3">
        <f t="shared" si="54"/>
        <v>575.9899999999999</v>
      </c>
      <c r="F141" s="3">
        <f t="shared" si="54"/>
        <v>569.22799999999972</v>
      </c>
      <c r="G141" s="3">
        <f t="shared" si="54"/>
        <v>532.3679999999996</v>
      </c>
      <c r="H141" s="3">
        <f t="shared" si="54"/>
        <v>416.97799999999961</v>
      </c>
      <c r="I141" s="3">
        <f t="shared" si="54"/>
        <v>286.68799999999965</v>
      </c>
      <c r="J141" s="3">
        <f t="shared" si="54"/>
        <v>232.13299999999958</v>
      </c>
      <c r="K141" s="3">
        <f t="shared" si="54"/>
        <v>37.087999999999511</v>
      </c>
      <c r="L141" s="3">
        <f t="shared" si="54"/>
        <v>51.207999999999515</v>
      </c>
      <c r="M141" s="3">
        <f t="shared" si="54"/>
        <v>124.83799999999951</v>
      </c>
      <c r="N141" s="56"/>
    </row>
    <row r="142" spans="1:14">
      <c r="A142" s="48" t="s">
        <v>154</v>
      </c>
      <c r="B142" s="3">
        <f>B140+(B141-B139)</f>
        <v>770</v>
      </c>
      <c r="C142" s="3">
        <f t="shared" ref="C142:M142" si="55">C140+(C141-C139)</f>
        <v>800</v>
      </c>
      <c r="D142" s="3">
        <f t="shared" si="55"/>
        <v>750.00000000000011</v>
      </c>
      <c r="E142" s="3">
        <f t="shared" si="55"/>
        <v>729.99999999999989</v>
      </c>
      <c r="F142" s="3">
        <f t="shared" si="55"/>
        <v>689.99999999999989</v>
      </c>
      <c r="G142" s="3">
        <f t="shared" si="55"/>
        <v>669.99999999999989</v>
      </c>
      <c r="H142" s="3">
        <f t="shared" si="55"/>
        <v>440</v>
      </c>
      <c r="I142" s="3">
        <f t="shared" si="55"/>
        <v>930</v>
      </c>
      <c r="J142" s="3">
        <f t="shared" si="55"/>
        <v>930</v>
      </c>
      <c r="K142" s="3">
        <f t="shared" si="55"/>
        <v>840</v>
      </c>
      <c r="L142" s="3">
        <f t="shared" si="55"/>
        <v>620</v>
      </c>
      <c r="M142" s="3">
        <f t="shared" si="55"/>
        <v>730</v>
      </c>
      <c r="N142" s="3">
        <f>SUM(B142:M142)</f>
        <v>8900</v>
      </c>
    </row>
    <row r="144" spans="1:14">
      <c r="A144" s="189" t="s">
        <v>158</v>
      </c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</row>
    <row r="145" spans="1:15">
      <c r="A145" s="56"/>
      <c r="B145" s="48" t="s">
        <v>161</v>
      </c>
      <c r="C145" s="56" t="s">
        <v>3</v>
      </c>
      <c r="D145" s="56" t="s">
        <v>4</v>
      </c>
      <c r="E145" s="56" t="s">
        <v>5</v>
      </c>
      <c r="F145" s="56" t="s">
        <v>6</v>
      </c>
      <c r="G145" s="56" t="s">
        <v>7</v>
      </c>
      <c r="H145" s="56" t="s">
        <v>8</v>
      </c>
      <c r="I145" s="56" t="s">
        <v>9</v>
      </c>
      <c r="J145" s="56" t="s">
        <v>10</v>
      </c>
      <c r="K145" s="56" t="s">
        <v>96</v>
      </c>
      <c r="L145" s="56" t="s">
        <v>12</v>
      </c>
      <c r="M145" s="56" t="s">
        <v>13</v>
      </c>
      <c r="N145" s="56" t="s">
        <v>14</v>
      </c>
      <c r="O145" s="66" t="s">
        <v>125</v>
      </c>
    </row>
    <row r="146" spans="1:15">
      <c r="A146" s="48" t="s">
        <v>141</v>
      </c>
      <c r="B146" s="48" t="s">
        <v>162</v>
      </c>
      <c r="C146" s="3">
        <f>B136</f>
        <v>2440</v>
      </c>
      <c r="D146" s="3">
        <f t="shared" ref="D146:O146" si="56">C136</f>
        <v>2120</v>
      </c>
      <c r="E146" s="3">
        <f t="shared" si="56"/>
        <v>2360</v>
      </c>
      <c r="F146" s="3">
        <f t="shared" si="56"/>
        <v>2380</v>
      </c>
      <c r="G146" s="3">
        <f t="shared" si="56"/>
        <v>2260</v>
      </c>
      <c r="H146" s="3">
        <f t="shared" si="56"/>
        <v>2180</v>
      </c>
      <c r="I146" s="3">
        <f t="shared" si="56"/>
        <v>2620</v>
      </c>
      <c r="J146" s="3">
        <f t="shared" si="56"/>
        <v>2160</v>
      </c>
      <c r="K146" s="3">
        <f t="shared" si="56"/>
        <v>2180</v>
      </c>
      <c r="L146" s="3">
        <f t="shared" si="56"/>
        <v>2320</v>
      </c>
      <c r="M146" s="3">
        <f t="shared" si="56"/>
        <v>2440</v>
      </c>
      <c r="N146" s="3">
        <f t="shared" si="56"/>
        <v>2320</v>
      </c>
      <c r="O146" s="37">
        <f t="shared" si="56"/>
        <v>27780</v>
      </c>
    </row>
    <row r="147" spans="1:15">
      <c r="A147" s="186" t="s">
        <v>166</v>
      </c>
      <c r="B147" s="48" t="s">
        <v>151</v>
      </c>
      <c r="C147" s="56">
        <f>A27</f>
        <v>2440</v>
      </c>
      <c r="D147" s="56">
        <f>C149</f>
        <v>2120</v>
      </c>
      <c r="E147" s="56">
        <f t="shared" ref="E147:N147" si="57">D149</f>
        <v>2360</v>
      </c>
      <c r="F147" s="56">
        <f t="shared" si="57"/>
        <v>2380</v>
      </c>
      <c r="G147" s="56">
        <f t="shared" si="57"/>
        <v>2260</v>
      </c>
      <c r="H147" s="56">
        <f t="shared" si="57"/>
        <v>2180</v>
      </c>
      <c r="I147" s="56">
        <f t="shared" si="57"/>
        <v>2620</v>
      </c>
      <c r="J147" s="56">
        <f t="shared" si="57"/>
        <v>2160</v>
      </c>
      <c r="K147" s="56">
        <f t="shared" si="57"/>
        <v>2180</v>
      </c>
      <c r="L147" s="56">
        <f t="shared" si="57"/>
        <v>2320</v>
      </c>
      <c r="M147" s="56">
        <f t="shared" si="57"/>
        <v>2440</v>
      </c>
      <c r="N147" s="56">
        <f t="shared" si="57"/>
        <v>2320</v>
      </c>
    </row>
    <row r="148" spans="1:15">
      <c r="A148" s="113"/>
      <c r="B148" s="48" t="s">
        <v>163</v>
      </c>
      <c r="C148" s="56">
        <f>B56</f>
        <v>24400</v>
      </c>
      <c r="D148" s="56">
        <f t="shared" ref="D148:N148" si="58">C56</f>
        <v>21200</v>
      </c>
      <c r="E148" s="56">
        <f t="shared" si="58"/>
        <v>23600</v>
      </c>
      <c r="F148" s="56">
        <f t="shared" si="58"/>
        <v>23800</v>
      </c>
      <c r="G148" s="56">
        <f t="shared" si="58"/>
        <v>22600</v>
      </c>
      <c r="H148" s="56">
        <f t="shared" si="58"/>
        <v>21800</v>
      </c>
      <c r="I148" s="56">
        <f t="shared" si="58"/>
        <v>26200</v>
      </c>
      <c r="J148" s="56">
        <f t="shared" si="58"/>
        <v>21600</v>
      </c>
      <c r="K148" s="56">
        <f t="shared" si="58"/>
        <v>21800</v>
      </c>
      <c r="L148" s="56">
        <f t="shared" si="58"/>
        <v>23200</v>
      </c>
      <c r="M148" s="56">
        <f t="shared" si="58"/>
        <v>24400</v>
      </c>
      <c r="N148" s="56">
        <f t="shared" si="58"/>
        <v>23200</v>
      </c>
    </row>
    <row r="149" spans="1:15">
      <c r="A149" s="113"/>
      <c r="B149" s="48" t="s">
        <v>153</v>
      </c>
      <c r="C149" s="56">
        <f>B49</f>
        <v>2120</v>
      </c>
      <c r="D149" s="56">
        <f t="shared" ref="D149:N149" si="59">C49</f>
        <v>2360</v>
      </c>
      <c r="E149" s="56">
        <f t="shared" si="59"/>
        <v>2380</v>
      </c>
      <c r="F149" s="56">
        <f t="shared" si="59"/>
        <v>2260</v>
      </c>
      <c r="G149" s="56">
        <f t="shared" si="59"/>
        <v>2180</v>
      </c>
      <c r="H149" s="56">
        <f t="shared" si="59"/>
        <v>2620</v>
      </c>
      <c r="I149" s="56">
        <f t="shared" si="59"/>
        <v>2160</v>
      </c>
      <c r="J149" s="56">
        <f t="shared" si="59"/>
        <v>2180</v>
      </c>
      <c r="K149" s="56">
        <f t="shared" si="59"/>
        <v>2320</v>
      </c>
      <c r="L149" s="56">
        <f t="shared" si="59"/>
        <v>2440</v>
      </c>
      <c r="M149" s="56">
        <f t="shared" si="59"/>
        <v>2320</v>
      </c>
      <c r="N149" s="56">
        <f t="shared" si="59"/>
        <v>1994</v>
      </c>
    </row>
    <row r="150" spans="1:15">
      <c r="A150" s="113"/>
      <c r="B150" s="48" t="s">
        <v>164</v>
      </c>
      <c r="C150" s="56">
        <f>C148+C149-C147</f>
        <v>24080</v>
      </c>
      <c r="D150" s="71">
        <f t="shared" ref="D150:N150" si="60">D148+D149-D147</f>
        <v>21440</v>
      </c>
      <c r="E150" s="71">
        <f t="shared" si="60"/>
        <v>23620</v>
      </c>
      <c r="F150" s="71">
        <f t="shared" si="60"/>
        <v>23680</v>
      </c>
      <c r="G150" s="71">
        <f t="shared" si="60"/>
        <v>22520</v>
      </c>
      <c r="H150" s="71">
        <f t="shared" si="60"/>
        <v>22240</v>
      </c>
      <c r="I150" s="71">
        <f t="shared" si="60"/>
        <v>25740</v>
      </c>
      <c r="J150" s="71">
        <f t="shared" si="60"/>
        <v>21620</v>
      </c>
      <c r="K150" s="71">
        <f t="shared" si="60"/>
        <v>21940</v>
      </c>
      <c r="L150" s="71">
        <f t="shared" si="60"/>
        <v>23320</v>
      </c>
      <c r="M150" s="71">
        <f t="shared" si="60"/>
        <v>24280</v>
      </c>
      <c r="N150" s="71">
        <f t="shared" si="60"/>
        <v>22874</v>
      </c>
    </row>
    <row r="151" spans="1:15">
      <c r="A151" s="113"/>
      <c r="B151" s="48" t="s">
        <v>165</v>
      </c>
      <c r="C151" s="73">
        <f t="shared" ref="C151:N151" si="61">(C150*$S$13)/1000</f>
        <v>216.72</v>
      </c>
      <c r="D151" s="73">
        <f t="shared" si="61"/>
        <v>192.96</v>
      </c>
      <c r="E151" s="73">
        <f t="shared" si="61"/>
        <v>212.58</v>
      </c>
      <c r="F151" s="73">
        <f t="shared" si="61"/>
        <v>213.12</v>
      </c>
      <c r="G151" s="73">
        <f t="shared" si="61"/>
        <v>202.68</v>
      </c>
      <c r="H151" s="73">
        <f t="shared" si="61"/>
        <v>200.16</v>
      </c>
      <c r="I151" s="73">
        <f t="shared" si="61"/>
        <v>231.66</v>
      </c>
      <c r="J151" s="73">
        <f t="shared" si="61"/>
        <v>194.58</v>
      </c>
      <c r="K151" s="73">
        <f t="shared" si="61"/>
        <v>197.46</v>
      </c>
      <c r="L151" s="73">
        <f t="shared" si="61"/>
        <v>209.88</v>
      </c>
      <c r="M151" s="73">
        <f t="shared" si="61"/>
        <v>218.52</v>
      </c>
      <c r="N151" s="73">
        <f t="shared" si="61"/>
        <v>205.86600000000001</v>
      </c>
    </row>
    <row r="152" spans="1:15">
      <c r="A152" s="186" t="s">
        <v>167</v>
      </c>
      <c r="B152" s="48" t="s">
        <v>151</v>
      </c>
      <c r="C152" s="56">
        <f>A28</f>
        <v>3416</v>
      </c>
      <c r="D152" s="56">
        <f>C154</f>
        <v>2968</v>
      </c>
      <c r="E152" s="56">
        <f t="shared" ref="E152:N152" si="62">D154</f>
        <v>3304</v>
      </c>
      <c r="F152" s="56">
        <f t="shared" si="62"/>
        <v>3332</v>
      </c>
      <c r="G152" s="56">
        <f t="shared" si="62"/>
        <v>3164</v>
      </c>
      <c r="H152" s="56">
        <f t="shared" si="62"/>
        <v>3052</v>
      </c>
      <c r="I152" s="56">
        <f t="shared" si="62"/>
        <v>3668</v>
      </c>
      <c r="J152" s="56">
        <f t="shared" si="62"/>
        <v>3024</v>
      </c>
      <c r="K152" s="56">
        <f t="shared" si="62"/>
        <v>3052</v>
      </c>
      <c r="L152" s="56">
        <f t="shared" si="62"/>
        <v>3248</v>
      </c>
      <c r="M152" s="56">
        <f t="shared" si="62"/>
        <v>3416</v>
      </c>
      <c r="N152" s="56">
        <f t="shared" si="62"/>
        <v>3248</v>
      </c>
    </row>
    <row r="153" spans="1:15">
      <c r="A153" s="113"/>
      <c r="B153" s="48" t="s">
        <v>163</v>
      </c>
      <c r="C153" s="56">
        <f>B57</f>
        <v>34160</v>
      </c>
      <c r="D153" s="56">
        <f t="shared" ref="D153:N153" si="63">C57</f>
        <v>29680</v>
      </c>
      <c r="E153" s="56">
        <f t="shared" si="63"/>
        <v>33040</v>
      </c>
      <c r="F153" s="56">
        <f t="shared" si="63"/>
        <v>33320</v>
      </c>
      <c r="G153" s="56">
        <f t="shared" si="63"/>
        <v>31640</v>
      </c>
      <c r="H153" s="56">
        <f t="shared" si="63"/>
        <v>30520</v>
      </c>
      <c r="I153" s="56">
        <f t="shared" si="63"/>
        <v>36680</v>
      </c>
      <c r="J153" s="56">
        <f t="shared" si="63"/>
        <v>30240</v>
      </c>
      <c r="K153" s="56">
        <f t="shared" si="63"/>
        <v>30520</v>
      </c>
      <c r="L153" s="56">
        <f t="shared" si="63"/>
        <v>32480</v>
      </c>
      <c r="M153" s="56">
        <f t="shared" si="63"/>
        <v>34160</v>
      </c>
      <c r="N153" s="56">
        <f t="shared" si="63"/>
        <v>32480</v>
      </c>
    </row>
    <row r="154" spans="1:15">
      <c r="A154" s="113"/>
      <c r="B154" s="48" t="s">
        <v>153</v>
      </c>
      <c r="C154" s="56">
        <f>B50</f>
        <v>2968</v>
      </c>
      <c r="D154" s="56">
        <f t="shared" ref="D154:N154" si="64">C50</f>
        <v>3304</v>
      </c>
      <c r="E154" s="56">
        <f t="shared" si="64"/>
        <v>3332</v>
      </c>
      <c r="F154" s="56">
        <f t="shared" si="64"/>
        <v>3164</v>
      </c>
      <c r="G154" s="56">
        <f t="shared" si="64"/>
        <v>3052</v>
      </c>
      <c r="H154" s="56">
        <f t="shared" si="64"/>
        <v>3668</v>
      </c>
      <c r="I154" s="56">
        <f t="shared" si="64"/>
        <v>3024</v>
      </c>
      <c r="J154" s="56">
        <f t="shared" si="64"/>
        <v>3052</v>
      </c>
      <c r="K154" s="56">
        <f t="shared" si="64"/>
        <v>3248</v>
      </c>
      <c r="L154" s="56">
        <f t="shared" si="64"/>
        <v>3416</v>
      </c>
      <c r="M154" s="56">
        <f t="shared" si="64"/>
        <v>3248</v>
      </c>
      <c r="N154" s="56">
        <f t="shared" si="64"/>
        <v>2792</v>
      </c>
    </row>
    <row r="155" spans="1:15">
      <c r="A155" s="113"/>
      <c r="B155" s="48" t="s">
        <v>164</v>
      </c>
      <c r="C155" s="56">
        <f>C153+C154-C152</f>
        <v>33712</v>
      </c>
      <c r="D155" s="71">
        <f t="shared" ref="D155:N155" si="65">D153+D154-D152</f>
        <v>30016</v>
      </c>
      <c r="E155" s="71">
        <f t="shared" si="65"/>
        <v>33068</v>
      </c>
      <c r="F155" s="71">
        <f t="shared" si="65"/>
        <v>33152</v>
      </c>
      <c r="G155" s="71">
        <f t="shared" si="65"/>
        <v>31528</v>
      </c>
      <c r="H155" s="71">
        <f t="shared" si="65"/>
        <v>31136</v>
      </c>
      <c r="I155" s="71">
        <f t="shared" si="65"/>
        <v>36036</v>
      </c>
      <c r="J155" s="71">
        <f t="shared" si="65"/>
        <v>30268</v>
      </c>
      <c r="K155" s="71">
        <f t="shared" si="65"/>
        <v>30716</v>
      </c>
      <c r="L155" s="71">
        <f t="shared" si="65"/>
        <v>32648</v>
      </c>
      <c r="M155" s="71">
        <f t="shared" si="65"/>
        <v>33992</v>
      </c>
      <c r="N155" s="71">
        <f t="shared" si="65"/>
        <v>32024</v>
      </c>
    </row>
    <row r="156" spans="1:15">
      <c r="A156" s="113"/>
      <c r="B156" s="48" t="s">
        <v>165</v>
      </c>
      <c r="C156" s="73">
        <f t="shared" ref="C156:N156" si="66">(C155*$S$14)/1000</f>
        <v>337.12</v>
      </c>
      <c r="D156" s="73">
        <f t="shared" si="66"/>
        <v>300.16000000000003</v>
      </c>
      <c r="E156" s="73">
        <f t="shared" si="66"/>
        <v>330.68</v>
      </c>
      <c r="F156" s="73">
        <f t="shared" si="66"/>
        <v>331.52</v>
      </c>
      <c r="G156" s="73">
        <f t="shared" si="66"/>
        <v>315.27999999999997</v>
      </c>
      <c r="H156" s="73">
        <f t="shared" si="66"/>
        <v>311.36</v>
      </c>
      <c r="I156" s="73">
        <f t="shared" si="66"/>
        <v>360.36</v>
      </c>
      <c r="J156" s="73">
        <f t="shared" si="66"/>
        <v>302.68</v>
      </c>
      <c r="K156" s="73">
        <f t="shared" si="66"/>
        <v>307.16000000000003</v>
      </c>
      <c r="L156" s="73">
        <f t="shared" si="66"/>
        <v>326.48</v>
      </c>
      <c r="M156" s="73">
        <f t="shared" si="66"/>
        <v>339.92</v>
      </c>
      <c r="N156" s="73">
        <f t="shared" si="66"/>
        <v>320.24</v>
      </c>
    </row>
    <row r="157" spans="1:15">
      <c r="A157" s="48" t="s">
        <v>142</v>
      </c>
      <c r="B157" s="48" t="s">
        <v>162</v>
      </c>
      <c r="C157" s="3">
        <f>B142</f>
        <v>770</v>
      </c>
      <c r="D157" s="3">
        <f t="shared" ref="D157:O157" si="67">C142</f>
        <v>800</v>
      </c>
      <c r="E157" s="3">
        <f t="shared" si="67"/>
        <v>750.00000000000011</v>
      </c>
      <c r="F157" s="3">
        <f t="shared" si="67"/>
        <v>729.99999999999989</v>
      </c>
      <c r="G157" s="3">
        <f t="shared" si="67"/>
        <v>689.99999999999989</v>
      </c>
      <c r="H157" s="3">
        <f t="shared" si="67"/>
        <v>669.99999999999989</v>
      </c>
      <c r="I157" s="3">
        <f t="shared" si="67"/>
        <v>440</v>
      </c>
      <c r="J157" s="3">
        <f t="shared" si="67"/>
        <v>930</v>
      </c>
      <c r="K157" s="3">
        <f t="shared" si="67"/>
        <v>930</v>
      </c>
      <c r="L157" s="3">
        <f t="shared" si="67"/>
        <v>840</v>
      </c>
      <c r="M157" s="3">
        <f t="shared" si="67"/>
        <v>620</v>
      </c>
      <c r="N157" s="3">
        <f t="shared" si="67"/>
        <v>730</v>
      </c>
      <c r="O157" s="37">
        <f t="shared" si="67"/>
        <v>8900</v>
      </c>
    </row>
    <row r="158" spans="1:15">
      <c r="A158" s="186" t="s">
        <v>168</v>
      </c>
      <c r="B158" s="48" t="s">
        <v>151</v>
      </c>
      <c r="C158" s="56">
        <f>A29</f>
        <v>1694</v>
      </c>
      <c r="D158" s="56">
        <f>C160</f>
        <v>1760</v>
      </c>
      <c r="E158" s="56">
        <f t="shared" ref="E158:N158" si="68">D160</f>
        <v>1650</v>
      </c>
      <c r="F158" s="56">
        <f t="shared" si="68"/>
        <v>1606</v>
      </c>
      <c r="G158" s="56">
        <f t="shared" si="68"/>
        <v>1518</v>
      </c>
      <c r="H158" s="56">
        <f t="shared" si="68"/>
        <v>1474</v>
      </c>
      <c r="I158" s="56">
        <f t="shared" si="68"/>
        <v>968</v>
      </c>
      <c r="J158" s="56">
        <f t="shared" si="68"/>
        <v>2046</v>
      </c>
      <c r="K158" s="56">
        <f t="shared" si="68"/>
        <v>2046</v>
      </c>
      <c r="L158" s="56">
        <f t="shared" si="68"/>
        <v>1848</v>
      </c>
      <c r="M158" s="56">
        <f t="shared" si="68"/>
        <v>1364</v>
      </c>
      <c r="N158" s="56">
        <f t="shared" si="68"/>
        <v>1606</v>
      </c>
    </row>
    <row r="159" spans="1:15">
      <c r="A159" s="113"/>
      <c r="B159" s="48" t="s">
        <v>163</v>
      </c>
      <c r="C159" s="56">
        <f>B58</f>
        <v>16940</v>
      </c>
      <c r="D159" s="56">
        <f t="shared" ref="D159:M159" si="69">C58</f>
        <v>17600</v>
      </c>
      <c r="E159" s="56">
        <f t="shared" si="69"/>
        <v>16500</v>
      </c>
      <c r="F159" s="56">
        <f t="shared" si="69"/>
        <v>16060</v>
      </c>
      <c r="G159" s="56">
        <f t="shared" si="69"/>
        <v>15180</v>
      </c>
      <c r="H159" s="56">
        <f t="shared" si="69"/>
        <v>14740</v>
      </c>
      <c r="I159" s="56">
        <f t="shared" si="69"/>
        <v>9680</v>
      </c>
      <c r="J159" s="56">
        <f t="shared" si="69"/>
        <v>20460</v>
      </c>
      <c r="K159" s="56">
        <f t="shared" si="69"/>
        <v>20460</v>
      </c>
      <c r="L159" s="56">
        <f t="shared" si="69"/>
        <v>18480</v>
      </c>
      <c r="M159" s="56">
        <f t="shared" si="69"/>
        <v>13640</v>
      </c>
      <c r="N159" s="56">
        <f>M58</f>
        <v>16060</v>
      </c>
    </row>
    <row r="160" spans="1:15">
      <c r="A160" s="113"/>
      <c r="B160" s="48" t="s">
        <v>153</v>
      </c>
      <c r="C160" s="56">
        <f>B51</f>
        <v>1760</v>
      </c>
      <c r="D160" s="56">
        <f t="shared" ref="D160:N160" si="70">C51</f>
        <v>1650</v>
      </c>
      <c r="E160" s="56">
        <f t="shared" si="70"/>
        <v>1606</v>
      </c>
      <c r="F160" s="56">
        <f t="shared" si="70"/>
        <v>1518</v>
      </c>
      <c r="G160" s="56">
        <f t="shared" si="70"/>
        <v>1474</v>
      </c>
      <c r="H160" s="56">
        <f t="shared" si="70"/>
        <v>968</v>
      </c>
      <c r="I160" s="56">
        <f t="shared" si="70"/>
        <v>2046</v>
      </c>
      <c r="J160" s="56">
        <f t="shared" si="70"/>
        <v>2046</v>
      </c>
      <c r="K160" s="56">
        <f t="shared" si="70"/>
        <v>1848</v>
      </c>
      <c r="L160" s="56">
        <f t="shared" si="70"/>
        <v>1364</v>
      </c>
      <c r="M160" s="56">
        <f t="shared" si="70"/>
        <v>1606</v>
      </c>
      <c r="N160" s="56">
        <f t="shared" si="70"/>
        <v>1351</v>
      </c>
    </row>
    <row r="161" spans="1:16">
      <c r="A161" s="113"/>
      <c r="B161" s="48" t="s">
        <v>164</v>
      </c>
      <c r="C161" s="56">
        <f>C159+C160-C158</f>
        <v>17006</v>
      </c>
      <c r="D161" s="71">
        <f t="shared" ref="D161:N161" si="71">D159+D160-D158</f>
        <v>17490</v>
      </c>
      <c r="E161" s="71">
        <f t="shared" si="71"/>
        <v>16456</v>
      </c>
      <c r="F161" s="71">
        <f t="shared" si="71"/>
        <v>15972</v>
      </c>
      <c r="G161" s="71">
        <f t="shared" si="71"/>
        <v>15136</v>
      </c>
      <c r="H161" s="71">
        <f t="shared" si="71"/>
        <v>14234</v>
      </c>
      <c r="I161" s="71">
        <f t="shared" si="71"/>
        <v>10758</v>
      </c>
      <c r="J161" s="71">
        <f t="shared" si="71"/>
        <v>20460</v>
      </c>
      <c r="K161" s="71">
        <f t="shared" si="71"/>
        <v>20262</v>
      </c>
      <c r="L161" s="71">
        <f t="shared" si="71"/>
        <v>17996</v>
      </c>
      <c r="M161" s="71">
        <f t="shared" si="71"/>
        <v>13882</v>
      </c>
      <c r="N161" s="71">
        <f t="shared" si="71"/>
        <v>15805</v>
      </c>
    </row>
    <row r="162" spans="1:16">
      <c r="A162" s="113"/>
      <c r="B162" s="48" t="s">
        <v>165</v>
      </c>
      <c r="C162" s="73">
        <f t="shared" ref="C162:N162" si="72">(C161*$S$15)/1000</f>
        <v>136.048</v>
      </c>
      <c r="D162" s="73">
        <f t="shared" si="72"/>
        <v>139.91999999999999</v>
      </c>
      <c r="E162" s="73">
        <f t="shared" si="72"/>
        <v>131.648</v>
      </c>
      <c r="F162" s="73">
        <f t="shared" si="72"/>
        <v>127.776</v>
      </c>
      <c r="G162" s="73">
        <f t="shared" si="72"/>
        <v>121.08799999999999</v>
      </c>
      <c r="H162" s="73">
        <f t="shared" si="72"/>
        <v>113.872</v>
      </c>
      <c r="I162" s="73">
        <f t="shared" si="72"/>
        <v>86.063999999999993</v>
      </c>
      <c r="J162" s="73">
        <f t="shared" si="72"/>
        <v>163.68</v>
      </c>
      <c r="K162" s="73">
        <f t="shared" si="72"/>
        <v>162.096</v>
      </c>
      <c r="L162" s="73">
        <f t="shared" si="72"/>
        <v>143.96799999999999</v>
      </c>
      <c r="M162" s="73">
        <f t="shared" si="72"/>
        <v>111.056</v>
      </c>
      <c r="N162" s="73">
        <f t="shared" si="72"/>
        <v>126.44</v>
      </c>
    </row>
    <row r="163" spans="1:16">
      <c r="A163" s="186" t="s">
        <v>169</v>
      </c>
      <c r="B163" s="48" t="s">
        <v>151</v>
      </c>
      <c r="C163" s="56">
        <f>A30</f>
        <v>1848</v>
      </c>
      <c r="D163" s="56">
        <f>C165</f>
        <v>1920</v>
      </c>
      <c r="E163" s="56">
        <f t="shared" ref="E163:N163" si="73">D165</f>
        <v>1800</v>
      </c>
      <c r="F163" s="56">
        <f t="shared" si="73"/>
        <v>1752</v>
      </c>
      <c r="G163" s="56">
        <f t="shared" si="73"/>
        <v>1656</v>
      </c>
      <c r="H163" s="56">
        <f t="shared" si="73"/>
        <v>1608</v>
      </c>
      <c r="I163" s="56">
        <f t="shared" si="73"/>
        <v>1056</v>
      </c>
      <c r="J163" s="56">
        <f t="shared" si="73"/>
        <v>2232</v>
      </c>
      <c r="K163" s="56">
        <f t="shared" si="73"/>
        <v>2232</v>
      </c>
      <c r="L163" s="56">
        <f t="shared" si="73"/>
        <v>2016</v>
      </c>
      <c r="M163" s="56">
        <f t="shared" si="73"/>
        <v>1488</v>
      </c>
      <c r="N163" s="56">
        <f t="shared" si="73"/>
        <v>1752</v>
      </c>
      <c r="P163">
        <v>1000</v>
      </c>
    </row>
    <row r="164" spans="1:16">
      <c r="A164" s="113"/>
      <c r="B164" s="48" t="s">
        <v>163</v>
      </c>
      <c r="C164" s="56">
        <f>B59</f>
        <v>18480</v>
      </c>
      <c r="D164" s="56">
        <f t="shared" ref="D164:N164" si="74">C59</f>
        <v>19200</v>
      </c>
      <c r="E164" s="56">
        <f t="shared" si="74"/>
        <v>18000</v>
      </c>
      <c r="F164" s="56">
        <f t="shared" si="74"/>
        <v>17520</v>
      </c>
      <c r="G164" s="56">
        <f t="shared" si="74"/>
        <v>16560</v>
      </c>
      <c r="H164" s="56">
        <f t="shared" si="74"/>
        <v>16080</v>
      </c>
      <c r="I164" s="56">
        <f t="shared" si="74"/>
        <v>10560</v>
      </c>
      <c r="J164" s="56">
        <f t="shared" si="74"/>
        <v>22320</v>
      </c>
      <c r="K164" s="56">
        <f t="shared" si="74"/>
        <v>22320</v>
      </c>
      <c r="L164" s="56">
        <f t="shared" si="74"/>
        <v>20160</v>
      </c>
      <c r="M164" s="56">
        <f t="shared" si="74"/>
        <v>14880</v>
      </c>
      <c r="N164" s="56">
        <f t="shared" si="74"/>
        <v>17520</v>
      </c>
    </row>
    <row r="165" spans="1:16">
      <c r="A165" s="113"/>
      <c r="B165" s="48" t="s">
        <v>153</v>
      </c>
      <c r="C165" s="56">
        <f>B52</f>
        <v>1920</v>
      </c>
      <c r="D165" s="56">
        <f t="shared" ref="D165:N165" si="75">C52</f>
        <v>1800</v>
      </c>
      <c r="E165" s="56">
        <f t="shared" si="75"/>
        <v>1752</v>
      </c>
      <c r="F165" s="56">
        <f t="shared" si="75"/>
        <v>1656</v>
      </c>
      <c r="G165" s="56">
        <f t="shared" si="75"/>
        <v>1608</v>
      </c>
      <c r="H165" s="56">
        <f t="shared" si="75"/>
        <v>1056</v>
      </c>
      <c r="I165" s="56">
        <f t="shared" si="75"/>
        <v>2232</v>
      </c>
      <c r="J165" s="56">
        <f t="shared" si="75"/>
        <v>2232</v>
      </c>
      <c r="K165" s="56">
        <f t="shared" si="75"/>
        <v>2016</v>
      </c>
      <c r="L165" s="56">
        <f t="shared" si="75"/>
        <v>1488</v>
      </c>
      <c r="M165" s="56">
        <f t="shared" si="75"/>
        <v>1752</v>
      </c>
      <c r="N165" s="56">
        <f t="shared" si="75"/>
        <v>1474</v>
      </c>
    </row>
    <row r="166" spans="1:16">
      <c r="A166" s="113"/>
      <c r="B166" s="48" t="s">
        <v>164</v>
      </c>
      <c r="C166" s="56">
        <f>C164+C165-C163</f>
        <v>18552</v>
      </c>
      <c r="D166" s="71">
        <f t="shared" ref="D166:N166" si="76">D164+D165-D163</f>
        <v>19080</v>
      </c>
      <c r="E166" s="71">
        <f t="shared" si="76"/>
        <v>17952</v>
      </c>
      <c r="F166" s="71">
        <f t="shared" si="76"/>
        <v>17424</v>
      </c>
      <c r="G166" s="71">
        <f t="shared" si="76"/>
        <v>16512</v>
      </c>
      <c r="H166" s="71">
        <f t="shared" si="76"/>
        <v>15528</v>
      </c>
      <c r="I166" s="71">
        <f t="shared" si="76"/>
        <v>11736</v>
      </c>
      <c r="J166" s="71">
        <f t="shared" si="76"/>
        <v>22320</v>
      </c>
      <c r="K166" s="71">
        <f t="shared" si="76"/>
        <v>22104</v>
      </c>
      <c r="L166" s="71">
        <f t="shared" si="76"/>
        <v>19632</v>
      </c>
      <c r="M166" s="71">
        <f t="shared" si="76"/>
        <v>15144</v>
      </c>
      <c r="N166" s="71">
        <f t="shared" si="76"/>
        <v>17242</v>
      </c>
    </row>
    <row r="167" spans="1:16">
      <c r="A167" s="113"/>
      <c r="B167" s="48" t="s">
        <v>165</v>
      </c>
      <c r="C167" s="73">
        <f t="shared" ref="C167:N167" si="77">(C166*$S$16)/1000</f>
        <v>129.864</v>
      </c>
      <c r="D167" s="73">
        <f t="shared" si="77"/>
        <v>133.56</v>
      </c>
      <c r="E167" s="73">
        <f t="shared" si="77"/>
        <v>125.664</v>
      </c>
      <c r="F167" s="73">
        <f t="shared" si="77"/>
        <v>121.968</v>
      </c>
      <c r="G167" s="73">
        <f t="shared" si="77"/>
        <v>115.584</v>
      </c>
      <c r="H167" s="73">
        <f t="shared" si="77"/>
        <v>108.696</v>
      </c>
      <c r="I167" s="73">
        <f t="shared" si="77"/>
        <v>82.152000000000001</v>
      </c>
      <c r="J167" s="73">
        <f t="shared" si="77"/>
        <v>156.24</v>
      </c>
      <c r="K167" s="73">
        <f t="shared" si="77"/>
        <v>154.72800000000001</v>
      </c>
      <c r="L167" s="73">
        <f t="shared" si="77"/>
        <v>137.42400000000001</v>
      </c>
      <c r="M167" s="73">
        <f t="shared" si="77"/>
        <v>106.008</v>
      </c>
      <c r="N167" s="73">
        <f t="shared" si="77"/>
        <v>120.694</v>
      </c>
    </row>
    <row r="168" spans="1:16">
      <c r="A168" s="48" t="s">
        <v>170</v>
      </c>
      <c r="B168" s="56"/>
      <c r="C168" s="60">
        <f>C151+C156+C162+C167</f>
        <v>819.75200000000007</v>
      </c>
      <c r="D168" s="60">
        <f t="shared" ref="D168:N168" si="78">D151+D156+D162+D167</f>
        <v>766.59999999999991</v>
      </c>
      <c r="E168" s="60">
        <f t="shared" si="78"/>
        <v>800.572</v>
      </c>
      <c r="F168" s="60">
        <f t="shared" si="78"/>
        <v>794.3839999999999</v>
      </c>
      <c r="G168" s="60">
        <f t="shared" si="78"/>
        <v>754.63200000000006</v>
      </c>
      <c r="H168" s="60">
        <f t="shared" si="78"/>
        <v>734.08799999999997</v>
      </c>
      <c r="I168" s="60">
        <f t="shared" si="78"/>
        <v>760.23599999999999</v>
      </c>
      <c r="J168" s="60">
        <f t="shared" si="78"/>
        <v>817.18000000000006</v>
      </c>
      <c r="K168" s="60">
        <f t="shared" si="78"/>
        <v>821.44399999999996</v>
      </c>
      <c r="L168" s="60">
        <f t="shared" si="78"/>
        <v>817.75199999999995</v>
      </c>
      <c r="M168" s="60">
        <f t="shared" si="78"/>
        <v>775.50400000000013</v>
      </c>
      <c r="N168" s="60">
        <f t="shared" si="78"/>
        <v>773.24</v>
      </c>
    </row>
    <row r="170" spans="1:16">
      <c r="A170" s="178" t="s">
        <v>175</v>
      </c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</row>
    <row r="171" spans="1:16">
      <c r="A171" s="56"/>
      <c r="B171" s="56" t="s">
        <v>3</v>
      </c>
      <c r="C171" s="56" t="s">
        <v>4</v>
      </c>
      <c r="D171" s="56" t="s">
        <v>5</v>
      </c>
      <c r="E171" s="56" t="s">
        <v>6</v>
      </c>
      <c r="F171" s="56" t="s">
        <v>7</v>
      </c>
      <c r="G171" s="56" t="s">
        <v>8</v>
      </c>
      <c r="H171" s="56" t="s">
        <v>9</v>
      </c>
      <c r="I171" s="56" t="s">
        <v>10</v>
      </c>
      <c r="J171" s="56" t="s">
        <v>96</v>
      </c>
      <c r="K171" s="56" t="s">
        <v>12</v>
      </c>
      <c r="L171" s="56" t="s">
        <v>13</v>
      </c>
      <c r="M171" s="56" t="s">
        <v>14</v>
      </c>
      <c r="N171" s="66" t="s">
        <v>125</v>
      </c>
    </row>
    <row r="172" spans="1:16">
      <c r="A172" s="67" t="s">
        <v>141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</row>
    <row r="173" spans="1:16">
      <c r="A173" s="48" t="s">
        <v>176</v>
      </c>
      <c r="B173" s="56">
        <f>B8</f>
        <v>22</v>
      </c>
      <c r="C173" s="56">
        <f t="shared" ref="C173:M173" si="79">C8</f>
        <v>18</v>
      </c>
      <c r="D173" s="56">
        <f t="shared" si="79"/>
        <v>22</v>
      </c>
      <c r="E173" s="56">
        <f t="shared" si="79"/>
        <v>23</v>
      </c>
      <c r="F173" s="56">
        <f t="shared" si="79"/>
        <v>21</v>
      </c>
      <c r="G173" s="56">
        <f t="shared" si="79"/>
        <v>21</v>
      </c>
      <c r="H173" s="56">
        <f t="shared" si="79"/>
        <v>23</v>
      </c>
      <c r="I173" s="56">
        <f t="shared" si="79"/>
        <v>20</v>
      </c>
      <c r="J173" s="56">
        <f t="shared" si="79"/>
        <v>21</v>
      </c>
      <c r="K173" s="56">
        <f t="shared" si="79"/>
        <v>20</v>
      </c>
      <c r="L173" s="56">
        <f t="shared" si="79"/>
        <v>22</v>
      </c>
      <c r="M173" s="56">
        <f t="shared" si="79"/>
        <v>20</v>
      </c>
      <c r="N173" s="56"/>
    </row>
    <row r="174" spans="1:16">
      <c r="A174" s="48" t="s">
        <v>177</v>
      </c>
      <c r="B174" s="56">
        <f>B8*$Q$3</f>
        <v>88</v>
      </c>
      <c r="C174" s="56">
        <f t="shared" ref="C174:M174" si="80">C8*$Q$3</f>
        <v>72</v>
      </c>
      <c r="D174" s="56">
        <f t="shared" si="80"/>
        <v>88</v>
      </c>
      <c r="E174" s="56">
        <f t="shared" si="80"/>
        <v>92</v>
      </c>
      <c r="F174" s="56">
        <f t="shared" si="80"/>
        <v>84</v>
      </c>
      <c r="G174" s="56">
        <f t="shared" si="80"/>
        <v>84</v>
      </c>
      <c r="H174" s="56">
        <f t="shared" si="80"/>
        <v>92</v>
      </c>
      <c r="I174" s="56">
        <f t="shared" si="80"/>
        <v>80</v>
      </c>
      <c r="J174" s="56">
        <f t="shared" si="80"/>
        <v>84</v>
      </c>
      <c r="K174" s="56">
        <f t="shared" si="80"/>
        <v>80</v>
      </c>
      <c r="L174" s="56">
        <f t="shared" si="80"/>
        <v>88</v>
      </c>
      <c r="M174" s="56">
        <f t="shared" si="80"/>
        <v>80</v>
      </c>
      <c r="N174" s="56"/>
    </row>
    <row r="175" spans="1:16">
      <c r="A175" s="49" t="s">
        <v>178</v>
      </c>
      <c r="B175" s="56">
        <f>B10</f>
        <v>7</v>
      </c>
      <c r="C175" s="56">
        <f t="shared" ref="C175:M175" si="81">C10</f>
        <v>4</v>
      </c>
      <c r="D175" s="56">
        <f t="shared" si="81"/>
        <v>6</v>
      </c>
      <c r="E175" s="56">
        <f t="shared" si="81"/>
        <v>5</v>
      </c>
      <c r="F175" s="56">
        <f t="shared" si="81"/>
        <v>3</v>
      </c>
      <c r="G175" s="56">
        <f t="shared" si="81"/>
        <v>2</v>
      </c>
      <c r="H175" s="56">
        <f t="shared" si="81"/>
        <v>4</v>
      </c>
      <c r="I175" s="56">
        <f t="shared" si="81"/>
        <v>6</v>
      </c>
      <c r="J175" s="56">
        <f t="shared" si="81"/>
        <v>6</v>
      </c>
      <c r="K175" s="56">
        <f t="shared" si="81"/>
        <v>6</v>
      </c>
      <c r="L175" s="56">
        <f t="shared" si="81"/>
        <v>4</v>
      </c>
      <c r="M175" s="56">
        <f t="shared" si="81"/>
        <v>5</v>
      </c>
      <c r="N175" s="56"/>
    </row>
    <row r="176" spans="1:16">
      <c r="A176" s="49" t="s">
        <v>179</v>
      </c>
      <c r="B176" s="56">
        <f>B10*$R$3</f>
        <v>28</v>
      </c>
      <c r="C176" s="56">
        <f t="shared" ref="C176:M176" si="82">C10*$R$3</f>
        <v>16</v>
      </c>
      <c r="D176" s="56">
        <f t="shared" si="82"/>
        <v>24</v>
      </c>
      <c r="E176" s="56">
        <f t="shared" si="82"/>
        <v>20</v>
      </c>
      <c r="F176" s="56">
        <f t="shared" si="82"/>
        <v>12</v>
      </c>
      <c r="G176" s="56">
        <f t="shared" si="82"/>
        <v>8</v>
      </c>
      <c r="H176" s="56">
        <f t="shared" si="82"/>
        <v>16</v>
      </c>
      <c r="I176" s="56">
        <f t="shared" si="82"/>
        <v>24</v>
      </c>
      <c r="J176" s="56">
        <f t="shared" si="82"/>
        <v>24</v>
      </c>
      <c r="K176" s="56">
        <f t="shared" si="82"/>
        <v>24</v>
      </c>
      <c r="L176" s="56">
        <f t="shared" si="82"/>
        <v>16</v>
      </c>
      <c r="M176" s="56">
        <f t="shared" si="82"/>
        <v>20</v>
      </c>
      <c r="N176" s="56"/>
    </row>
    <row r="177" spans="1:16">
      <c r="A177" s="67" t="s">
        <v>142</v>
      </c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</row>
    <row r="178" spans="1:16">
      <c r="A178" s="48" t="s">
        <v>176</v>
      </c>
      <c r="B178" s="56">
        <f>B10</f>
        <v>7</v>
      </c>
      <c r="C178" s="56">
        <f t="shared" ref="C178:M178" si="83">C10</f>
        <v>4</v>
      </c>
      <c r="D178" s="56">
        <f t="shared" si="83"/>
        <v>6</v>
      </c>
      <c r="E178" s="56">
        <f t="shared" si="83"/>
        <v>5</v>
      </c>
      <c r="F178" s="56">
        <f t="shared" si="83"/>
        <v>3</v>
      </c>
      <c r="G178" s="56">
        <f t="shared" si="83"/>
        <v>2</v>
      </c>
      <c r="H178" s="56">
        <f t="shared" si="83"/>
        <v>4</v>
      </c>
      <c r="I178" s="56">
        <f t="shared" si="83"/>
        <v>6</v>
      </c>
      <c r="J178" s="56">
        <f t="shared" si="83"/>
        <v>6</v>
      </c>
      <c r="K178" s="56">
        <f t="shared" si="83"/>
        <v>6</v>
      </c>
      <c r="L178" s="56">
        <f t="shared" si="83"/>
        <v>4</v>
      </c>
      <c r="M178" s="56">
        <f t="shared" si="83"/>
        <v>5</v>
      </c>
      <c r="N178" s="56"/>
    </row>
    <row r="179" spans="1:16">
      <c r="A179" s="48" t="s">
        <v>177</v>
      </c>
      <c r="B179" s="56">
        <f>B10*$S$3</f>
        <v>21</v>
      </c>
      <c r="C179" s="56">
        <f t="shared" ref="C179:M179" si="84">C10*$S$3</f>
        <v>12</v>
      </c>
      <c r="D179" s="56">
        <f t="shared" si="84"/>
        <v>18</v>
      </c>
      <c r="E179" s="56">
        <f t="shared" si="84"/>
        <v>15</v>
      </c>
      <c r="F179" s="56">
        <f t="shared" si="84"/>
        <v>9</v>
      </c>
      <c r="G179" s="56">
        <f t="shared" si="84"/>
        <v>6</v>
      </c>
      <c r="H179" s="56">
        <f t="shared" si="84"/>
        <v>12</v>
      </c>
      <c r="I179" s="56">
        <f t="shared" si="84"/>
        <v>18</v>
      </c>
      <c r="J179" s="56">
        <f t="shared" si="84"/>
        <v>18</v>
      </c>
      <c r="K179" s="56">
        <f t="shared" si="84"/>
        <v>18</v>
      </c>
      <c r="L179" s="56">
        <f t="shared" si="84"/>
        <v>12</v>
      </c>
      <c r="M179" s="56">
        <f t="shared" si="84"/>
        <v>15</v>
      </c>
      <c r="N179" s="56"/>
    </row>
    <row r="180" spans="1:16">
      <c r="A180" s="49" t="s">
        <v>178</v>
      </c>
      <c r="B180" s="56">
        <v>0</v>
      </c>
      <c r="C180" s="56">
        <v>0</v>
      </c>
      <c r="D180" s="56">
        <v>0</v>
      </c>
      <c r="E180" s="56">
        <v>0</v>
      </c>
      <c r="F180" s="56">
        <v>0</v>
      </c>
      <c r="G180" s="56">
        <v>0</v>
      </c>
      <c r="H180" s="56">
        <v>0</v>
      </c>
      <c r="I180" s="56">
        <v>0</v>
      </c>
      <c r="J180" s="56">
        <v>0</v>
      </c>
      <c r="K180" s="56">
        <v>0</v>
      </c>
      <c r="L180" s="56">
        <v>0</v>
      </c>
      <c r="M180" s="56">
        <v>0</v>
      </c>
      <c r="N180" s="56"/>
    </row>
    <row r="181" spans="1:16">
      <c r="A181" s="49" t="s">
        <v>179</v>
      </c>
      <c r="B181" s="56">
        <v>0</v>
      </c>
      <c r="C181" s="56">
        <v>0</v>
      </c>
      <c r="D181" s="56">
        <v>0</v>
      </c>
      <c r="E181" s="56">
        <v>0</v>
      </c>
      <c r="F181" s="56">
        <v>0</v>
      </c>
      <c r="G181" s="56">
        <v>0</v>
      </c>
      <c r="H181" s="56">
        <v>0</v>
      </c>
      <c r="I181" s="56">
        <v>0</v>
      </c>
      <c r="J181" s="56">
        <v>0</v>
      </c>
      <c r="K181" s="56">
        <v>0</v>
      </c>
      <c r="L181" s="56">
        <v>0</v>
      </c>
      <c r="M181" s="56">
        <v>0</v>
      </c>
      <c r="N181" s="56"/>
    </row>
    <row r="182" spans="1:16">
      <c r="A182" s="49" t="s">
        <v>180</v>
      </c>
      <c r="B182" s="56">
        <f>B173+B175+B178+B180</f>
        <v>36</v>
      </c>
      <c r="C182" s="56">
        <f t="shared" ref="C182:M182" si="85">C173+C175+C178+C180</f>
        <v>26</v>
      </c>
      <c r="D182" s="56">
        <f t="shared" si="85"/>
        <v>34</v>
      </c>
      <c r="E182" s="56">
        <f t="shared" si="85"/>
        <v>33</v>
      </c>
      <c r="F182" s="56">
        <f t="shared" si="85"/>
        <v>27</v>
      </c>
      <c r="G182" s="56">
        <f t="shared" si="85"/>
        <v>25</v>
      </c>
      <c r="H182" s="56">
        <f t="shared" si="85"/>
        <v>31</v>
      </c>
      <c r="I182" s="56">
        <f t="shared" si="85"/>
        <v>32</v>
      </c>
      <c r="J182" s="56">
        <f t="shared" si="85"/>
        <v>33</v>
      </c>
      <c r="K182" s="56">
        <f t="shared" si="85"/>
        <v>32</v>
      </c>
      <c r="L182" s="56">
        <f t="shared" si="85"/>
        <v>30</v>
      </c>
      <c r="M182" s="56">
        <f t="shared" si="85"/>
        <v>30</v>
      </c>
      <c r="N182" s="56"/>
    </row>
    <row r="183" spans="1:16">
      <c r="A183" s="49" t="s">
        <v>181</v>
      </c>
      <c r="B183" s="56">
        <f>B174+B176+B179+B181</f>
        <v>137</v>
      </c>
      <c r="C183" s="56">
        <f t="shared" ref="C183:M183" si="86">C174+C176+C179+C181</f>
        <v>100</v>
      </c>
      <c r="D183" s="56">
        <f t="shared" si="86"/>
        <v>130</v>
      </c>
      <c r="E183" s="56">
        <f t="shared" si="86"/>
        <v>127</v>
      </c>
      <c r="F183" s="56">
        <f t="shared" si="86"/>
        <v>105</v>
      </c>
      <c r="G183" s="56">
        <f t="shared" si="86"/>
        <v>98</v>
      </c>
      <c r="H183" s="56">
        <f t="shared" si="86"/>
        <v>120</v>
      </c>
      <c r="I183" s="56">
        <f t="shared" si="86"/>
        <v>122</v>
      </c>
      <c r="J183" s="56">
        <f t="shared" si="86"/>
        <v>126</v>
      </c>
      <c r="K183" s="56">
        <f t="shared" si="86"/>
        <v>122</v>
      </c>
      <c r="L183" s="56">
        <f t="shared" si="86"/>
        <v>116</v>
      </c>
      <c r="M183" s="56">
        <f t="shared" si="86"/>
        <v>115</v>
      </c>
      <c r="N183" s="56"/>
    </row>
    <row r="184" spans="1:16">
      <c r="A184" s="49" t="s">
        <v>182</v>
      </c>
      <c r="B184" s="73">
        <f t="shared" ref="B184:M184" si="87">(B174*$Q4*$Q9+B176*$R4*$Q9+B179*$S4*$Q9+B181*$T4*$Q9)/1000</f>
        <v>40.651636363636364</v>
      </c>
      <c r="C184" s="73">
        <f t="shared" si="87"/>
        <v>29.672727272727272</v>
      </c>
      <c r="D184" s="73">
        <f t="shared" si="87"/>
        <v>38.574545454545451</v>
      </c>
      <c r="E184" s="73">
        <f t="shared" si="87"/>
        <v>37.684363636363635</v>
      </c>
      <c r="F184" s="73">
        <f t="shared" si="87"/>
        <v>31.156363636363636</v>
      </c>
      <c r="G184" s="73">
        <f t="shared" si="87"/>
        <v>29.079272727272727</v>
      </c>
      <c r="H184" s="73">
        <f t="shared" si="87"/>
        <v>35.607272727272722</v>
      </c>
      <c r="I184" s="73">
        <f t="shared" si="87"/>
        <v>36.200727272727271</v>
      </c>
      <c r="J184" s="73">
        <f t="shared" si="87"/>
        <v>37.387636363636361</v>
      </c>
      <c r="K184" s="73">
        <f t="shared" si="87"/>
        <v>36.200727272727271</v>
      </c>
      <c r="L184" s="73">
        <f t="shared" si="87"/>
        <v>34.420363636363632</v>
      </c>
      <c r="M184" s="73">
        <f t="shared" si="87"/>
        <v>34.123636363636358</v>
      </c>
      <c r="N184" s="56"/>
      <c r="P184">
        <v>1000</v>
      </c>
    </row>
    <row r="185" spans="1:16">
      <c r="A185" s="49" t="s">
        <v>183</v>
      </c>
      <c r="B185" s="73">
        <v>0</v>
      </c>
      <c r="C185" s="73">
        <v>0</v>
      </c>
      <c r="D185" s="73">
        <v>0</v>
      </c>
      <c r="E185" s="73">
        <v>0</v>
      </c>
      <c r="F185" s="73">
        <v>0</v>
      </c>
      <c r="G185" s="73">
        <v>0</v>
      </c>
      <c r="H185" s="73">
        <v>0</v>
      </c>
      <c r="I185" s="73">
        <v>0</v>
      </c>
      <c r="J185" s="73">
        <v>0</v>
      </c>
      <c r="K185" s="73">
        <v>0</v>
      </c>
      <c r="L185" s="73">
        <v>0</v>
      </c>
      <c r="M185" s="73">
        <v>0</v>
      </c>
      <c r="N185" s="56"/>
    </row>
    <row r="186" spans="1:16">
      <c r="A186" s="49" t="s">
        <v>184</v>
      </c>
      <c r="B186" s="73">
        <f>B184</f>
        <v>40.651636363636364</v>
      </c>
      <c r="C186" s="73">
        <f t="shared" ref="C186:M186" si="88">C184</f>
        <v>29.672727272727272</v>
      </c>
      <c r="D186" s="73">
        <f t="shared" si="88"/>
        <v>38.574545454545451</v>
      </c>
      <c r="E186" s="73">
        <f t="shared" si="88"/>
        <v>37.684363636363635</v>
      </c>
      <c r="F186" s="73">
        <f t="shared" si="88"/>
        <v>31.156363636363636</v>
      </c>
      <c r="G186" s="73">
        <f t="shared" si="88"/>
        <v>29.079272727272727</v>
      </c>
      <c r="H186" s="73">
        <f t="shared" si="88"/>
        <v>35.607272727272722</v>
      </c>
      <c r="I186" s="73">
        <f t="shared" si="88"/>
        <v>36.200727272727271</v>
      </c>
      <c r="J186" s="73">
        <f t="shared" si="88"/>
        <v>37.387636363636361</v>
      </c>
      <c r="K186" s="73">
        <f t="shared" si="88"/>
        <v>36.200727272727271</v>
      </c>
      <c r="L186" s="73">
        <f t="shared" si="88"/>
        <v>34.420363636363632</v>
      </c>
      <c r="M186" s="73">
        <f t="shared" si="88"/>
        <v>34.123636363636358</v>
      </c>
      <c r="N186" s="56"/>
    </row>
    <row r="187" spans="1:16">
      <c r="A187" s="49" t="s">
        <v>185</v>
      </c>
      <c r="B187" s="73">
        <f>B186*0.8</f>
        <v>32.521309090909092</v>
      </c>
      <c r="C187" s="73">
        <f t="shared" ref="C187:M187" si="89">C186*0.8</f>
        <v>23.738181818181818</v>
      </c>
      <c r="D187" s="73">
        <f t="shared" si="89"/>
        <v>30.859636363636362</v>
      </c>
      <c r="E187" s="73">
        <f t="shared" si="89"/>
        <v>30.147490909090909</v>
      </c>
      <c r="F187" s="73">
        <f t="shared" si="89"/>
        <v>24.925090909090912</v>
      </c>
      <c r="G187" s="73">
        <f t="shared" si="89"/>
        <v>23.263418181818182</v>
      </c>
      <c r="H187" s="73">
        <f t="shared" si="89"/>
        <v>28.485818181818178</v>
      </c>
      <c r="I187" s="73">
        <f t="shared" si="89"/>
        <v>28.960581818181819</v>
      </c>
      <c r="J187" s="73">
        <f t="shared" si="89"/>
        <v>29.910109090909089</v>
      </c>
      <c r="K187" s="73">
        <f t="shared" si="89"/>
        <v>28.960581818181819</v>
      </c>
      <c r="L187" s="73">
        <f t="shared" si="89"/>
        <v>27.536290909090908</v>
      </c>
      <c r="M187" s="73">
        <f t="shared" si="89"/>
        <v>27.298909090909088</v>
      </c>
      <c r="N187" s="56"/>
    </row>
    <row r="188" spans="1:16">
      <c r="A188" s="49" t="s">
        <v>186</v>
      </c>
      <c r="B188" s="73">
        <f>B186+B187</f>
        <v>73.172945454545456</v>
      </c>
      <c r="C188" s="73">
        <f t="shared" ref="C188:M188" si="90">C186+C187</f>
        <v>53.410909090909087</v>
      </c>
      <c r="D188" s="73">
        <f t="shared" si="90"/>
        <v>69.434181818181813</v>
      </c>
      <c r="E188" s="73">
        <f t="shared" si="90"/>
        <v>67.831854545454547</v>
      </c>
      <c r="F188" s="73">
        <f t="shared" si="90"/>
        <v>56.081454545454548</v>
      </c>
      <c r="G188" s="73">
        <f t="shared" si="90"/>
        <v>52.342690909090905</v>
      </c>
      <c r="H188" s="73">
        <f t="shared" si="90"/>
        <v>64.093090909090904</v>
      </c>
      <c r="I188" s="73">
        <f t="shared" si="90"/>
        <v>65.161309090909086</v>
      </c>
      <c r="J188" s="73">
        <f t="shared" si="90"/>
        <v>67.297745454545449</v>
      </c>
      <c r="K188" s="73">
        <f t="shared" si="90"/>
        <v>65.161309090909086</v>
      </c>
      <c r="L188" s="73">
        <f t="shared" si="90"/>
        <v>61.956654545454541</v>
      </c>
      <c r="M188" s="73">
        <f t="shared" si="90"/>
        <v>61.422545454545443</v>
      </c>
      <c r="N188" s="56"/>
    </row>
    <row r="189" spans="1:16">
      <c r="A189" s="46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11"/>
    </row>
    <row r="190" spans="1:16">
      <c r="B190" s="155" t="s">
        <v>226</v>
      </c>
      <c r="C190" s="155"/>
      <c r="D190" s="155"/>
      <c r="E190" s="155"/>
      <c r="F190" s="76"/>
      <c r="G190" s="155" t="s">
        <v>227</v>
      </c>
      <c r="H190" s="155"/>
      <c r="I190" s="155"/>
      <c r="J190" s="155"/>
      <c r="K190" s="76"/>
      <c r="L190" s="155" t="s">
        <v>228</v>
      </c>
      <c r="M190" s="155"/>
      <c r="N190" s="155"/>
      <c r="O190" s="155"/>
    </row>
    <row r="191" spans="1:16">
      <c r="A191" s="46"/>
      <c r="B191" s="73" t="s">
        <v>222</v>
      </c>
      <c r="C191" s="73" t="s">
        <v>223</v>
      </c>
      <c r="D191" s="73" t="s">
        <v>224</v>
      </c>
      <c r="E191" s="73" t="s">
        <v>225</v>
      </c>
      <c r="F191" s="75"/>
      <c r="G191" s="73" t="s">
        <v>222</v>
      </c>
      <c r="H191" s="73" t="s">
        <v>223</v>
      </c>
      <c r="I191" s="73" t="s">
        <v>224</v>
      </c>
      <c r="J191" s="73" t="s">
        <v>225</v>
      </c>
      <c r="K191" s="75"/>
      <c r="L191" s="73" t="s">
        <v>222</v>
      </c>
      <c r="M191" s="73" t="s">
        <v>223</v>
      </c>
      <c r="N191" s="73" t="s">
        <v>224</v>
      </c>
      <c r="O191" s="73" t="s">
        <v>225</v>
      </c>
    </row>
    <row r="192" spans="1:16">
      <c r="A192" s="46"/>
      <c r="B192" s="73">
        <f>($Q13*$Q19*S13+$Q14*$Q19*S14)/$Q19</f>
        <v>230</v>
      </c>
      <c r="C192" s="73">
        <f>(Q13*Q20*S13+Q14*Q20*S14)/Q20</f>
        <v>230</v>
      </c>
      <c r="D192" s="73">
        <f>(Q15*Q21*S15+Q16*Q22*S16)/100</f>
        <v>344.8</v>
      </c>
      <c r="E192" s="73">
        <f>(Q15*Q22*S15+Q16*Q22*S16)/100</f>
        <v>309.60000000000002</v>
      </c>
      <c r="F192" s="75"/>
      <c r="G192" s="73">
        <f>Q3*Q4*Q9/Q19</f>
        <v>11.869090909090907</v>
      </c>
      <c r="H192" s="73">
        <f>R3*R4*Q9/Q20</f>
        <v>12.218181818181817</v>
      </c>
      <c r="I192" s="73">
        <f>S3*S4*Q9/Q21</f>
        <v>9.9966942148760314</v>
      </c>
      <c r="J192" s="73">
        <f>T3*T4*Q9/Q22</f>
        <v>15.030303030303028</v>
      </c>
      <c r="K192" s="75"/>
      <c r="L192" s="73">
        <f>B192+G192</f>
        <v>241.86909090909091</v>
      </c>
      <c r="M192" s="73">
        <f t="shared" ref="M192:O192" si="91">C192+H192</f>
        <v>242.21818181818182</v>
      </c>
      <c r="N192" s="73">
        <f t="shared" si="91"/>
        <v>354.79669421487603</v>
      </c>
      <c r="O192" s="73">
        <f t="shared" si="91"/>
        <v>324.63030303030303</v>
      </c>
    </row>
    <row r="193" spans="1:14">
      <c r="A193" s="46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11"/>
    </row>
    <row r="194" spans="1:14">
      <c r="A194" s="46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11"/>
    </row>
    <row r="196" spans="1:14">
      <c r="A196" s="179" t="s">
        <v>129</v>
      </c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1"/>
    </row>
    <row r="197" spans="1:14">
      <c r="A197" s="56"/>
      <c r="B197" s="56" t="s">
        <v>3</v>
      </c>
      <c r="C197" s="56" t="s">
        <v>4</v>
      </c>
      <c r="D197" s="56" t="s">
        <v>5</v>
      </c>
      <c r="E197" s="56" t="s">
        <v>6</v>
      </c>
      <c r="F197" s="56" t="s">
        <v>7</v>
      </c>
      <c r="G197" s="56" t="s">
        <v>8</v>
      </c>
      <c r="H197" s="56" t="s">
        <v>9</v>
      </c>
      <c r="I197" s="56" t="s">
        <v>10</v>
      </c>
      <c r="J197" s="56" t="s">
        <v>96</v>
      </c>
      <c r="K197" s="56" t="s">
        <v>12</v>
      </c>
      <c r="L197" s="56" t="s">
        <v>13</v>
      </c>
      <c r="M197" s="56" t="s">
        <v>14</v>
      </c>
      <c r="N197" s="59" t="s">
        <v>125</v>
      </c>
    </row>
    <row r="198" spans="1:14">
      <c r="A198" s="48" t="s">
        <v>129</v>
      </c>
      <c r="B198" s="3">
        <f t="shared" ref="B198:M198" si="92">(B81)</f>
        <v>0</v>
      </c>
      <c r="C198" s="3">
        <f t="shared" si="92"/>
        <v>0</v>
      </c>
      <c r="D198" s="3">
        <f t="shared" si="92"/>
        <v>0</v>
      </c>
      <c r="E198" s="3">
        <f t="shared" si="92"/>
        <v>190</v>
      </c>
      <c r="F198" s="3">
        <f t="shared" si="92"/>
        <v>190</v>
      </c>
      <c r="G198" s="3">
        <f t="shared" si="92"/>
        <v>190</v>
      </c>
      <c r="H198" s="3">
        <f t="shared" si="92"/>
        <v>190</v>
      </c>
      <c r="I198" s="3">
        <f t="shared" si="92"/>
        <v>190</v>
      </c>
      <c r="J198" s="3">
        <f t="shared" si="92"/>
        <v>0</v>
      </c>
      <c r="K198" s="3">
        <f t="shared" si="92"/>
        <v>0</v>
      </c>
      <c r="L198" s="3">
        <f t="shared" si="92"/>
        <v>0</v>
      </c>
      <c r="M198" s="3">
        <f t="shared" si="92"/>
        <v>0</v>
      </c>
      <c r="N198" s="56">
        <f>SUM(E198:I198)</f>
        <v>950</v>
      </c>
    </row>
    <row r="200" spans="1:14">
      <c r="A200" s="179" t="s">
        <v>187</v>
      </c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5"/>
    </row>
    <row r="201" spans="1:14">
      <c r="A201" s="56"/>
      <c r="B201" s="56" t="s">
        <v>3</v>
      </c>
      <c r="C201" s="56" t="s">
        <v>4</v>
      </c>
      <c r="D201" s="56" t="s">
        <v>5</v>
      </c>
      <c r="E201" s="56" t="s">
        <v>6</v>
      </c>
      <c r="F201" s="56" t="s">
        <v>7</v>
      </c>
      <c r="G201" s="56" t="s">
        <v>8</v>
      </c>
      <c r="H201" s="56" t="s">
        <v>9</v>
      </c>
      <c r="I201" s="56" t="s">
        <v>10</v>
      </c>
      <c r="J201" s="56" t="s">
        <v>96</v>
      </c>
      <c r="K201" s="56" t="s">
        <v>12</v>
      </c>
      <c r="L201" s="56" t="s">
        <v>13</v>
      </c>
      <c r="M201" s="56" t="s">
        <v>14</v>
      </c>
      <c r="N201" s="59" t="s">
        <v>125</v>
      </c>
    </row>
    <row r="202" spans="1:14">
      <c r="A202" s="48" t="s">
        <v>130</v>
      </c>
      <c r="B202" s="73">
        <f t="shared" ref="B202:M202" si="93">((B86)/1000)*1000</f>
        <v>107</v>
      </c>
      <c r="C202" s="73">
        <f t="shared" si="93"/>
        <v>107</v>
      </c>
      <c r="D202" s="73">
        <f t="shared" si="93"/>
        <v>107</v>
      </c>
      <c r="E202" s="73">
        <f t="shared" si="93"/>
        <v>97</v>
      </c>
      <c r="F202" s="73">
        <f t="shared" si="93"/>
        <v>97</v>
      </c>
      <c r="G202" s="73">
        <f t="shared" si="93"/>
        <v>97</v>
      </c>
      <c r="H202" s="73">
        <f t="shared" si="93"/>
        <v>97</v>
      </c>
      <c r="I202" s="73">
        <f t="shared" si="93"/>
        <v>97</v>
      </c>
      <c r="J202" s="73">
        <f t="shared" si="93"/>
        <v>97</v>
      </c>
      <c r="K202" s="73">
        <f t="shared" si="93"/>
        <v>97</v>
      </c>
      <c r="L202" s="73">
        <f t="shared" si="93"/>
        <v>97</v>
      </c>
      <c r="M202" s="73">
        <f t="shared" si="93"/>
        <v>97</v>
      </c>
      <c r="N202" s="73">
        <f>(SUM(B202:M202))/1000</f>
        <v>1.194</v>
      </c>
    </row>
    <row r="203" spans="1:14">
      <c r="A203" s="48" t="s">
        <v>131</v>
      </c>
      <c r="B203" s="73">
        <f t="shared" ref="B203:M203" si="94">((B87)/1000)*1000</f>
        <v>145</v>
      </c>
      <c r="C203" s="73">
        <f t="shared" si="94"/>
        <v>145</v>
      </c>
      <c r="D203" s="73">
        <f t="shared" si="94"/>
        <v>145</v>
      </c>
      <c r="E203" s="73">
        <f t="shared" si="94"/>
        <v>145</v>
      </c>
      <c r="F203" s="73">
        <f t="shared" si="94"/>
        <v>145</v>
      </c>
      <c r="G203" s="73">
        <f t="shared" si="94"/>
        <v>145</v>
      </c>
      <c r="H203" s="73">
        <f t="shared" si="94"/>
        <v>145</v>
      </c>
      <c r="I203" s="73">
        <f t="shared" si="94"/>
        <v>145</v>
      </c>
      <c r="J203" s="73">
        <f t="shared" si="94"/>
        <v>145</v>
      </c>
      <c r="K203" s="73">
        <f t="shared" si="94"/>
        <v>145</v>
      </c>
      <c r="L203" s="73">
        <f t="shared" si="94"/>
        <v>145</v>
      </c>
      <c r="M203" s="73">
        <f t="shared" si="94"/>
        <v>145</v>
      </c>
      <c r="N203" s="73">
        <f>(SUM(B203:M203))/1000</f>
        <v>1.74</v>
      </c>
    </row>
    <row r="204" spans="1:14">
      <c r="A204" s="48" t="s">
        <v>125</v>
      </c>
      <c r="B204" s="73">
        <f>B202+B203</f>
        <v>252</v>
      </c>
      <c r="C204" s="73">
        <f t="shared" ref="C204:M204" si="95">C202+C203</f>
        <v>252</v>
      </c>
      <c r="D204" s="73">
        <f t="shared" si="95"/>
        <v>252</v>
      </c>
      <c r="E204" s="73">
        <f t="shared" si="95"/>
        <v>242</v>
      </c>
      <c r="F204" s="73">
        <f t="shared" si="95"/>
        <v>242</v>
      </c>
      <c r="G204" s="73">
        <f t="shared" si="95"/>
        <v>242</v>
      </c>
      <c r="H204" s="73">
        <f t="shared" si="95"/>
        <v>242</v>
      </c>
      <c r="I204" s="73">
        <f t="shared" si="95"/>
        <v>242</v>
      </c>
      <c r="J204" s="73">
        <f t="shared" si="95"/>
        <v>242</v>
      </c>
      <c r="K204" s="73">
        <f t="shared" si="95"/>
        <v>242</v>
      </c>
      <c r="L204" s="73">
        <f t="shared" si="95"/>
        <v>242</v>
      </c>
      <c r="M204" s="73">
        <f t="shared" si="95"/>
        <v>242</v>
      </c>
      <c r="N204" s="73">
        <f>SUM(B204:M204)</f>
        <v>2934</v>
      </c>
    </row>
    <row r="206" spans="1:14">
      <c r="A206" s="182" t="s">
        <v>188</v>
      </c>
      <c r="B206" s="183"/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</row>
    <row r="207" spans="1:14">
      <c r="A207" s="56"/>
      <c r="B207" s="56" t="s">
        <v>3</v>
      </c>
      <c r="C207" s="56" t="s">
        <v>4</v>
      </c>
      <c r="D207" s="56" t="s">
        <v>5</v>
      </c>
      <c r="E207" s="56" t="s">
        <v>6</v>
      </c>
      <c r="F207" s="56" t="s">
        <v>7</v>
      </c>
      <c r="G207" s="56" t="s">
        <v>8</v>
      </c>
      <c r="H207" s="56" t="s">
        <v>9</v>
      </c>
      <c r="I207" s="56" t="s">
        <v>10</v>
      </c>
      <c r="J207" s="56" t="s">
        <v>96</v>
      </c>
      <c r="K207" s="56" t="s">
        <v>12</v>
      </c>
      <c r="L207" s="56" t="s">
        <v>13</v>
      </c>
      <c r="M207" s="56" t="s">
        <v>14</v>
      </c>
      <c r="N207" s="59" t="s">
        <v>125</v>
      </c>
    </row>
    <row r="208" spans="1:14">
      <c r="A208" s="48" t="s">
        <v>132</v>
      </c>
      <c r="B208" s="73">
        <f t="shared" ref="B208:M208" si="96">((B88)/1000)*1000</f>
        <v>120</v>
      </c>
      <c r="C208" s="73">
        <f t="shared" si="96"/>
        <v>120</v>
      </c>
      <c r="D208" s="73">
        <f t="shared" si="96"/>
        <v>120</v>
      </c>
      <c r="E208" s="73">
        <f t="shared" si="96"/>
        <v>120</v>
      </c>
      <c r="F208" s="73">
        <f t="shared" si="96"/>
        <v>120</v>
      </c>
      <c r="G208" s="73">
        <f t="shared" si="96"/>
        <v>120</v>
      </c>
      <c r="H208" s="73">
        <f t="shared" si="96"/>
        <v>120</v>
      </c>
      <c r="I208" s="73">
        <f t="shared" si="96"/>
        <v>120</v>
      </c>
      <c r="J208" s="73">
        <f t="shared" si="96"/>
        <v>120</v>
      </c>
      <c r="K208" s="73">
        <f t="shared" si="96"/>
        <v>120</v>
      </c>
      <c r="L208" s="73">
        <f t="shared" si="96"/>
        <v>120</v>
      </c>
      <c r="M208" s="73">
        <f t="shared" si="96"/>
        <v>120</v>
      </c>
      <c r="N208" s="73">
        <f>(SUM(B208:M208))/1000</f>
        <v>1.44</v>
      </c>
    </row>
    <row r="209" spans="1:20">
      <c r="A209" s="48" t="s">
        <v>133</v>
      </c>
      <c r="B209" s="73">
        <f t="shared" ref="B209:M209" si="97">((B92)/1000)*1000</f>
        <v>116.12700000000001</v>
      </c>
      <c r="C209" s="73">
        <f t="shared" si="97"/>
        <v>129.50685000000001</v>
      </c>
      <c r="D209" s="73">
        <f t="shared" si="97"/>
        <v>138.59504999999999</v>
      </c>
      <c r="E209" s="73">
        <f t="shared" si="97"/>
        <v>133.98783750000001</v>
      </c>
      <c r="F209" s="73">
        <f t="shared" si="97"/>
        <v>140.51367000000002</v>
      </c>
      <c r="G209" s="73">
        <f t="shared" si="97"/>
        <v>128.13730874999999</v>
      </c>
      <c r="H209" s="73">
        <f t="shared" si="97"/>
        <v>150.485445</v>
      </c>
      <c r="I209" s="73">
        <f t="shared" si="97"/>
        <v>175.47925725000002</v>
      </c>
      <c r="J209" s="73">
        <f t="shared" si="97"/>
        <v>176.23534500000002</v>
      </c>
      <c r="K209" s="73">
        <f t="shared" si="97"/>
        <v>160.81065000000001</v>
      </c>
      <c r="L209" s="73">
        <f t="shared" si="97"/>
        <v>136.13366249999999</v>
      </c>
      <c r="M209" s="73">
        <f t="shared" si="97"/>
        <v>122.37198187500002</v>
      </c>
      <c r="N209" s="73">
        <f>(SUM(B209:M209))/1000</f>
        <v>1.708384057875</v>
      </c>
      <c r="O209" s="27" t="s">
        <v>229</v>
      </c>
    </row>
    <row r="210" spans="1:20">
      <c r="A210" s="48" t="s">
        <v>125</v>
      </c>
      <c r="B210" s="73">
        <f>B208+B209</f>
        <v>236.12700000000001</v>
      </c>
      <c r="C210" s="73">
        <f t="shared" ref="C210:N210" si="98">C208+C209</f>
        <v>249.50685000000001</v>
      </c>
      <c r="D210" s="73">
        <f t="shared" si="98"/>
        <v>258.59505000000001</v>
      </c>
      <c r="E210" s="73">
        <f t="shared" si="98"/>
        <v>253.98783750000001</v>
      </c>
      <c r="F210" s="73">
        <f t="shared" si="98"/>
        <v>260.51367000000005</v>
      </c>
      <c r="G210" s="73">
        <f t="shared" si="98"/>
        <v>248.13730874999999</v>
      </c>
      <c r="H210" s="73">
        <f t="shared" si="98"/>
        <v>270.48544500000003</v>
      </c>
      <c r="I210" s="73">
        <f t="shared" si="98"/>
        <v>295.47925725000005</v>
      </c>
      <c r="J210" s="73">
        <f t="shared" si="98"/>
        <v>296.23534500000005</v>
      </c>
      <c r="K210" s="73">
        <f t="shared" si="98"/>
        <v>280.81065000000001</v>
      </c>
      <c r="L210" s="73">
        <f t="shared" si="98"/>
        <v>256.13366250000001</v>
      </c>
      <c r="M210" s="73">
        <f t="shared" si="98"/>
        <v>242.37198187500002</v>
      </c>
      <c r="N210" s="73">
        <f t="shared" si="98"/>
        <v>3.148384057875</v>
      </c>
    </row>
    <row r="212" spans="1:20">
      <c r="A212" s="174" t="s">
        <v>203</v>
      </c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</row>
    <row r="213" spans="1:20">
      <c r="A213" s="56"/>
      <c r="B213" s="56" t="s">
        <v>3</v>
      </c>
      <c r="C213" s="56" t="s">
        <v>4</v>
      </c>
      <c r="D213" s="56" t="s">
        <v>5</v>
      </c>
      <c r="E213" s="56" t="s">
        <v>6</v>
      </c>
      <c r="F213" s="56" t="s">
        <v>7</v>
      </c>
      <c r="G213" s="56" t="s">
        <v>8</v>
      </c>
      <c r="H213" s="56" t="s">
        <v>9</v>
      </c>
      <c r="I213" s="56" t="s">
        <v>10</v>
      </c>
      <c r="J213" s="56" t="s">
        <v>96</v>
      </c>
      <c r="K213" s="56" t="s">
        <v>12</v>
      </c>
      <c r="L213" s="56" t="s">
        <v>13</v>
      </c>
      <c r="M213" s="56" t="s">
        <v>14</v>
      </c>
      <c r="N213" s="59" t="s">
        <v>125</v>
      </c>
      <c r="Q213" s="27" t="s">
        <v>193</v>
      </c>
      <c r="R213" s="46" t="s">
        <v>198</v>
      </c>
      <c r="S213" s="46" t="s">
        <v>199</v>
      </c>
      <c r="T213" s="46" t="s">
        <v>200</v>
      </c>
    </row>
    <row r="214" spans="1:20">
      <c r="A214" s="69" t="s">
        <v>152</v>
      </c>
      <c r="B214" s="73">
        <f>B128</f>
        <v>2336.91026815125</v>
      </c>
      <c r="C214" s="73">
        <f t="shared" ref="C214:M214" si="99">C128</f>
        <v>2431.7751149999999</v>
      </c>
      <c r="D214" s="73">
        <f t="shared" si="99"/>
        <v>2654.2088100000001</v>
      </c>
      <c r="E214" s="73">
        <f t="shared" si="99"/>
        <v>2698.5705862499999</v>
      </c>
      <c r="F214" s="73">
        <f t="shared" si="99"/>
        <v>2717.5649242499999</v>
      </c>
      <c r="G214" s="73">
        <f t="shared" si="99"/>
        <v>2659.6446896250004</v>
      </c>
      <c r="H214" s="73">
        <f t="shared" si="99"/>
        <v>2758.3652621249998</v>
      </c>
      <c r="I214" s="73">
        <f t="shared" si="99"/>
        <v>3227.050552275</v>
      </c>
      <c r="J214" s="73">
        <f t="shared" si="99"/>
        <v>3481.9745622750002</v>
      </c>
      <c r="K214" s="73">
        <f t="shared" si="99"/>
        <v>3336.7553505000001</v>
      </c>
      <c r="L214" s="73">
        <f t="shared" si="99"/>
        <v>2939.7486937499998</v>
      </c>
      <c r="M214" s="73">
        <f t="shared" si="99"/>
        <v>2559.2058793124997</v>
      </c>
      <c r="N214" s="73">
        <f>SUM(B214:M214)</f>
        <v>33801.774693513747</v>
      </c>
      <c r="Q214">
        <v>1500</v>
      </c>
      <c r="R214">
        <v>50</v>
      </c>
      <c r="S214">
        <f>Q214/R214</f>
        <v>30</v>
      </c>
      <c r="T214">
        <f>S214/12</f>
        <v>2.5</v>
      </c>
    </row>
    <row r="215" spans="1:20">
      <c r="A215" s="48" t="s">
        <v>189</v>
      </c>
      <c r="B215" s="73">
        <f>(B14*$L192+B15*$M192+B18*$N192+B19*$O192)/1000</f>
        <v>863.4378181818181</v>
      </c>
      <c r="C215" s="73">
        <f t="shared" ref="C215:M215" si="100">(C14*$L192+C15*$M192+C18*$N192+C19*$O192)/1000</f>
        <v>785.85163636363632</v>
      </c>
      <c r="D215" s="73">
        <f t="shared" si="100"/>
        <v>834.24945454545457</v>
      </c>
      <c r="E215" s="73">
        <f t="shared" si="100"/>
        <v>829.24800000000005</v>
      </c>
      <c r="F215" s="73">
        <f t="shared" si="100"/>
        <v>780.62981818181811</v>
      </c>
      <c r="G215" s="73">
        <f t="shared" si="100"/>
        <v>751.44145454545458</v>
      </c>
      <c r="H215" s="73">
        <f t="shared" si="100"/>
        <v>789.91927272727276</v>
      </c>
      <c r="I215" s="73">
        <f t="shared" si="100"/>
        <v>844.30909090909108</v>
      </c>
      <c r="J215" s="73">
        <f t="shared" si="100"/>
        <v>849.1185454545456</v>
      </c>
      <c r="K215" s="73">
        <f t="shared" si="100"/>
        <v>853.84727272727275</v>
      </c>
      <c r="L215" s="73">
        <f t="shared" si="100"/>
        <v>804.78836363636367</v>
      </c>
      <c r="M215" s="73">
        <f t="shared" si="100"/>
        <v>814.8196363636365</v>
      </c>
      <c r="N215" s="73">
        <f>SUM(B215:M215)</f>
        <v>9801.6603636363634</v>
      </c>
      <c r="Q215">
        <v>500</v>
      </c>
      <c r="R215">
        <v>10</v>
      </c>
      <c r="S215">
        <f>Q215/R215</f>
        <v>50</v>
      </c>
      <c r="T215">
        <f>S215/12</f>
        <v>4.166666666666667</v>
      </c>
    </row>
    <row r="216" spans="1:20">
      <c r="A216" s="48" t="s">
        <v>190</v>
      </c>
      <c r="B216" s="73">
        <f>B204</f>
        <v>252</v>
      </c>
      <c r="C216" s="73">
        <f t="shared" ref="C216:M216" si="101">C204</f>
        <v>252</v>
      </c>
      <c r="D216" s="73">
        <f t="shared" si="101"/>
        <v>252</v>
      </c>
      <c r="E216" s="73">
        <f t="shared" si="101"/>
        <v>242</v>
      </c>
      <c r="F216" s="73">
        <f t="shared" si="101"/>
        <v>242</v>
      </c>
      <c r="G216" s="73">
        <f t="shared" si="101"/>
        <v>242</v>
      </c>
      <c r="H216" s="73">
        <f t="shared" si="101"/>
        <v>242</v>
      </c>
      <c r="I216" s="73">
        <f t="shared" si="101"/>
        <v>242</v>
      </c>
      <c r="J216" s="73">
        <f t="shared" si="101"/>
        <v>242</v>
      </c>
      <c r="K216" s="73">
        <f t="shared" si="101"/>
        <v>242</v>
      </c>
      <c r="L216" s="73">
        <f t="shared" si="101"/>
        <v>242</v>
      </c>
      <c r="M216" s="73">
        <f t="shared" si="101"/>
        <v>242</v>
      </c>
      <c r="N216" s="73">
        <f>SUM(B216:M216)</f>
        <v>2934</v>
      </c>
    </row>
    <row r="217" spans="1:20">
      <c r="A217" s="69" t="s">
        <v>191</v>
      </c>
      <c r="B217" s="73">
        <f>B214-B215-B216</f>
        <v>1221.4724499694319</v>
      </c>
      <c r="C217" s="73">
        <f t="shared" ref="C217:N217" si="102">C214-C215-C216</f>
        <v>1393.9234786363636</v>
      </c>
      <c r="D217" s="73">
        <f t="shared" si="102"/>
        <v>1567.9593554545454</v>
      </c>
      <c r="E217" s="73">
        <f t="shared" si="102"/>
        <v>1627.3225862499999</v>
      </c>
      <c r="F217" s="73">
        <f t="shared" si="102"/>
        <v>1694.9351060681818</v>
      </c>
      <c r="G217" s="73">
        <f t="shared" si="102"/>
        <v>1666.2032350795457</v>
      </c>
      <c r="H217" s="73">
        <f t="shared" si="102"/>
        <v>1726.4459893977271</v>
      </c>
      <c r="I217" s="73">
        <f t="shared" si="102"/>
        <v>2140.7414613659089</v>
      </c>
      <c r="J217" s="73">
        <f t="shared" si="102"/>
        <v>2390.8560168204544</v>
      </c>
      <c r="K217" s="73">
        <f t="shared" si="102"/>
        <v>2240.9080777727272</v>
      </c>
      <c r="L217" s="73">
        <f t="shared" si="102"/>
        <v>1892.9603301136362</v>
      </c>
      <c r="M217" s="73">
        <f t="shared" si="102"/>
        <v>1502.3862429488631</v>
      </c>
      <c r="N217" s="73">
        <f t="shared" si="102"/>
        <v>21066.114329877382</v>
      </c>
    </row>
    <row r="218" spans="1:20">
      <c r="A218" s="49" t="s">
        <v>192</v>
      </c>
      <c r="B218" s="73">
        <f>B210</f>
        <v>236.12700000000001</v>
      </c>
      <c r="C218" s="73">
        <f t="shared" ref="C218:M218" si="103">C210</f>
        <v>249.50685000000001</v>
      </c>
      <c r="D218" s="73">
        <f t="shared" si="103"/>
        <v>258.59505000000001</v>
      </c>
      <c r="E218" s="73">
        <f t="shared" si="103"/>
        <v>253.98783750000001</v>
      </c>
      <c r="F218" s="73">
        <f t="shared" si="103"/>
        <v>260.51367000000005</v>
      </c>
      <c r="G218" s="73">
        <f t="shared" si="103"/>
        <v>248.13730874999999</v>
      </c>
      <c r="H218" s="73">
        <f t="shared" si="103"/>
        <v>270.48544500000003</v>
      </c>
      <c r="I218" s="73">
        <f t="shared" si="103"/>
        <v>295.47925725000005</v>
      </c>
      <c r="J218" s="73">
        <f t="shared" si="103"/>
        <v>296.23534500000005</v>
      </c>
      <c r="K218" s="73">
        <f t="shared" si="103"/>
        <v>280.81065000000001</v>
      </c>
      <c r="L218" s="73">
        <f t="shared" si="103"/>
        <v>256.13366250000001</v>
      </c>
      <c r="M218" s="73">
        <f t="shared" si="103"/>
        <v>242.37198187500002</v>
      </c>
      <c r="N218" s="73">
        <f>SUM(B218:M218)</f>
        <v>3148.3840578750001</v>
      </c>
    </row>
    <row r="219" spans="1:20">
      <c r="A219" s="49" t="s">
        <v>193</v>
      </c>
      <c r="B219" s="73">
        <f>$T214+$T215</f>
        <v>6.666666666666667</v>
      </c>
      <c r="C219" s="73">
        <f t="shared" ref="C219:M219" si="104">$T214+$T215</f>
        <v>6.666666666666667</v>
      </c>
      <c r="D219" s="73">
        <f t="shared" si="104"/>
        <v>6.666666666666667</v>
      </c>
      <c r="E219" s="73">
        <f t="shared" si="104"/>
        <v>6.666666666666667</v>
      </c>
      <c r="F219" s="73">
        <f t="shared" si="104"/>
        <v>6.666666666666667</v>
      </c>
      <c r="G219" s="73">
        <f t="shared" si="104"/>
        <v>6.666666666666667</v>
      </c>
      <c r="H219" s="73">
        <f t="shared" si="104"/>
        <v>6.666666666666667</v>
      </c>
      <c r="I219" s="73">
        <f t="shared" si="104"/>
        <v>6.666666666666667</v>
      </c>
      <c r="J219" s="73">
        <f t="shared" si="104"/>
        <v>6.666666666666667</v>
      </c>
      <c r="K219" s="73">
        <f t="shared" si="104"/>
        <v>6.666666666666667</v>
      </c>
      <c r="L219" s="73">
        <f t="shared" si="104"/>
        <v>6.666666666666667</v>
      </c>
      <c r="M219" s="73">
        <f t="shared" si="104"/>
        <v>6.666666666666667</v>
      </c>
      <c r="N219" s="73">
        <f>SUM(B219:M219)</f>
        <v>80</v>
      </c>
      <c r="P219" s="27" t="s">
        <v>202</v>
      </c>
    </row>
    <row r="220" spans="1:20">
      <c r="A220" s="69" t="s">
        <v>194</v>
      </c>
      <c r="B220" s="73">
        <f>B217-B218-B219</f>
        <v>978.67878330276528</v>
      </c>
      <c r="C220" s="73">
        <f t="shared" ref="C220:N220" si="105">C217-C218-C219</f>
        <v>1137.7499619696969</v>
      </c>
      <c r="D220" s="73">
        <f t="shared" si="105"/>
        <v>1302.6976387878788</v>
      </c>
      <c r="E220" s="73">
        <f t="shared" si="105"/>
        <v>1366.668082083333</v>
      </c>
      <c r="F220" s="73">
        <f t="shared" si="105"/>
        <v>1427.754769401515</v>
      </c>
      <c r="G220" s="73">
        <f t="shared" si="105"/>
        <v>1411.3992596628789</v>
      </c>
      <c r="H220" s="73">
        <f t="shared" si="105"/>
        <v>1449.2938777310603</v>
      </c>
      <c r="I220" s="73">
        <f t="shared" si="105"/>
        <v>1838.5955374492421</v>
      </c>
      <c r="J220" s="73">
        <f t="shared" si="105"/>
        <v>2087.9540051537879</v>
      </c>
      <c r="K220" s="73">
        <f t="shared" si="105"/>
        <v>1953.4307611060606</v>
      </c>
      <c r="L220" s="73">
        <f t="shared" si="105"/>
        <v>1630.1600009469696</v>
      </c>
      <c r="M220" s="73">
        <f t="shared" si="105"/>
        <v>1253.3475944071963</v>
      </c>
      <c r="N220" s="73">
        <f t="shared" si="105"/>
        <v>17837.730272002384</v>
      </c>
      <c r="P220" s="27">
        <v>0.35</v>
      </c>
    </row>
    <row r="221" spans="1:20">
      <c r="A221" s="49" t="s">
        <v>195</v>
      </c>
      <c r="B221" s="73">
        <v>0</v>
      </c>
      <c r="C221" s="73">
        <v>0</v>
      </c>
      <c r="D221" s="73">
        <v>0</v>
      </c>
      <c r="E221" s="73">
        <v>0</v>
      </c>
      <c r="F221" s="73">
        <v>0</v>
      </c>
      <c r="G221" s="73">
        <v>0</v>
      </c>
      <c r="H221" s="73">
        <v>0</v>
      </c>
      <c r="I221" s="73">
        <v>0</v>
      </c>
      <c r="J221" s="73">
        <v>0</v>
      </c>
      <c r="K221" s="73">
        <v>0</v>
      </c>
      <c r="L221" s="73">
        <v>0</v>
      </c>
      <c r="M221" s="73">
        <v>0</v>
      </c>
      <c r="N221" s="73">
        <v>0</v>
      </c>
    </row>
    <row r="222" spans="1:20">
      <c r="A222" s="49" t="s">
        <v>196</v>
      </c>
      <c r="B222" s="73">
        <f>P223*P220</f>
        <v>430.0702529828614</v>
      </c>
      <c r="C222" s="73">
        <f>B220*$P220</f>
        <v>342.53757415596783</v>
      </c>
      <c r="D222" s="73">
        <f t="shared" ref="D222:N222" si="106">C220*$P220</f>
        <v>398.21248668939387</v>
      </c>
      <c r="E222" s="73">
        <f t="shared" si="106"/>
        <v>455.94417357575753</v>
      </c>
      <c r="F222" s="73">
        <f t="shared" si="106"/>
        <v>478.33382872916656</v>
      </c>
      <c r="G222" s="73">
        <f t="shared" si="106"/>
        <v>499.71416929053021</v>
      </c>
      <c r="H222" s="73">
        <f t="shared" si="106"/>
        <v>493.9897408820076</v>
      </c>
      <c r="I222" s="73">
        <f t="shared" si="106"/>
        <v>507.25285720587107</v>
      </c>
      <c r="J222" s="73">
        <f t="shared" si="106"/>
        <v>643.50843810723472</v>
      </c>
      <c r="K222" s="73">
        <f t="shared" si="106"/>
        <v>730.78390180382576</v>
      </c>
      <c r="L222" s="73">
        <f t="shared" si="106"/>
        <v>683.70076638712112</v>
      </c>
      <c r="M222" s="73">
        <f t="shared" si="106"/>
        <v>570.55600033143935</v>
      </c>
      <c r="N222" s="73">
        <f t="shared" si="106"/>
        <v>438.67165804251869</v>
      </c>
      <c r="P222" s="27" t="s">
        <v>219</v>
      </c>
    </row>
    <row r="223" spans="1:20">
      <c r="A223" s="69" t="s">
        <v>197</v>
      </c>
      <c r="B223" s="73">
        <f>B220-B221-B222</f>
        <v>548.60853031990382</v>
      </c>
      <c r="C223" s="73">
        <f t="shared" ref="C223:N223" si="107">C220-C221-C222</f>
        <v>795.21238781372904</v>
      </c>
      <c r="D223" s="73">
        <f t="shared" si="107"/>
        <v>904.48515209848483</v>
      </c>
      <c r="E223" s="73">
        <f t="shared" si="107"/>
        <v>910.72390850757552</v>
      </c>
      <c r="F223" s="73">
        <f t="shared" si="107"/>
        <v>949.42094067234848</v>
      </c>
      <c r="G223" s="73">
        <f t="shared" si="107"/>
        <v>911.68509037234867</v>
      </c>
      <c r="H223" s="73">
        <f t="shared" si="107"/>
        <v>955.30413684905272</v>
      </c>
      <c r="I223" s="73">
        <f t="shared" si="107"/>
        <v>1331.342680243371</v>
      </c>
      <c r="J223" s="73">
        <f t="shared" si="107"/>
        <v>1444.4455670465532</v>
      </c>
      <c r="K223" s="73">
        <f t="shared" si="107"/>
        <v>1222.6468593022348</v>
      </c>
      <c r="L223" s="73">
        <f t="shared" si="107"/>
        <v>946.45923455984848</v>
      </c>
      <c r="M223" s="73">
        <f t="shared" si="107"/>
        <v>682.79159407575696</v>
      </c>
      <c r="N223" s="73">
        <f t="shared" si="107"/>
        <v>17399.058613959864</v>
      </c>
      <c r="P223" s="74">
        <f>M220/1.02</f>
        <v>1228.7721513796041</v>
      </c>
    </row>
    <row r="226" spans="1:16">
      <c r="A226" s="176" t="s">
        <v>204</v>
      </c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</row>
    <row r="227" spans="1:16">
      <c r="B227" s="56" t="s">
        <v>3</v>
      </c>
      <c r="C227" s="56" t="s">
        <v>4</v>
      </c>
      <c r="D227" s="56" t="s">
        <v>5</v>
      </c>
      <c r="E227" s="56" t="s">
        <v>6</v>
      </c>
      <c r="F227" s="56" t="s">
        <v>7</v>
      </c>
      <c r="G227" s="56" t="s">
        <v>8</v>
      </c>
      <c r="H227" s="56" t="s">
        <v>9</v>
      </c>
      <c r="I227" s="56" t="s">
        <v>10</v>
      </c>
      <c r="J227" s="56" t="s">
        <v>96</v>
      </c>
      <c r="K227" s="56" t="s">
        <v>12</v>
      </c>
      <c r="L227" s="56" t="s">
        <v>13</v>
      </c>
      <c r="M227" s="56" t="s">
        <v>14</v>
      </c>
      <c r="N227" s="59" t="s">
        <v>125</v>
      </c>
    </row>
    <row r="228" spans="1:16">
      <c r="A228" s="27" t="s">
        <v>205</v>
      </c>
      <c r="B228" s="72">
        <f>B128</f>
        <v>2336.91026815125</v>
      </c>
      <c r="C228" s="72">
        <f t="shared" ref="C228:N228" si="108">C128</f>
        <v>2431.7751149999999</v>
      </c>
      <c r="D228" s="72">
        <f t="shared" si="108"/>
        <v>2654.2088100000001</v>
      </c>
      <c r="E228" s="72">
        <f t="shared" si="108"/>
        <v>2698.5705862499999</v>
      </c>
      <c r="F228" s="72">
        <f t="shared" si="108"/>
        <v>2717.5649242499999</v>
      </c>
      <c r="G228" s="72">
        <f t="shared" si="108"/>
        <v>2659.6446896250004</v>
      </c>
      <c r="H228" s="72">
        <f t="shared" si="108"/>
        <v>2758.3652621249998</v>
      </c>
      <c r="I228" s="72">
        <f t="shared" si="108"/>
        <v>3227.050552275</v>
      </c>
      <c r="J228" s="72">
        <f t="shared" si="108"/>
        <v>3481.9745622750002</v>
      </c>
      <c r="K228" s="72">
        <f t="shared" si="108"/>
        <v>3336.7553505000001</v>
      </c>
      <c r="L228" s="72">
        <f t="shared" si="108"/>
        <v>2939.7486937499998</v>
      </c>
      <c r="M228" s="72">
        <f t="shared" si="108"/>
        <v>2559.2058793124997</v>
      </c>
      <c r="N228" s="72">
        <f t="shared" si="108"/>
        <v>31464.864425362499</v>
      </c>
    </row>
    <row r="229" spans="1:16">
      <c r="A229" s="27" t="s">
        <v>206</v>
      </c>
      <c r="B229" s="72">
        <v>0</v>
      </c>
      <c r="C229" s="72">
        <v>0</v>
      </c>
      <c r="D229" s="72">
        <v>0</v>
      </c>
      <c r="E229" s="72">
        <v>0</v>
      </c>
      <c r="F229" s="72">
        <v>0</v>
      </c>
      <c r="G229" s="72">
        <v>0</v>
      </c>
      <c r="H229" s="72">
        <v>0</v>
      </c>
      <c r="I229" s="72">
        <v>0</v>
      </c>
      <c r="J229" s="72">
        <v>0</v>
      </c>
      <c r="K229" s="72">
        <v>0</v>
      </c>
      <c r="L229" s="72">
        <v>0</v>
      </c>
      <c r="M229" s="72">
        <v>0</v>
      </c>
      <c r="N229" s="72">
        <v>0</v>
      </c>
    </row>
    <row r="230" spans="1:16">
      <c r="A230" s="27" t="s">
        <v>212</v>
      </c>
      <c r="B230" s="72">
        <f>B228+B229</f>
        <v>2336.91026815125</v>
      </c>
      <c r="C230" s="72">
        <f t="shared" ref="C230:N230" si="109">C228+C229</f>
        <v>2431.7751149999999</v>
      </c>
      <c r="D230" s="72">
        <f t="shared" si="109"/>
        <v>2654.2088100000001</v>
      </c>
      <c r="E230" s="72">
        <f t="shared" si="109"/>
        <v>2698.5705862499999</v>
      </c>
      <c r="F230" s="72">
        <f t="shared" si="109"/>
        <v>2717.5649242499999</v>
      </c>
      <c r="G230" s="72">
        <f t="shared" si="109"/>
        <v>2659.6446896250004</v>
      </c>
      <c r="H230" s="72">
        <f t="shared" si="109"/>
        <v>2758.3652621249998</v>
      </c>
      <c r="I230" s="72">
        <f t="shared" si="109"/>
        <v>3227.050552275</v>
      </c>
      <c r="J230" s="72">
        <f t="shared" si="109"/>
        <v>3481.9745622750002</v>
      </c>
      <c r="K230" s="72">
        <f t="shared" si="109"/>
        <v>3336.7553505000001</v>
      </c>
      <c r="L230" s="72">
        <f t="shared" si="109"/>
        <v>2939.7486937499998</v>
      </c>
      <c r="M230" s="72">
        <f t="shared" si="109"/>
        <v>2559.2058793124997</v>
      </c>
      <c r="N230" s="72">
        <f t="shared" si="109"/>
        <v>31464.864425362499</v>
      </c>
    </row>
    <row r="231" spans="1:16">
      <c r="A231" s="27" t="s">
        <v>19</v>
      </c>
      <c r="B231" s="72">
        <f t="shared" ref="B231:N231" si="110">((B38)/1000)*1000</f>
        <v>819.75200000000007</v>
      </c>
      <c r="C231" s="72">
        <f t="shared" si="110"/>
        <v>766.59999999999991</v>
      </c>
      <c r="D231" s="72">
        <f t="shared" si="110"/>
        <v>800.572</v>
      </c>
      <c r="E231" s="72">
        <f t="shared" si="110"/>
        <v>794.3839999999999</v>
      </c>
      <c r="F231" s="72">
        <f t="shared" si="110"/>
        <v>754.63200000000006</v>
      </c>
      <c r="G231" s="72">
        <f t="shared" si="110"/>
        <v>734.08799999999997</v>
      </c>
      <c r="H231" s="72">
        <f t="shared" si="110"/>
        <v>760.23599999999999</v>
      </c>
      <c r="I231" s="72">
        <f t="shared" si="110"/>
        <v>817.18000000000006</v>
      </c>
      <c r="J231" s="72">
        <f t="shared" si="110"/>
        <v>821.44399999999996</v>
      </c>
      <c r="K231" s="72">
        <f t="shared" si="110"/>
        <v>817.75199999999995</v>
      </c>
      <c r="L231" s="72">
        <f t="shared" si="110"/>
        <v>775.50400000000013</v>
      </c>
      <c r="M231" s="72">
        <f t="shared" si="110"/>
        <v>773.22951736000005</v>
      </c>
      <c r="N231" s="72">
        <f t="shared" si="110"/>
        <v>9435.3735173600016</v>
      </c>
    </row>
    <row r="232" spans="1:16">
      <c r="A232" s="46" t="s">
        <v>207</v>
      </c>
      <c r="B232" s="72">
        <f t="shared" ref="B232:M232" si="111">((B188)/1000)*1000</f>
        <v>73.172945454545456</v>
      </c>
      <c r="C232" s="72">
        <f t="shared" si="111"/>
        <v>53.410909090909087</v>
      </c>
      <c r="D232" s="72">
        <f t="shared" si="111"/>
        <v>69.434181818181813</v>
      </c>
      <c r="E232" s="72">
        <f t="shared" si="111"/>
        <v>67.831854545454547</v>
      </c>
      <c r="F232" s="72">
        <f t="shared" si="111"/>
        <v>56.081454545454548</v>
      </c>
      <c r="G232" s="72">
        <f t="shared" si="111"/>
        <v>52.342690909090905</v>
      </c>
      <c r="H232" s="72">
        <f t="shared" si="111"/>
        <v>64.093090909090904</v>
      </c>
      <c r="I232" s="72">
        <f t="shared" si="111"/>
        <v>65.161309090909086</v>
      </c>
      <c r="J232" s="72">
        <f t="shared" si="111"/>
        <v>67.297745454545449</v>
      </c>
      <c r="K232" s="72">
        <f t="shared" si="111"/>
        <v>65.161309090909086</v>
      </c>
      <c r="L232" s="72">
        <f t="shared" si="111"/>
        <v>61.956654545454541</v>
      </c>
      <c r="M232" s="72">
        <f t="shared" si="111"/>
        <v>61.422545454545443</v>
      </c>
      <c r="N232" s="72">
        <f>((SUM(B232:M232))/1000)*1000</f>
        <v>757.36669090909083</v>
      </c>
    </row>
    <row r="233" spans="1:16">
      <c r="A233" s="46" t="s">
        <v>129</v>
      </c>
      <c r="B233" s="72">
        <f t="shared" ref="B233:N233" si="112">((B198)/1000)*1000</f>
        <v>0</v>
      </c>
      <c r="C233" s="72">
        <f t="shared" si="112"/>
        <v>0</v>
      </c>
      <c r="D233" s="72">
        <f t="shared" si="112"/>
        <v>0</v>
      </c>
      <c r="E233" s="72">
        <f t="shared" si="112"/>
        <v>190</v>
      </c>
      <c r="F233" s="72">
        <f t="shared" si="112"/>
        <v>190</v>
      </c>
      <c r="G233" s="72">
        <f t="shared" si="112"/>
        <v>190</v>
      </c>
      <c r="H233" s="72">
        <f t="shared" si="112"/>
        <v>190</v>
      </c>
      <c r="I233" s="72">
        <f t="shared" si="112"/>
        <v>190</v>
      </c>
      <c r="J233" s="72">
        <f t="shared" si="112"/>
        <v>0</v>
      </c>
      <c r="K233" s="72">
        <f t="shared" si="112"/>
        <v>0</v>
      </c>
      <c r="L233" s="72">
        <f t="shared" si="112"/>
        <v>0</v>
      </c>
      <c r="M233" s="72">
        <f t="shared" si="112"/>
        <v>0</v>
      </c>
      <c r="N233" s="72">
        <f t="shared" si="112"/>
        <v>950</v>
      </c>
    </row>
    <row r="234" spans="1:16">
      <c r="A234" s="46" t="s">
        <v>208</v>
      </c>
      <c r="B234" s="72">
        <f t="shared" ref="B234:N234" si="113">((B204)/1000)*1000</f>
        <v>252</v>
      </c>
      <c r="C234" s="72">
        <f t="shared" si="113"/>
        <v>252</v>
      </c>
      <c r="D234" s="72">
        <f t="shared" si="113"/>
        <v>252</v>
      </c>
      <c r="E234" s="72">
        <f t="shared" si="113"/>
        <v>242</v>
      </c>
      <c r="F234" s="72">
        <f t="shared" si="113"/>
        <v>242</v>
      </c>
      <c r="G234" s="72">
        <f t="shared" si="113"/>
        <v>242</v>
      </c>
      <c r="H234" s="72">
        <f t="shared" si="113"/>
        <v>242</v>
      </c>
      <c r="I234" s="72">
        <f t="shared" si="113"/>
        <v>242</v>
      </c>
      <c r="J234" s="72">
        <f t="shared" si="113"/>
        <v>242</v>
      </c>
      <c r="K234" s="72">
        <f t="shared" si="113"/>
        <v>242</v>
      </c>
      <c r="L234" s="72">
        <f t="shared" si="113"/>
        <v>242</v>
      </c>
      <c r="M234" s="72">
        <f t="shared" si="113"/>
        <v>242</v>
      </c>
      <c r="N234" s="72">
        <f t="shared" si="113"/>
        <v>2934</v>
      </c>
    </row>
    <row r="235" spans="1:16">
      <c r="A235" s="46" t="s">
        <v>209</v>
      </c>
      <c r="B235" s="72">
        <f t="shared" ref="B235:N235" si="114">((B210)/1000)*1000</f>
        <v>236.12700000000001</v>
      </c>
      <c r="C235" s="72">
        <f t="shared" si="114"/>
        <v>249.50685000000001</v>
      </c>
      <c r="D235" s="72">
        <f t="shared" si="114"/>
        <v>258.59505000000001</v>
      </c>
      <c r="E235" s="72">
        <f t="shared" si="114"/>
        <v>253.98783750000004</v>
      </c>
      <c r="F235" s="72">
        <f t="shared" si="114"/>
        <v>260.51367000000005</v>
      </c>
      <c r="G235" s="72">
        <f t="shared" si="114"/>
        <v>248.13730874999999</v>
      </c>
      <c r="H235" s="72">
        <f t="shared" si="114"/>
        <v>270.48544500000003</v>
      </c>
      <c r="I235" s="72">
        <f t="shared" si="114"/>
        <v>295.47925725000005</v>
      </c>
      <c r="J235" s="72">
        <f t="shared" si="114"/>
        <v>296.23534500000005</v>
      </c>
      <c r="K235" s="72">
        <f t="shared" si="114"/>
        <v>280.81065000000001</v>
      </c>
      <c r="L235" s="72">
        <f t="shared" si="114"/>
        <v>256.13366250000001</v>
      </c>
      <c r="M235" s="72">
        <f t="shared" si="114"/>
        <v>242.37198187500002</v>
      </c>
      <c r="N235" s="72">
        <f t="shared" si="114"/>
        <v>3.148384057875</v>
      </c>
      <c r="P235">
        <v>1000</v>
      </c>
    </row>
    <row r="236" spans="1:16">
      <c r="A236" s="46" t="s">
        <v>210</v>
      </c>
      <c r="B236" s="72">
        <v>0</v>
      </c>
      <c r="C236" s="72">
        <v>0</v>
      </c>
      <c r="D236" s="72">
        <v>0</v>
      </c>
      <c r="E236" s="72">
        <v>0</v>
      </c>
      <c r="F236" s="72">
        <v>0</v>
      </c>
      <c r="G236" s="72">
        <v>0</v>
      </c>
      <c r="H236" s="72">
        <v>0</v>
      </c>
      <c r="I236" s="72">
        <v>0</v>
      </c>
      <c r="J236" s="72">
        <v>0</v>
      </c>
      <c r="K236" s="72">
        <v>0</v>
      </c>
      <c r="L236" s="72">
        <v>0</v>
      </c>
      <c r="M236" s="72">
        <v>0</v>
      </c>
      <c r="N236" s="72">
        <v>0</v>
      </c>
    </row>
    <row r="237" spans="1:16">
      <c r="A237" s="46" t="s">
        <v>196</v>
      </c>
      <c r="B237" s="72">
        <f>B222</f>
        <v>430.0702529828614</v>
      </c>
      <c r="C237" s="72">
        <f t="shared" ref="C237:N237" si="115">((C222)/1000)*1000</f>
        <v>342.53757415596783</v>
      </c>
      <c r="D237" s="72">
        <f t="shared" si="115"/>
        <v>398.21248668939387</v>
      </c>
      <c r="E237" s="72">
        <f t="shared" si="115"/>
        <v>455.94417357575753</v>
      </c>
      <c r="F237" s="72">
        <f t="shared" si="115"/>
        <v>478.33382872916656</v>
      </c>
      <c r="G237" s="72">
        <f t="shared" si="115"/>
        <v>499.71416929053021</v>
      </c>
      <c r="H237" s="72">
        <f t="shared" si="115"/>
        <v>493.9897408820076</v>
      </c>
      <c r="I237" s="72">
        <f t="shared" si="115"/>
        <v>507.25285720587112</v>
      </c>
      <c r="J237" s="72">
        <f t="shared" si="115"/>
        <v>643.50843810723472</v>
      </c>
      <c r="K237" s="72">
        <f t="shared" si="115"/>
        <v>730.78390180382576</v>
      </c>
      <c r="L237" s="72">
        <f t="shared" si="115"/>
        <v>683.70076638712112</v>
      </c>
      <c r="M237" s="72">
        <f t="shared" si="115"/>
        <v>570.55600033143935</v>
      </c>
      <c r="N237" s="72">
        <f t="shared" si="115"/>
        <v>438.67165804251869</v>
      </c>
    </row>
    <row r="238" spans="1:16">
      <c r="A238" s="46" t="s">
        <v>211</v>
      </c>
      <c r="B238" s="72">
        <f>B231+B232+B233+B234+B235+B236+B237</f>
        <v>1811.122198437407</v>
      </c>
      <c r="C238" s="72">
        <f t="shared" ref="C238:N238" si="116">C231+C232+C233+C234+C235+C236+C237</f>
        <v>1664.0553332468769</v>
      </c>
      <c r="D238" s="72">
        <f t="shared" si="116"/>
        <v>1778.8137185075759</v>
      </c>
      <c r="E238" s="72">
        <f t="shared" si="116"/>
        <v>2004.1478656212121</v>
      </c>
      <c r="F238" s="72">
        <f t="shared" si="116"/>
        <v>1981.5609532746212</v>
      </c>
      <c r="G238" s="72">
        <f t="shared" si="116"/>
        <v>1966.2821689496213</v>
      </c>
      <c r="H238" s="72">
        <f t="shared" si="116"/>
        <v>2020.8042767910983</v>
      </c>
      <c r="I238" s="72">
        <f t="shared" si="116"/>
        <v>2117.0734235467803</v>
      </c>
      <c r="J238" s="72">
        <f t="shared" si="116"/>
        <v>2070.48552856178</v>
      </c>
      <c r="K238" s="72">
        <f t="shared" si="116"/>
        <v>2136.5078608947347</v>
      </c>
      <c r="L238" s="72">
        <f t="shared" si="116"/>
        <v>2019.2950834325759</v>
      </c>
      <c r="M238" s="72">
        <f t="shared" si="116"/>
        <v>1889.5800450209849</v>
      </c>
      <c r="N238" s="72">
        <f t="shared" si="116"/>
        <v>14518.560250369486</v>
      </c>
    </row>
    <row r="239" spans="1:16">
      <c r="A239" s="46" t="s">
        <v>204</v>
      </c>
      <c r="B239" s="72">
        <f>B230-B238</f>
        <v>525.78806971384302</v>
      </c>
      <c r="C239" s="72">
        <f t="shared" ref="C239:N239" si="117">C230-C238</f>
        <v>767.71978175312302</v>
      </c>
      <c r="D239" s="72">
        <f t="shared" si="117"/>
        <v>875.39509149242417</v>
      </c>
      <c r="E239" s="72">
        <f t="shared" si="117"/>
        <v>694.42272062878783</v>
      </c>
      <c r="F239" s="72">
        <f t="shared" si="117"/>
        <v>736.00397097537871</v>
      </c>
      <c r="G239" s="72">
        <f t="shared" si="117"/>
        <v>693.36252067537907</v>
      </c>
      <c r="H239" s="72">
        <f t="shared" si="117"/>
        <v>737.5609853339015</v>
      </c>
      <c r="I239" s="72">
        <f t="shared" si="117"/>
        <v>1109.9771287282197</v>
      </c>
      <c r="J239" s="72">
        <f t="shared" si="117"/>
        <v>1411.4890337132201</v>
      </c>
      <c r="K239" s="72">
        <f t="shared" si="117"/>
        <v>1200.2474896052654</v>
      </c>
      <c r="L239" s="72">
        <f t="shared" si="117"/>
        <v>920.45361031742391</v>
      </c>
      <c r="M239" s="72">
        <f t="shared" si="117"/>
        <v>669.62583429151482</v>
      </c>
      <c r="N239" s="72">
        <f t="shared" si="117"/>
        <v>16946.304174993013</v>
      </c>
    </row>
    <row r="240" spans="1:16">
      <c r="A240" s="46" t="s">
        <v>213</v>
      </c>
      <c r="B240" s="72">
        <f>B239</f>
        <v>525.78806971384302</v>
      </c>
      <c r="C240" s="72">
        <f>C239+B240</f>
        <v>1293.507851466966</v>
      </c>
      <c r="D240" s="72">
        <f>D239+C240</f>
        <v>2168.9029429593902</v>
      </c>
      <c r="E240" s="72">
        <f t="shared" ref="E240:M240" si="118">E239+D240</f>
        <v>2863.325663588178</v>
      </c>
      <c r="F240" s="72">
        <f t="shared" si="118"/>
        <v>3599.3296345635567</v>
      </c>
      <c r="G240" s="72">
        <f t="shared" si="118"/>
        <v>4292.6921552389358</v>
      </c>
      <c r="H240" s="72">
        <f t="shared" si="118"/>
        <v>5030.2531405728369</v>
      </c>
      <c r="I240" s="72">
        <f t="shared" si="118"/>
        <v>6140.230269301057</v>
      </c>
      <c r="J240" s="72">
        <f t="shared" si="118"/>
        <v>7551.7193030142771</v>
      </c>
      <c r="K240" s="72">
        <f t="shared" si="118"/>
        <v>8751.9667926195434</v>
      </c>
      <c r="L240" s="72">
        <f t="shared" si="118"/>
        <v>9672.4204029369666</v>
      </c>
      <c r="M240" s="72">
        <f t="shared" si="118"/>
        <v>10342.046237228482</v>
      </c>
      <c r="N240" s="72"/>
    </row>
  </sheetData>
  <mergeCells count="42">
    <mergeCell ref="A3:J3"/>
    <mergeCell ref="A4:J4"/>
    <mergeCell ref="A5:J5"/>
    <mergeCell ref="A212:N212"/>
    <mergeCell ref="A226:N226"/>
    <mergeCell ref="A170:N170"/>
    <mergeCell ref="A196:N196"/>
    <mergeCell ref="A206:N206"/>
    <mergeCell ref="A200:N200"/>
    <mergeCell ref="A147:A151"/>
    <mergeCell ref="A152:A156"/>
    <mergeCell ref="A158:A162"/>
    <mergeCell ref="A163:A167"/>
    <mergeCell ref="A47:M47"/>
    <mergeCell ref="A110:N110"/>
    <mergeCell ref="A116:N116"/>
    <mergeCell ref="A1:J1"/>
    <mergeCell ref="A104:N104"/>
    <mergeCell ref="A6:M6"/>
    <mergeCell ref="A13:M13"/>
    <mergeCell ref="A25:M25"/>
    <mergeCell ref="A40:M40"/>
    <mergeCell ref="A54:M54"/>
    <mergeCell ref="A32:M32"/>
    <mergeCell ref="A99:M99"/>
    <mergeCell ref="A90:M90"/>
    <mergeCell ref="A68:M68"/>
    <mergeCell ref="A79:M79"/>
    <mergeCell ref="A84:M84"/>
    <mergeCell ref="A95:M95"/>
    <mergeCell ref="B73:M73"/>
    <mergeCell ref="A2:J2"/>
    <mergeCell ref="B190:E190"/>
    <mergeCell ref="G190:J190"/>
    <mergeCell ref="L190:O190"/>
    <mergeCell ref="P11:R11"/>
    <mergeCell ref="P18:Q18"/>
    <mergeCell ref="B64:C64"/>
    <mergeCell ref="O57:S57"/>
    <mergeCell ref="A62:M62"/>
    <mergeCell ref="A130:N130"/>
    <mergeCell ref="A144:N14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2000 Professional</dc:creator>
  <cp:lastModifiedBy>Shazgath</cp:lastModifiedBy>
  <cp:lastPrinted>2013-06-17T15:43:23Z</cp:lastPrinted>
  <dcterms:created xsi:type="dcterms:W3CDTF">2004-10-18T14:02:37Z</dcterms:created>
  <dcterms:modified xsi:type="dcterms:W3CDTF">2013-12-09T14:21:51Z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-823111246</vt:i4>
  </property>
  <property fmtid="{D5CDD505-2E9C-101B-9397-08002B2CF9AE}" pid="4" name="_EmailSubject">
    <vt:lpwstr>PRESUPUESTO</vt:lpwstr>
  </property>
  <property fmtid="{D5CDD505-2E9C-101B-9397-08002B2CF9AE}" pid="5" name="_AuthorEmail">
    <vt:lpwstr>oducrey@exiros.com</vt:lpwstr>
  </property>
  <property fmtid="{D5CDD505-2E9C-101B-9397-08002B2CF9AE}" pid="6" name="_AuthorEmailDisplayName">
    <vt:lpwstr>DUCREY Omar             EXIROS</vt:lpwstr>
  </property>
  <property fmtid="{D5CDD505-2E9C-101B-9397-08002B2CF9AE}" pid="7" name="_ReviewingToolsShownOnce">
    <vt:lpwstr/>
  </property>
</Properties>
</file>