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380" yWindow="0" windowWidth="10080" windowHeight="7545" activeTab="2"/>
  </bookViews>
  <sheets>
    <sheet name="Enunciado" sheetId="1" r:id="rId1"/>
    <sheet name="Datos" sheetId="6" r:id="rId2"/>
    <sheet name="Produccion" sheetId="5" r:id="rId3"/>
    <sheet name="Hoja2" sheetId="2" state="hidden" r:id="rId4"/>
    <sheet name="Hoja3" sheetId="3" state="hidden" r:id="rId5"/>
    <sheet name="Hoja4" sheetId="4" r:id="rId6"/>
  </sheets>
  <calcPr calcId="144525"/>
</workbook>
</file>

<file path=xl/calcChain.xml><?xml version="1.0" encoding="utf-8"?>
<calcChain xmlns="http://schemas.openxmlformats.org/spreadsheetml/2006/main">
  <c r="C53" i="5" l="1"/>
  <c r="D53" i="5"/>
  <c r="E53" i="5"/>
  <c r="F53" i="5"/>
  <c r="G53" i="5"/>
  <c r="H53" i="5"/>
  <c r="I53" i="5"/>
  <c r="J53" i="5"/>
  <c r="K53" i="5"/>
  <c r="L53" i="5"/>
  <c r="M53" i="5"/>
  <c r="B53" i="5"/>
  <c r="B80" i="5"/>
  <c r="B84" i="5" s="1"/>
  <c r="D48" i="5"/>
  <c r="E48" i="5"/>
  <c r="F48" i="5"/>
  <c r="G48" i="5" s="1"/>
  <c r="H48" i="5" s="1"/>
  <c r="I48" i="5" s="1"/>
  <c r="J48" i="5" s="1"/>
  <c r="K48" i="5" s="1"/>
  <c r="L48" i="5" s="1"/>
  <c r="M48" i="5" s="1"/>
  <c r="C48" i="5"/>
  <c r="C58" i="5"/>
  <c r="D58" i="5" s="1"/>
  <c r="E58" i="5" s="1"/>
  <c r="F58" i="5" s="1"/>
  <c r="G58" i="5" s="1"/>
  <c r="H58" i="5" s="1"/>
  <c r="I58" i="5" s="1"/>
  <c r="J58" i="5" s="1"/>
  <c r="K58" i="5" s="1"/>
  <c r="L58" i="5" s="1"/>
  <c r="M58" i="5" s="1"/>
  <c r="C79" i="5"/>
  <c r="D79" i="5" s="1"/>
  <c r="E79" i="5" s="1"/>
  <c r="F79" i="5" s="1"/>
  <c r="G79" i="5" s="1"/>
  <c r="H79" i="5" s="1"/>
  <c r="I79" i="5" s="1"/>
  <c r="J79" i="5" s="1"/>
  <c r="K79" i="5" s="1"/>
  <c r="L79" i="5" s="1"/>
  <c r="M79" i="5" s="1"/>
  <c r="C69" i="5"/>
  <c r="D69" i="5" s="1"/>
  <c r="E69" i="5" s="1"/>
  <c r="F69" i="5" s="1"/>
  <c r="G69" i="5" s="1"/>
  <c r="H69" i="5" s="1"/>
  <c r="I69" i="5" s="1"/>
  <c r="J69" i="5" s="1"/>
  <c r="K69" i="5" s="1"/>
  <c r="L69" i="5" s="1"/>
  <c r="M69" i="5" s="1"/>
  <c r="C90" i="5" l="1"/>
  <c r="D90" i="5"/>
  <c r="E90" i="5"/>
  <c r="F90" i="5"/>
  <c r="G90" i="5"/>
  <c r="H90" i="5"/>
  <c r="I90" i="5"/>
  <c r="J90" i="5"/>
  <c r="K90" i="5"/>
  <c r="L90" i="5"/>
  <c r="M90" i="5"/>
  <c r="B90" i="5"/>
  <c r="C80" i="5"/>
  <c r="C84" i="5" s="1"/>
  <c r="D80" i="5"/>
  <c r="D84" i="5" s="1"/>
  <c r="E80" i="5"/>
  <c r="E84" i="5" s="1"/>
  <c r="F80" i="5"/>
  <c r="F84" i="5" s="1"/>
  <c r="G80" i="5"/>
  <c r="G84" i="5" s="1"/>
  <c r="H80" i="5"/>
  <c r="H84" i="5" s="1"/>
  <c r="I80" i="5"/>
  <c r="I84" i="5" s="1"/>
  <c r="J80" i="5"/>
  <c r="J84" i="5" s="1"/>
  <c r="K80" i="5"/>
  <c r="K84" i="5" s="1"/>
  <c r="L80" i="5"/>
  <c r="L84" i="5" s="1"/>
  <c r="M80" i="5"/>
  <c r="M84" i="5" s="1"/>
  <c r="C70" i="5"/>
  <c r="C74" i="5" s="1"/>
  <c r="D70" i="5"/>
  <c r="D74" i="5" s="1"/>
  <c r="E70" i="5"/>
  <c r="E74" i="5" s="1"/>
  <c r="F70" i="5"/>
  <c r="F74" i="5" s="1"/>
  <c r="G70" i="5"/>
  <c r="G74" i="5" s="1"/>
  <c r="H70" i="5"/>
  <c r="H74" i="5" s="1"/>
  <c r="I70" i="5"/>
  <c r="I74" i="5" s="1"/>
  <c r="J70" i="5"/>
  <c r="J74" i="5" s="1"/>
  <c r="K70" i="5"/>
  <c r="K74" i="5" s="1"/>
  <c r="L70" i="5"/>
  <c r="L74" i="5" s="1"/>
  <c r="M70" i="5"/>
  <c r="M74" i="5" s="1"/>
  <c r="B70" i="5"/>
  <c r="B74" i="5" s="1"/>
  <c r="B59" i="5"/>
  <c r="B63" i="5" s="1"/>
  <c r="M59" i="5"/>
  <c r="M63" i="5" s="1"/>
  <c r="L59" i="5"/>
  <c r="L63" i="5" s="1"/>
  <c r="K59" i="5"/>
  <c r="K63" i="5" s="1"/>
  <c r="J59" i="5"/>
  <c r="J63" i="5" s="1"/>
  <c r="I59" i="5"/>
  <c r="I63" i="5" s="1"/>
  <c r="H59" i="5"/>
  <c r="H63" i="5" s="1"/>
  <c r="G59" i="5"/>
  <c r="G63" i="5" s="1"/>
  <c r="F59" i="5"/>
  <c r="F63" i="5" s="1"/>
  <c r="E59" i="5"/>
  <c r="E63" i="5" s="1"/>
  <c r="D59" i="5"/>
  <c r="D63" i="5" s="1"/>
  <c r="C59" i="5"/>
  <c r="C63" i="5" s="1"/>
  <c r="C49" i="5"/>
  <c r="D49" i="5"/>
  <c r="E49" i="5"/>
  <c r="F49" i="5"/>
  <c r="G49" i="5"/>
  <c r="H49" i="5"/>
  <c r="I49" i="5"/>
  <c r="J49" i="5"/>
  <c r="K49" i="5"/>
  <c r="L49" i="5"/>
  <c r="M49" i="5"/>
  <c r="B49" i="5"/>
  <c r="S311" i="5" l="1"/>
  <c r="T311" i="5" s="1"/>
  <c r="S310" i="5"/>
  <c r="T310" i="5" s="1"/>
  <c r="M304" i="5"/>
  <c r="L304" i="5"/>
  <c r="K304" i="5"/>
  <c r="J304" i="5"/>
  <c r="I304" i="5"/>
  <c r="H304" i="5"/>
  <c r="G304" i="5"/>
  <c r="F304" i="5"/>
  <c r="E304" i="5"/>
  <c r="D304" i="5"/>
  <c r="C304" i="5"/>
  <c r="B304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M298" i="5"/>
  <c r="L298" i="5"/>
  <c r="L300" i="5" s="1"/>
  <c r="K298" i="5"/>
  <c r="J298" i="5"/>
  <c r="J300" i="5" s="1"/>
  <c r="I298" i="5"/>
  <c r="H298" i="5"/>
  <c r="H300" i="5" s="1"/>
  <c r="G298" i="5"/>
  <c r="F298" i="5"/>
  <c r="F300" i="5" s="1"/>
  <c r="E298" i="5"/>
  <c r="D298" i="5"/>
  <c r="D300" i="5" s="1"/>
  <c r="C298" i="5"/>
  <c r="B298" i="5"/>
  <c r="M294" i="5"/>
  <c r="M329" i="5" s="1"/>
  <c r="L294" i="5"/>
  <c r="L329" i="5" s="1"/>
  <c r="K294" i="5"/>
  <c r="K329" i="5" s="1"/>
  <c r="J294" i="5"/>
  <c r="J329" i="5" s="1"/>
  <c r="I294" i="5"/>
  <c r="I329" i="5" s="1"/>
  <c r="H294" i="5"/>
  <c r="H329" i="5" s="1"/>
  <c r="G294" i="5"/>
  <c r="G329" i="5" s="1"/>
  <c r="F294" i="5"/>
  <c r="F329" i="5" s="1"/>
  <c r="E294" i="5"/>
  <c r="D294" i="5"/>
  <c r="D329" i="5" s="1"/>
  <c r="C294" i="5"/>
  <c r="C329" i="5" s="1"/>
  <c r="B294" i="5"/>
  <c r="B329" i="5" s="1"/>
  <c r="E288" i="5"/>
  <c r="D288" i="5"/>
  <c r="C288" i="5"/>
  <c r="B288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09" i="5"/>
  <c r="M209" i="5"/>
  <c r="M220" i="5" s="1"/>
  <c r="L209" i="5"/>
  <c r="L220" i="5" s="1"/>
  <c r="K209" i="5"/>
  <c r="J209" i="5"/>
  <c r="J220" i="5" s="1"/>
  <c r="I209" i="5"/>
  <c r="H209" i="5"/>
  <c r="H220" i="5" s="1"/>
  <c r="G209" i="5"/>
  <c r="F209" i="5"/>
  <c r="F220" i="5" s="1"/>
  <c r="E209" i="5"/>
  <c r="D209" i="5"/>
  <c r="D220" i="5" s="1"/>
  <c r="C209" i="5"/>
  <c r="B209" i="5"/>
  <c r="B220" i="5" s="1"/>
  <c r="N208" i="5"/>
  <c r="M208" i="5"/>
  <c r="Q221" i="5" s="1"/>
  <c r="B215" i="5" s="1"/>
  <c r="L208" i="5"/>
  <c r="K208" i="5"/>
  <c r="K216" i="5" s="1"/>
  <c r="J208" i="5"/>
  <c r="J216" i="5" s="1"/>
  <c r="I208" i="5"/>
  <c r="I216" i="5" s="1"/>
  <c r="H208" i="5"/>
  <c r="G208" i="5"/>
  <c r="G216" i="5" s="1"/>
  <c r="F208" i="5"/>
  <c r="F216" i="5" s="1"/>
  <c r="E208" i="5"/>
  <c r="E216" i="5" s="1"/>
  <c r="D208" i="5"/>
  <c r="C208" i="5"/>
  <c r="C216" i="5" s="1"/>
  <c r="B208" i="5"/>
  <c r="B216" i="5" s="1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S155" i="5"/>
  <c r="R155" i="5"/>
  <c r="Q155" i="5"/>
  <c r="P155" i="5"/>
  <c r="Q150" i="5"/>
  <c r="N140" i="5" s="1"/>
  <c r="Q149" i="5"/>
  <c r="N138" i="5" s="1"/>
  <c r="T127" i="5"/>
  <c r="S127" i="5"/>
  <c r="R127" i="5"/>
  <c r="Q127" i="5"/>
  <c r="Q9" i="5"/>
  <c r="S156" i="5" s="1"/>
  <c r="N139" i="5" l="1"/>
  <c r="N141" i="5"/>
  <c r="Q128" i="5"/>
  <c r="Q129" i="5" s="1"/>
  <c r="S158" i="5"/>
  <c r="E219" i="5"/>
  <c r="I219" i="5"/>
  <c r="M219" i="5"/>
  <c r="M221" i="5" s="1"/>
  <c r="S128" i="5"/>
  <c r="S129" i="5" s="1"/>
  <c r="D210" i="5"/>
  <c r="H210" i="5"/>
  <c r="L210" i="5"/>
  <c r="N210" i="5"/>
  <c r="C219" i="5"/>
  <c r="G219" i="5"/>
  <c r="K219" i="5"/>
  <c r="N298" i="5"/>
  <c r="M315" i="5"/>
  <c r="B154" i="5"/>
  <c r="B155" i="5"/>
  <c r="D155" i="5"/>
  <c r="D154" i="5"/>
  <c r="F154" i="5"/>
  <c r="F155" i="5"/>
  <c r="H155" i="5"/>
  <c r="H154" i="5"/>
  <c r="J154" i="5"/>
  <c r="J155" i="5"/>
  <c r="L155" i="5"/>
  <c r="L154" i="5"/>
  <c r="C155" i="5"/>
  <c r="C154" i="5"/>
  <c r="E155" i="5"/>
  <c r="E154" i="5"/>
  <c r="G155" i="5"/>
  <c r="G154" i="5"/>
  <c r="I155" i="5"/>
  <c r="I154" i="5"/>
  <c r="K155" i="5"/>
  <c r="K154" i="5"/>
  <c r="M155" i="5"/>
  <c r="M154" i="5"/>
  <c r="C220" i="5"/>
  <c r="D219" i="5"/>
  <c r="D221" i="5" s="1"/>
  <c r="E220" i="5"/>
  <c r="E221" i="5" s="1"/>
  <c r="F219" i="5"/>
  <c r="F221" i="5" s="1"/>
  <c r="G220" i="5"/>
  <c r="H219" i="5"/>
  <c r="H221" i="5" s="1"/>
  <c r="I220" i="5"/>
  <c r="I221" i="5" s="1"/>
  <c r="J219" i="5"/>
  <c r="J221" i="5" s="1"/>
  <c r="K220" i="5"/>
  <c r="L219" i="5"/>
  <c r="L221" i="5" s="1"/>
  <c r="I288" i="5"/>
  <c r="N288" i="5" s="1"/>
  <c r="G288" i="5"/>
  <c r="L288" i="5" s="1"/>
  <c r="H288" i="5"/>
  <c r="M288" i="5" s="1"/>
  <c r="J288" i="5"/>
  <c r="O288" i="5" s="1"/>
  <c r="R156" i="5"/>
  <c r="R157" i="5" s="1"/>
  <c r="P156" i="5"/>
  <c r="P158" i="5" s="1"/>
  <c r="D330" i="5"/>
  <c r="D312" i="5"/>
  <c r="F330" i="5"/>
  <c r="F312" i="5"/>
  <c r="H330" i="5"/>
  <c r="H312" i="5"/>
  <c r="J330" i="5"/>
  <c r="J312" i="5"/>
  <c r="L330" i="5"/>
  <c r="L312" i="5"/>
  <c r="S157" i="5"/>
  <c r="B210" i="5"/>
  <c r="F210" i="5"/>
  <c r="J210" i="5"/>
  <c r="E215" i="5"/>
  <c r="E217" i="5" s="1"/>
  <c r="I215" i="5"/>
  <c r="I217" i="5" s="1"/>
  <c r="M215" i="5"/>
  <c r="D216" i="5"/>
  <c r="H216" i="5"/>
  <c r="L216" i="5"/>
  <c r="R128" i="5"/>
  <c r="R129" i="5" s="1"/>
  <c r="T128" i="5"/>
  <c r="T129" i="5" s="1"/>
  <c r="R158" i="5"/>
  <c r="Q156" i="5"/>
  <c r="Q158" i="5" s="1"/>
  <c r="B217" i="5"/>
  <c r="C215" i="5"/>
  <c r="G215" i="5"/>
  <c r="G217" i="5" s="1"/>
  <c r="K215" i="5"/>
  <c r="K217" i="5" s="1"/>
  <c r="R221" i="5"/>
  <c r="B219" i="5" s="1"/>
  <c r="B221" i="5" s="1"/>
  <c r="E329" i="5"/>
  <c r="N294" i="5"/>
  <c r="N329" i="5" s="1"/>
  <c r="L315" i="5"/>
  <c r="J315" i="5"/>
  <c r="H315" i="5"/>
  <c r="F315" i="5"/>
  <c r="D315" i="5"/>
  <c r="B315" i="5"/>
  <c r="C210" i="5"/>
  <c r="E210" i="5"/>
  <c r="G210" i="5"/>
  <c r="I210" i="5"/>
  <c r="K210" i="5"/>
  <c r="M210" i="5"/>
  <c r="D215" i="5"/>
  <c r="F215" i="5"/>
  <c r="F217" i="5" s="1"/>
  <c r="H215" i="5"/>
  <c r="J215" i="5"/>
  <c r="J217" i="5" s="1"/>
  <c r="L215" i="5"/>
  <c r="M216" i="5"/>
  <c r="C300" i="5"/>
  <c r="E300" i="5"/>
  <c r="G300" i="5"/>
  <c r="I300" i="5"/>
  <c r="K300" i="5"/>
  <c r="M300" i="5"/>
  <c r="N299" i="5"/>
  <c r="B300" i="5"/>
  <c r="C315" i="5"/>
  <c r="G315" i="5"/>
  <c r="K315" i="5"/>
  <c r="E315" i="5"/>
  <c r="I315" i="5"/>
  <c r="N304" i="5"/>
  <c r="Q9" i="4"/>
  <c r="H192" i="4" s="1"/>
  <c r="E192" i="4"/>
  <c r="D192" i="4"/>
  <c r="C192" i="4"/>
  <c r="B192" i="4"/>
  <c r="B22" i="4"/>
  <c r="C22" i="4"/>
  <c r="D22" i="4"/>
  <c r="E22" i="4"/>
  <c r="F22" i="4"/>
  <c r="G22" i="4"/>
  <c r="H22" i="4"/>
  <c r="I22" i="4"/>
  <c r="J22" i="4"/>
  <c r="K22" i="4"/>
  <c r="L22" i="4"/>
  <c r="M22" i="4"/>
  <c r="M198" i="4"/>
  <c r="M233" i="4" s="1"/>
  <c r="L198" i="4"/>
  <c r="L233" i="4" s="1"/>
  <c r="K198" i="4"/>
  <c r="K233" i="4" s="1"/>
  <c r="J198" i="4"/>
  <c r="J233" i="4" s="1"/>
  <c r="D198" i="4"/>
  <c r="D233" i="4" s="1"/>
  <c r="C198" i="4"/>
  <c r="C233" i="4" s="1"/>
  <c r="B198" i="4"/>
  <c r="B233" i="4" s="1"/>
  <c r="H198" i="4"/>
  <c r="H233" i="4" s="1"/>
  <c r="I198" i="4"/>
  <c r="I233" i="4" s="1"/>
  <c r="G198" i="4"/>
  <c r="G233" i="4" s="1"/>
  <c r="F198" i="4"/>
  <c r="F233" i="4" s="1"/>
  <c r="E198" i="4"/>
  <c r="E233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N203" i="4" s="1"/>
  <c r="M202" i="4"/>
  <c r="M204" i="4" s="1"/>
  <c r="M234" i="4" s="1"/>
  <c r="L202" i="4"/>
  <c r="K202" i="4"/>
  <c r="J202" i="4"/>
  <c r="I202" i="4"/>
  <c r="H202" i="4"/>
  <c r="G202" i="4"/>
  <c r="F202" i="4"/>
  <c r="E202" i="4"/>
  <c r="D202" i="4"/>
  <c r="C202" i="4"/>
  <c r="B202" i="4"/>
  <c r="N208" i="4"/>
  <c r="J204" i="4"/>
  <c r="J234" i="4" s="1"/>
  <c r="H204" i="4"/>
  <c r="H234" i="4" s="1"/>
  <c r="F204" i="4"/>
  <c r="F234" i="4" s="1"/>
  <c r="D204" i="4"/>
  <c r="D234" i="4" s="1"/>
  <c r="B204" i="4"/>
  <c r="B234" i="4" s="1"/>
  <c r="C204" i="4"/>
  <c r="C234" i="4" s="1"/>
  <c r="E204" i="4"/>
  <c r="E234" i="4" s="1"/>
  <c r="G204" i="4"/>
  <c r="G234" i="4" s="1"/>
  <c r="I204" i="4"/>
  <c r="I234" i="4" s="1"/>
  <c r="K204" i="4"/>
  <c r="K234" i="4" s="1"/>
  <c r="L204" i="4"/>
  <c r="L234" i="4" s="1"/>
  <c r="T32" i="4"/>
  <c r="T31" i="4"/>
  <c r="S32" i="4"/>
  <c r="S31" i="4"/>
  <c r="R32" i="4"/>
  <c r="R33" i="4" s="1"/>
  <c r="R31" i="4"/>
  <c r="Q32" i="4"/>
  <c r="Q31" i="4"/>
  <c r="S215" i="4"/>
  <c r="T215" i="4" s="1"/>
  <c r="S214" i="4"/>
  <c r="T214" i="4" s="1"/>
  <c r="C179" i="4"/>
  <c r="D179" i="4"/>
  <c r="E179" i="4"/>
  <c r="F179" i="4"/>
  <c r="G179" i="4"/>
  <c r="H179" i="4"/>
  <c r="I179" i="4"/>
  <c r="J179" i="4"/>
  <c r="K179" i="4"/>
  <c r="L179" i="4"/>
  <c r="M179" i="4"/>
  <c r="B179" i="4"/>
  <c r="C178" i="4"/>
  <c r="D178" i="4"/>
  <c r="E178" i="4"/>
  <c r="F178" i="4"/>
  <c r="G178" i="4"/>
  <c r="H178" i="4"/>
  <c r="I178" i="4"/>
  <c r="J178" i="4"/>
  <c r="K178" i="4"/>
  <c r="L178" i="4"/>
  <c r="M178" i="4"/>
  <c r="C176" i="4"/>
  <c r="D176" i="4"/>
  <c r="E176" i="4"/>
  <c r="F176" i="4"/>
  <c r="G176" i="4"/>
  <c r="H176" i="4"/>
  <c r="I176" i="4"/>
  <c r="J176" i="4"/>
  <c r="K176" i="4"/>
  <c r="L176" i="4"/>
  <c r="M176" i="4"/>
  <c r="B176" i="4"/>
  <c r="C175" i="4"/>
  <c r="D175" i="4"/>
  <c r="E175" i="4"/>
  <c r="F175" i="4"/>
  <c r="G175" i="4"/>
  <c r="H175" i="4"/>
  <c r="I175" i="4"/>
  <c r="J175" i="4"/>
  <c r="K175" i="4"/>
  <c r="L175" i="4"/>
  <c r="M175" i="4"/>
  <c r="C174" i="4"/>
  <c r="D174" i="4"/>
  <c r="E174" i="4"/>
  <c r="F174" i="4"/>
  <c r="G174" i="4"/>
  <c r="H174" i="4"/>
  <c r="H184" i="4" s="1"/>
  <c r="H186" i="4" s="1"/>
  <c r="I174" i="4"/>
  <c r="J174" i="4"/>
  <c r="K174" i="4"/>
  <c r="L174" i="4"/>
  <c r="M174" i="4"/>
  <c r="M184" i="4" s="1"/>
  <c r="M186" i="4" s="1"/>
  <c r="B174" i="4"/>
  <c r="C173" i="4"/>
  <c r="D173" i="4"/>
  <c r="E173" i="4"/>
  <c r="F173" i="4"/>
  <c r="G173" i="4"/>
  <c r="H173" i="4"/>
  <c r="H182" i="4" s="1"/>
  <c r="I173" i="4"/>
  <c r="J173" i="4"/>
  <c r="K173" i="4"/>
  <c r="L173" i="4"/>
  <c r="M173" i="4"/>
  <c r="B178" i="4"/>
  <c r="B175" i="4"/>
  <c r="B173" i="4"/>
  <c r="N44" i="4"/>
  <c r="Q54" i="4"/>
  <c r="N45" i="4" s="1"/>
  <c r="Q53" i="4"/>
  <c r="N43" i="4" s="1"/>
  <c r="N113" i="4"/>
  <c r="N112" i="4"/>
  <c r="C113" i="4"/>
  <c r="C124" i="4" s="1"/>
  <c r="D113" i="4"/>
  <c r="E123" i="4" s="1"/>
  <c r="E113" i="4"/>
  <c r="E124" i="4" s="1"/>
  <c r="F113" i="4"/>
  <c r="G123" i="4" s="1"/>
  <c r="G113" i="4"/>
  <c r="G124" i="4" s="1"/>
  <c r="H113" i="4"/>
  <c r="I123" i="4" s="1"/>
  <c r="I113" i="4"/>
  <c r="I124" i="4" s="1"/>
  <c r="J113" i="4"/>
  <c r="K123" i="4" s="1"/>
  <c r="K125" i="4" s="1"/>
  <c r="K113" i="4"/>
  <c r="K124" i="4" s="1"/>
  <c r="L113" i="4"/>
  <c r="M123" i="4" s="1"/>
  <c r="M113" i="4"/>
  <c r="M124" i="4" s="1"/>
  <c r="B113" i="4"/>
  <c r="B124" i="4" s="1"/>
  <c r="C112" i="4"/>
  <c r="D119" i="4" s="1"/>
  <c r="D112" i="4"/>
  <c r="D120" i="4" s="1"/>
  <c r="E112" i="4"/>
  <c r="F119" i="4" s="1"/>
  <c r="F112" i="4"/>
  <c r="F120" i="4" s="1"/>
  <c r="G112" i="4"/>
  <c r="H119" i="4" s="1"/>
  <c r="H112" i="4"/>
  <c r="H120" i="4" s="1"/>
  <c r="I112" i="4"/>
  <c r="J119" i="4" s="1"/>
  <c r="J112" i="4"/>
  <c r="J120" i="4" s="1"/>
  <c r="K112" i="4"/>
  <c r="L119" i="4" s="1"/>
  <c r="L112" i="4"/>
  <c r="L120" i="4" s="1"/>
  <c r="M112" i="4"/>
  <c r="Q125" i="4" s="1"/>
  <c r="B119" i="4" s="1"/>
  <c r="B112" i="4"/>
  <c r="B120" i="4" s="1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D114" i="4"/>
  <c r="H114" i="4"/>
  <c r="L114" i="4"/>
  <c r="E114" i="4"/>
  <c r="I114" i="4"/>
  <c r="K114" i="4"/>
  <c r="S60" i="4"/>
  <c r="S59" i="4"/>
  <c r="R60" i="4"/>
  <c r="R59" i="4"/>
  <c r="Q60" i="4"/>
  <c r="Q59" i="4"/>
  <c r="P59" i="4"/>
  <c r="P60" i="4"/>
  <c r="C19" i="4"/>
  <c r="D19" i="4"/>
  <c r="E19" i="4"/>
  <c r="F19" i="4"/>
  <c r="G19" i="4"/>
  <c r="H19" i="4"/>
  <c r="I19" i="4"/>
  <c r="J19" i="4"/>
  <c r="K19" i="4"/>
  <c r="L19" i="4"/>
  <c r="M19" i="4"/>
  <c r="C18" i="4"/>
  <c r="D18" i="4"/>
  <c r="E18" i="4"/>
  <c r="F18" i="4"/>
  <c r="G18" i="4"/>
  <c r="H18" i="4"/>
  <c r="I18" i="4"/>
  <c r="J18" i="4"/>
  <c r="K18" i="4"/>
  <c r="L18" i="4"/>
  <c r="M18" i="4"/>
  <c r="B18" i="4"/>
  <c r="B19" i="4"/>
  <c r="C15" i="4"/>
  <c r="D15" i="4"/>
  <c r="E15" i="4"/>
  <c r="F15" i="4"/>
  <c r="G15" i="4"/>
  <c r="H15" i="4"/>
  <c r="I15" i="4"/>
  <c r="J15" i="4"/>
  <c r="K15" i="4"/>
  <c r="L15" i="4"/>
  <c r="M15" i="4"/>
  <c r="B15" i="4"/>
  <c r="C14" i="4"/>
  <c r="D14" i="4"/>
  <c r="E14" i="4"/>
  <c r="F14" i="4"/>
  <c r="F16" i="4" s="1"/>
  <c r="G14" i="4"/>
  <c r="H14" i="4"/>
  <c r="I14" i="4"/>
  <c r="J14" i="4"/>
  <c r="K14" i="4"/>
  <c r="L14" i="4"/>
  <c r="M14" i="4"/>
  <c r="B14" i="4"/>
  <c r="N29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G28" i="1"/>
  <c r="F28" i="1"/>
  <c r="E28" i="1"/>
  <c r="D28" i="1"/>
  <c r="C28" i="1"/>
  <c r="P157" i="5" l="1"/>
  <c r="G221" i="5"/>
  <c r="H217" i="5"/>
  <c r="F8" i="5"/>
  <c r="F230" i="5"/>
  <c r="F193" i="5"/>
  <c r="A167" i="5"/>
  <c r="B9" i="5"/>
  <c r="B236" i="5"/>
  <c r="B162" i="5"/>
  <c r="B172" i="5" s="1"/>
  <c r="K9" i="5"/>
  <c r="K236" i="5"/>
  <c r="K162" i="5"/>
  <c r="D8" i="5"/>
  <c r="D230" i="5"/>
  <c r="D193" i="5"/>
  <c r="D161" i="5"/>
  <c r="K8" i="5"/>
  <c r="K230" i="5"/>
  <c r="K193" i="5"/>
  <c r="K161" i="5"/>
  <c r="F162" i="5"/>
  <c r="F9" i="5"/>
  <c r="F236" i="5"/>
  <c r="I162" i="5"/>
  <c r="I9" i="5"/>
  <c r="I236" i="5"/>
  <c r="B8" i="5"/>
  <c r="B230" i="5"/>
  <c r="B193" i="5"/>
  <c r="A166" i="5"/>
  <c r="B229" i="5" s="1"/>
  <c r="B161" i="5"/>
  <c r="E8" i="5"/>
  <c r="E230" i="5"/>
  <c r="E193" i="5"/>
  <c r="E161" i="5"/>
  <c r="L8" i="5"/>
  <c r="L230" i="5"/>
  <c r="L193" i="5"/>
  <c r="D9" i="5"/>
  <c r="D236" i="5"/>
  <c r="D162" i="5"/>
  <c r="G9" i="5"/>
  <c r="G236" i="5"/>
  <c r="G162" i="5"/>
  <c r="J9" i="5"/>
  <c r="J236" i="5"/>
  <c r="J162" i="5"/>
  <c r="M9" i="5"/>
  <c r="M236" i="5"/>
  <c r="M162" i="5"/>
  <c r="M114" i="4"/>
  <c r="F114" i="4"/>
  <c r="N114" i="4"/>
  <c r="L184" i="4"/>
  <c r="L186" i="4" s="1"/>
  <c r="L187" i="4" s="1"/>
  <c r="L188" i="4" s="1"/>
  <c r="L232" i="4" s="1"/>
  <c r="C184" i="4"/>
  <c r="C186" i="4" s="1"/>
  <c r="S33" i="4"/>
  <c r="H9" i="5"/>
  <c r="H236" i="5"/>
  <c r="H162" i="5"/>
  <c r="C161" i="5"/>
  <c r="C8" i="5"/>
  <c r="C230" i="5"/>
  <c r="C193" i="5"/>
  <c r="E9" i="5"/>
  <c r="E236" i="5"/>
  <c r="E162" i="5"/>
  <c r="C140" i="4"/>
  <c r="C162" i="5"/>
  <c r="C9" i="5"/>
  <c r="C236" i="5"/>
  <c r="L162" i="5"/>
  <c r="L9" i="5"/>
  <c r="L236" i="5"/>
  <c r="M125" i="4"/>
  <c r="G125" i="4"/>
  <c r="Q33" i="4"/>
  <c r="T33" i="4"/>
  <c r="G223" i="5"/>
  <c r="G224" i="5" s="1"/>
  <c r="G310" i="5" s="1"/>
  <c r="J223" i="5"/>
  <c r="J224" i="5" s="1"/>
  <c r="J324" i="5" s="1"/>
  <c r="J326" i="5" s="1"/>
  <c r="F223" i="5"/>
  <c r="F224" i="5" s="1"/>
  <c r="F324" i="5" s="1"/>
  <c r="F326" i="5" s="1"/>
  <c r="Q157" i="5"/>
  <c r="N216" i="5"/>
  <c r="I223" i="5"/>
  <c r="I224" i="5" s="1"/>
  <c r="I324" i="5" s="1"/>
  <c r="I326" i="5" s="1"/>
  <c r="K221" i="5"/>
  <c r="K223" i="5" s="1"/>
  <c r="K224" i="5" s="1"/>
  <c r="K312" i="5"/>
  <c r="K330" i="5"/>
  <c r="G312" i="5"/>
  <c r="G330" i="5"/>
  <c r="C312" i="5"/>
  <c r="C330" i="5"/>
  <c r="J310" i="5"/>
  <c r="N215" i="5"/>
  <c r="C217" i="5"/>
  <c r="N255" i="5"/>
  <c r="L140" i="5"/>
  <c r="N260" i="5"/>
  <c r="L141" i="5"/>
  <c r="J255" i="5"/>
  <c r="H140" i="5"/>
  <c r="J260" i="5"/>
  <c r="H141" i="5"/>
  <c r="F255" i="5"/>
  <c r="D140" i="5"/>
  <c r="F260" i="5"/>
  <c r="D141" i="5"/>
  <c r="M255" i="5"/>
  <c r="K140" i="5"/>
  <c r="K255" i="5"/>
  <c r="I140" i="5"/>
  <c r="I255" i="5"/>
  <c r="G140" i="5"/>
  <c r="G255" i="5"/>
  <c r="E140" i="5"/>
  <c r="E255" i="5"/>
  <c r="C140" i="5"/>
  <c r="C255" i="5"/>
  <c r="A125" i="5"/>
  <c r="B330" i="5"/>
  <c r="B312" i="5"/>
  <c r="N300" i="5"/>
  <c r="N330" i="5" s="1"/>
  <c r="M312" i="5"/>
  <c r="M330" i="5"/>
  <c r="I312" i="5"/>
  <c r="I330" i="5"/>
  <c r="E312" i="5"/>
  <c r="E330" i="5"/>
  <c r="N220" i="5"/>
  <c r="C221" i="5"/>
  <c r="L255" i="5"/>
  <c r="J140" i="5"/>
  <c r="L260" i="5"/>
  <c r="J141" i="5"/>
  <c r="H255" i="5"/>
  <c r="F140" i="5"/>
  <c r="H260" i="5"/>
  <c r="F141" i="5"/>
  <c r="D255" i="5"/>
  <c r="B140" i="5"/>
  <c r="D260" i="5"/>
  <c r="B141" i="5"/>
  <c r="M260" i="5"/>
  <c r="K141" i="5"/>
  <c r="K260" i="5"/>
  <c r="I141" i="5"/>
  <c r="I260" i="5"/>
  <c r="G141" i="5"/>
  <c r="G260" i="5"/>
  <c r="E141" i="5"/>
  <c r="E260" i="5"/>
  <c r="C141" i="5"/>
  <c r="C260" i="5"/>
  <c r="A126" i="5"/>
  <c r="N315" i="5"/>
  <c r="L217" i="5"/>
  <c r="L223" i="5" s="1"/>
  <c r="L224" i="5" s="1"/>
  <c r="H223" i="5"/>
  <c r="H224" i="5" s="1"/>
  <c r="D217" i="5"/>
  <c r="D223" i="5" s="1"/>
  <c r="D224" i="5" s="1"/>
  <c r="N219" i="5"/>
  <c r="B223" i="5"/>
  <c r="B224" i="5" s="1"/>
  <c r="M217" i="5"/>
  <c r="M223" i="5" s="1"/>
  <c r="M224" i="5" s="1"/>
  <c r="E223" i="5"/>
  <c r="E224" i="5" s="1"/>
  <c r="A70" i="4"/>
  <c r="B133" i="4" s="1"/>
  <c r="B97" i="4"/>
  <c r="B101" i="4" s="1"/>
  <c r="B134" i="4"/>
  <c r="D134" i="4"/>
  <c r="D65" i="4"/>
  <c r="D97" i="4"/>
  <c r="D101" i="4" s="1"/>
  <c r="F134" i="4"/>
  <c r="F97" i="4"/>
  <c r="F101" i="4" s="1"/>
  <c r="L134" i="4"/>
  <c r="L97" i="4"/>
  <c r="L101" i="4" s="1"/>
  <c r="C97" i="4"/>
  <c r="C101" i="4" s="1"/>
  <c r="C134" i="4"/>
  <c r="E97" i="4"/>
  <c r="E101" i="4" s="1"/>
  <c r="E134" i="4"/>
  <c r="K97" i="4"/>
  <c r="K101" i="4" s="1"/>
  <c r="K134" i="4"/>
  <c r="O29" i="1"/>
  <c r="A71" i="4"/>
  <c r="B139" i="4" s="1"/>
  <c r="B140" i="4"/>
  <c r="D66" i="4"/>
  <c r="D140" i="4"/>
  <c r="F66" i="4"/>
  <c r="F140" i="4"/>
  <c r="H66" i="4"/>
  <c r="H140" i="4"/>
  <c r="J66" i="4"/>
  <c r="J140" i="4"/>
  <c r="L66" i="4"/>
  <c r="L140" i="4"/>
  <c r="F57" i="4"/>
  <c r="F56" i="4"/>
  <c r="B65" i="4"/>
  <c r="C65" i="4"/>
  <c r="K65" i="4"/>
  <c r="E65" i="4"/>
  <c r="E140" i="4"/>
  <c r="E66" i="4"/>
  <c r="G140" i="4"/>
  <c r="G66" i="4"/>
  <c r="I140" i="4"/>
  <c r="I66" i="4"/>
  <c r="K140" i="4"/>
  <c r="K66" i="4"/>
  <c r="M140" i="4"/>
  <c r="M66" i="4"/>
  <c r="B66" i="4"/>
  <c r="B76" i="4" s="1"/>
  <c r="C66" i="4"/>
  <c r="E125" i="4"/>
  <c r="E119" i="4"/>
  <c r="M119" i="4"/>
  <c r="I120" i="4"/>
  <c r="F123" i="4"/>
  <c r="D124" i="4"/>
  <c r="L124" i="4"/>
  <c r="L182" i="4"/>
  <c r="L183" i="4"/>
  <c r="F184" i="4"/>
  <c r="F186" i="4" s="1"/>
  <c r="G192" i="4"/>
  <c r="L192" i="4" s="1"/>
  <c r="L121" i="4"/>
  <c r="H121" i="4"/>
  <c r="D121" i="4"/>
  <c r="I125" i="4"/>
  <c r="I119" i="4"/>
  <c r="I121" i="4" s="1"/>
  <c r="E120" i="4"/>
  <c r="M120" i="4"/>
  <c r="J123" i="4"/>
  <c r="H124" i="4"/>
  <c r="R125" i="4"/>
  <c r="B123" i="4" s="1"/>
  <c r="K182" i="4"/>
  <c r="G182" i="4"/>
  <c r="E182" i="4"/>
  <c r="K183" i="4"/>
  <c r="M192" i="4"/>
  <c r="I192" i="4"/>
  <c r="N192" i="4" s="1"/>
  <c r="J192" i="4"/>
  <c r="O192" i="4" s="1"/>
  <c r="M182" i="4"/>
  <c r="M20" i="4"/>
  <c r="K184" i="4"/>
  <c r="K186" i="4" s="1"/>
  <c r="J182" i="4"/>
  <c r="J184" i="4"/>
  <c r="J186" i="4" s="1"/>
  <c r="J187" i="4" s="1"/>
  <c r="J188" i="4" s="1"/>
  <c r="J232" i="4" s="1"/>
  <c r="H183" i="4"/>
  <c r="H16" i="4"/>
  <c r="H57" i="4" s="1"/>
  <c r="G43" i="4" s="1"/>
  <c r="D184" i="4"/>
  <c r="D186" i="4" s="1"/>
  <c r="D187" i="4" s="1"/>
  <c r="D188" i="4" s="1"/>
  <c r="D232" i="4" s="1"/>
  <c r="C187" i="4"/>
  <c r="C188" i="4" s="1"/>
  <c r="C232" i="4" s="1"/>
  <c r="B184" i="4"/>
  <c r="B186" i="4" s="1"/>
  <c r="B187" i="4" s="1"/>
  <c r="B188" i="4" s="1"/>
  <c r="B232" i="4" s="1"/>
  <c r="M187" i="4"/>
  <c r="M188" i="4" s="1"/>
  <c r="M232" i="4" s="1"/>
  <c r="J183" i="4"/>
  <c r="I184" i="4"/>
  <c r="I186" i="4" s="1"/>
  <c r="I182" i="4"/>
  <c r="G183" i="4"/>
  <c r="G16" i="4"/>
  <c r="G184" i="4"/>
  <c r="G186" i="4" s="1"/>
  <c r="F182" i="4"/>
  <c r="E184" i="4"/>
  <c r="E186" i="4" s="1"/>
  <c r="E187" i="4" s="1"/>
  <c r="E188" i="4" s="1"/>
  <c r="E232" i="4" s="1"/>
  <c r="E183" i="4"/>
  <c r="D182" i="4"/>
  <c r="F219" i="4"/>
  <c r="J219" i="4"/>
  <c r="B219" i="4"/>
  <c r="E219" i="4"/>
  <c r="I219" i="4"/>
  <c r="M219" i="4"/>
  <c r="D219" i="4"/>
  <c r="H219" i="4"/>
  <c r="L219" i="4"/>
  <c r="C219" i="4"/>
  <c r="G219" i="4"/>
  <c r="K219" i="4"/>
  <c r="N202" i="4"/>
  <c r="N204" i="4"/>
  <c r="N234" i="4" s="1"/>
  <c r="E216" i="4"/>
  <c r="I216" i="4"/>
  <c r="M216" i="4"/>
  <c r="D216" i="4"/>
  <c r="H216" i="4"/>
  <c r="L216" i="4"/>
  <c r="C216" i="4"/>
  <c r="G216" i="4"/>
  <c r="K216" i="4"/>
  <c r="F216" i="4"/>
  <c r="J216" i="4"/>
  <c r="H187" i="4"/>
  <c r="H188" i="4" s="1"/>
  <c r="H232" i="4" s="1"/>
  <c r="F187" i="4"/>
  <c r="F188" i="4" s="1"/>
  <c r="F232" i="4" s="1"/>
  <c r="M183" i="4"/>
  <c r="I183" i="4"/>
  <c r="F183" i="4"/>
  <c r="D183" i="4"/>
  <c r="C182" i="4"/>
  <c r="B182" i="4"/>
  <c r="C183" i="4"/>
  <c r="B183" i="4"/>
  <c r="N198" i="4"/>
  <c r="N233" i="4" s="1"/>
  <c r="B121" i="4"/>
  <c r="J121" i="4"/>
  <c r="F121" i="4"/>
  <c r="B125" i="4"/>
  <c r="G114" i="4"/>
  <c r="C119" i="4"/>
  <c r="N119" i="4" s="1"/>
  <c r="G119" i="4"/>
  <c r="K119" i="4"/>
  <c r="F124" i="4"/>
  <c r="F125" i="4" s="1"/>
  <c r="F127" i="4" s="1"/>
  <c r="F128" i="4" s="1"/>
  <c r="J124" i="4"/>
  <c r="N42" i="4"/>
  <c r="C114" i="4"/>
  <c r="J114" i="4"/>
  <c r="C120" i="4"/>
  <c r="G120" i="4"/>
  <c r="K120" i="4"/>
  <c r="D123" i="4"/>
  <c r="D125" i="4" s="1"/>
  <c r="H123" i="4"/>
  <c r="H125" i="4" s="1"/>
  <c r="H127" i="4" s="1"/>
  <c r="H128" i="4" s="1"/>
  <c r="L123" i="4"/>
  <c r="L125" i="4" s="1"/>
  <c r="L127" i="4" s="1"/>
  <c r="L128" i="4" s="1"/>
  <c r="C123" i="4"/>
  <c r="C125" i="4" s="1"/>
  <c r="J125" i="4"/>
  <c r="J127" i="4" s="1"/>
  <c r="J128" i="4" s="1"/>
  <c r="D127" i="4"/>
  <c r="D128" i="4" s="1"/>
  <c r="I127" i="4"/>
  <c r="I128" i="4" s="1"/>
  <c r="N123" i="4"/>
  <c r="B114" i="4"/>
  <c r="K92" i="4"/>
  <c r="K209" i="4" s="1"/>
  <c r="C92" i="4"/>
  <c r="C209" i="4" s="1"/>
  <c r="D92" i="4"/>
  <c r="D209" i="4" s="1"/>
  <c r="B92" i="4"/>
  <c r="B209" i="4" s="1"/>
  <c r="F92" i="4"/>
  <c r="F209" i="4" s="1"/>
  <c r="S61" i="4"/>
  <c r="J16" i="4"/>
  <c r="L16" i="4"/>
  <c r="F20" i="4"/>
  <c r="P61" i="4"/>
  <c r="H20" i="4"/>
  <c r="I20" i="4"/>
  <c r="E20" i="4"/>
  <c r="R62" i="4"/>
  <c r="K20" i="4"/>
  <c r="G20" i="4"/>
  <c r="C20" i="4"/>
  <c r="Q61" i="4"/>
  <c r="R61" i="4"/>
  <c r="L20" i="4"/>
  <c r="D20" i="4"/>
  <c r="Q62" i="4"/>
  <c r="S62" i="4"/>
  <c r="P62" i="4"/>
  <c r="B20" i="4"/>
  <c r="J20" i="4"/>
  <c r="M16" i="4"/>
  <c r="K16" i="4"/>
  <c r="D16" i="4"/>
  <c r="I16" i="4"/>
  <c r="E16" i="4"/>
  <c r="B16" i="4"/>
  <c r="C16" i="4"/>
  <c r="O23" i="1"/>
  <c r="N22" i="1"/>
  <c r="I22" i="1"/>
  <c r="H22" i="1"/>
  <c r="J22" i="1"/>
  <c r="K22" i="1"/>
  <c r="K35" i="1"/>
  <c r="K41" i="1" s="1"/>
  <c r="I35" i="1"/>
  <c r="I41" i="1" s="1"/>
  <c r="G35" i="1"/>
  <c r="G41" i="1" s="1"/>
  <c r="E35" i="1"/>
  <c r="E41" i="1" s="1"/>
  <c r="C35" i="1"/>
  <c r="C41" i="1" s="1"/>
  <c r="C47" i="1" s="1"/>
  <c r="L34" i="1"/>
  <c r="L40" i="1" s="1"/>
  <c r="F34" i="1"/>
  <c r="D34" i="1"/>
  <c r="D40" i="1" s="1"/>
  <c r="C34" i="1"/>
  <c r="C40" i="1" s="1"/>
  <c r="E34" i="1"/>
  <c r="E40" i="1" s="1"/>
  <c r="G34" i="1"/>
  <c r="G40" i="1" s="1"/>
  <c r="M34" i="1"/>
  <c r="M40" i="1" s="1"/>
  <c r="D35" i="1"/>
  <c r="D41" i="1" s="1"/>
  <c r="F35" i="1"/>
  <c r="F41" i="1" s="1"/>
  <c r="H35" i="1"/>
  <c r="H41" i="1" s="1"/>
  <c r="J35" i="1"/>
  <c r="J41" i="1" s="1"/>
  <c r="L35" i="1"/>
  <c r="L41" i="1" s="1"/>
  <c r="N35" i="1"/>
  <c r="M35" i="1"/>
  <c r="M41" i="1" s="1"/>
  <c r="I126" i="5" l="1"/>
  <c r="I133" i="5" s="1"/>
  <c r="G324" i="5"/>
  <c r="G326" i="5" s="1"/>
  <c r="B171" i="5"/>
  <c r="N221" i="5"/>
  <c r="B20" i="5"/>
  <c r="N9" i="5"/>
  <c r="M21" i="5" s="1"/>
  <c r="B19" i="5"/>
  <c r="K21" i="5"/>
  <c r="L19" i="5" s="1"/>
  <c r="L20" i="5"/>
  <c r="C197" i="5"/>
  <c r="C188" i="5"/>
  <c r="C305" i="5" s="1"/>
  <c r="C306" i="5" s="1"/>
  <c r="M20" i="5"/>
  <c r="L21" i="5"/>
  <c r="M19" i="5" s="1"/>
  <c r="G20" i="5"/>
  <c r="F21" i="5"/>
  <c r="G19" i="5" s="1"/>
  <c r="K16" i="5"/>
  <c r="L14" i="5" s="1"/>
  <c r="L15" i="5"/>
  <c r="L269" i="5"/>
  <c r="L278" i="5" s="1"/>
  <c r="L270" i="5"/>
  <c r="I20" i="5"/>
  <c r="H21" i="5"/>
  <c r="I19" i="5" s="1"/>
  <c r="E21" i="5"/>
  <c r="F19" i="5" s="1"/>
  <c r="F20" i="5"/>
  <c r="K197" i="5"/>
  <c r="K188" i="5"/>
  <c r="K305" i="5" s="1"/>
  <c r="K306" i="5" s="1"/>
  <c r="K20" i="5"/>
  <c r="J21" i="5"/>
  <c r="K19" i="5" s="1"/>
  <c r="L92" i="4"/>
  <c r="L209" i="4" s="1"/>
  <c r="N124" i="4"/>
  <c r="L125" i="5"/>
  <c r="L132" i="5" s="1"/>
  <c r="N217" i="5"/>
  <c r="L197" i="5"/>
  <c r="L188" i="5"/>
  <c r="L305" i="5" s="1"/>
  <c r="L306" i="5" s="1"/>
  <c r="B270" i="5"/>
  <c r="B14" i="5"/>
  <c r="N8" i="5"/>
  <c r="M16" i="5" s="1"/>
  <c r="B15" i="5"/>
  <c r="B269" i="5"/>
  <c r="B278" i="5" s="1"/>
  <c r="D197" i="5"/>
  <c r="D188" i="5"/>
  <c r="D305" i="5" s="1"/>
  <c r="D306" i="5" s="1"/>
  <c r="B235" i="5"/>
  <c r="B167" i="5"/>
  <c r="F270" i="5"/>
  <c r="F15" i="5"/>
  <c r="E16" i="5"/>
  <c r="F14" i="5" s="1"/>
  <c r="F269" i="5"/>
  <c r="F278" i="5" s="1"/>
  <c r="N125" i="4"/>
  <c r="B21" i="5"/>
  <c r="C19" i="5" s="1"/>
  <c r="C20" i="5"/>
  <c r="G21" i="5"/>
  <c r="H19" i="5" s="1"/>
  <c r="H20" i="5"/>
  <c r="I21" i="5"/>
  <c r="J19" i="5" s="1"/>
  <c r="J20" i="5"/>
  <c r="C21" i="5"/>
  <c r="D19" i="5" s="1"/>
  <c r="D20" i="5"/>
  <c r="E197" i="5"/>
  <c r="E188" i="5"/>
  <c r="E305" i="5" s="1"/>
  <c r="E306" i="5" s="1"/>
  <c r="D269" i="5"/>
  <c r="D278" i="5" s="1"/>
  <c r="D270" i="5"/>
  <c r="C16" i="5"/>
  <c r="D14" i="5" s="1"/>
  <c r="D15" i="5"/>
  <c r="E92" i="4"/>
  <c r="E209" i="4" s="1"/>
  <c r="I215" i="4"/>
  <c r="B75" i="4"/>
  <c r="K126" i="5"/>
  <c r="K133" i="5" s="1"/>
  <c r="F310" i="5"/>
  <c r="E20" i="5"/>
  <c r="D21" i="5"/>
  <c r="E19" i="5" s="1"/>
  <c r="C270" i="5"/>
  <c r="B16" i="5"/>
  <c r="C14" i="5" s="1"/>
  <c r="C15" i="5"/>
  <c r="C269" i="5"/>
  <c r="C278" i="5" s="1"/>
  <c r="E270" i="5"/>
  <c r="E269" i="5"/>
  <c r="E278" i="5" s="1"/>
  <c r="E15" i="5"/>
  <c r="D16" i="5"/>
  <c r="E14" i="5" s="1"/>
  <c r="B197" i="5"/>
  <c r="B188" i="5"/>
  <c r="B305" i="5" s="1"/>
  <c r="K270" i="5"/>
  <c r="K269" i="5"/>
  <c r="K278" i="5" s="1"/>
  <c r="J16" i="5"/>
  <c r="K14" i="5" s="1"/>
  <c r="K15" i="5"/>
  <c r="F197" i="5"/>
  <c r="F188" i="5"/>
  <c r="F305" i="5" s="1"/>
  <c r="F306" i="5" s="1"/>
  <c r="I310" i="5"/>
  <c r="K324" i="5"/>
  <c r="K326" i="5" s="1"/>
  <c r="K310" i="5"/>
  <c r="B125" i="5"/>
  <c r="B132" i="5" s="1"/>
  <c r="F126" i="5"/>
  <c r="F133" i="5" s="1"/>
  <c r="F125" i="5"/>
  <c r="F132" i="5" s="1"/>
  <c r="J125" i="5"/>
  <c r="J132" i="5" s="1"/>
  <c r="D125" i="5"/>
  <c r="D132" i="5" s="1"/>
  <c r="H125" i="5"/>
  <c r="H132" i="5" s="1"/>
  <c r="J126" i="5"/>
  <c r="J133" i="5" s="1"/>
  <c r="H126" i="5"/>
  <c r="H133" i="5" s="1"/>
  <c r="C126" i="5"/>
  <c r="C133" i="5" s="1"/>
  <c r="E125" i="5"/>
  <c r="E132" i="5" s="1"/>
  <c r="B126" i="5"/>
  <c r="B133" i="5" s="1"/>
  <c r="D126" i="5"/>
  <c r="D133" i="5" s="1"/>
  <c r="L126" i="5"/>
  <c r="L133" i="5" s="1"/>
  <c r="E126" i="5"/>
  <c r="E133" i="5" s="1"/>
  <c r="G126" i="5"/>
  <c r="G133" i="5" s="1"/>
  <c r="I125" i="5"/>
  <c r="I132" i="5" s="1"/>
  <c r="M324" i="5"/>
  <c r="M326" i="5" s="1"/>
  <c r="M310" i="5"/>
  <c r="H324" i="5"/>
  <c r="H326" i="5" s="1"/>
  <c r="H310" i="5"/>
  <c r="E324" i="5"/>
  <c r="E326" i="5" s="1"/>
  <c r="E310" i="5"/>
  <c r="B324" i="5"/>
  <c r="B326" i="5" s="1"/>
  <c r="B310" i="5"/>
  <c r="D324" i="5"/>
  <c r="D326" i="5" s="1"/>
  <c r="D310" i="5"/>
  <c r="L324" i="5"/>
  <c r="L326" i="5" s="1"/>
  <c r="L310" i="5"/>
  <c r="C259" i="5"/>
  <c r="C254" i="5"/>
  <c r="C223" i="5"/>
  <c r="C224" i="5" s="1"/>
  <c r="C125" i="5"/>
  <c r="C132" i="5" s="1"/>
  <c r="G125" i="5"/>
  <c r="G132" i="5" s="1"/>
  <c r="K125" i="5"/>
  <c r="K132" i="5" s="1"/>
  <c r="N312" i="5"/>
  <c r="N223" i="5"/>
  <c r="N224" i="5" s="1"/>
  <c r="N324" i="5" s="1"/>
  <c r="N326" i="5" s="1"/>
  <c r="L214" i="4"/>
  <c r="L228" i="4"/>
  <c r="L230" i="4" s="1"/>
  <c r="J28" i="1"/>
  <c r="I34" i="1"/>
  <c r="I40" i="1" s="1"/>
  <c r="I46" i="1" s="1"/>
  <c r="I28" i="1"/>
  <c r="K57" i="4"/>
  <c r="K56" i="4"/>
  <c r="L59" i="4"/>
  <c r="L58" i="4"/>
  <c r="G59" i="4"/>
  <c r="G58" i="4"/>
  <c r="H214" i="4"/>
  <c r="H228" i="4"/>
  <c r="H230" i="4" s="1"/>
  <c r="J214" i="4"/>
  <c r="J228" i="4"/>
  <c r="J230" i="4" s="1"/>
  <c r="F214" i="4"/>
  <c r="F228" i="4"/>
  <c r="F230" i="4" s="1"/>
  <c r="E121" i="4"/>
  <c r="E127" i="4" s="1"/>
  <c r="E128" i="4" s="1"/>
  <c r="E42" i="4"/>
  <c r="G148" i="4"/>
  <c r="K28" i="1"/>
  <c r="H28" i="1"/>
  <c r="N28" i="1"/>
  <c r="D59" i="4"/>
  <c r="D58" i="4"/>
  <c r="F59" i="4"/>
  <c r="F58" i="4"/>
  <c r="I214" i="4"/>
  <c r="I228" i="4"/>
  <c r="I230" i="4" s="1"/>
  <c r="D214" i="4"/>
  <c r="D228" i="4"/>
  <c r="D230" i="4" s="1"/>
  <c r="N120" i="4"/>
  <c r="N121" i="4" s="1"/>
  <c r="N127" i="4" s="1"/>
  <c r="N128" i="4" s="1"/>
  <c r="N228" i="4" s="1"/>
  <c r="N230" i="4" s="1"/>
  <c r="M121" i="4"/>
  <c r="M127" i="4" s="1"/>
  <c r="M128" i="4" s="1"/>
  <c r="G153" i="4"/>
  <c r="E43" i="4"/>
  <c r="C215" i="4"/>
  <c r="G215" i="4"/>
  <c r="J215" i="4"/>
  <c r="M215" i="4"/>
  <c r="B215" i="4"/>
  <c r="D215" i="4"/>
  <c r="K215" i="4"/>
  <c r="H215" i="4"/>
  <c r="E215" i="4"/>
  <c r="F215" i="4"/>
  <c r="L215" i="4"/>
  <c r="M58" i="4"/>
  <c r="M59" i="4"/>
  <c r="M57" i="4"/>
  <c r="M56" i="4"/>
  <c r="L57" i="4"/>
  <c r="L56" i="4"/>
  <c r="G56" i="4"/>
  <c r="G57" i="4"/>
  <c r="K187" i="4"/>
  <c r="K188" i="4" s="1"/>
  <c r="K232" i="4" s="1"/>
  <c r="K58" i="4"/>
  <c r="K59" i="4"/>
  <c r="J58" i="4"/>
  <c r="J59" i="4"/>
  <c r="J56" i="4"/>
  <c r="J57" i="4"/>
  <c r="I59" i="4"/>
  <c r="I58" i="4"/>
  <c r="I57" i="4"/>
  <c r="I56" i="4"/>
  <c r="H58" i="4"/>
  <c r="H59" i="4"/>
  <c r="H56" i="4"/>
  <c r="I153" i="4"/>
  <c r="E57" i="4"/>
  <c r="E56" i="4"/>
  <c r="E59" i="4"/>
  <c r="E58" i="4"/>
  <c r="D56" i="4"/>
  <c r="D57" i="4"/>
  <c r="C59" i="4"/>
  <c r="C58" i="4"/>
  <c r="C57" i="4"/>
  <c r="C56" i="4"/>
  <c r="B59" i="4"/>
  <c r="N155" i="5" s="1"/>
  <c r="M141" i="5" s="1"/>
  <c r="M126" i="5" s="1"/>
  <c r="M133" i="5" s="1"/>
  <c r="B58" i="4"/>
  <c r="N154" i="5" s="1"/>
  <c r="M140" i="5" s="1"/>
  <c r="M125" i="5" s="1"/>
  <c r="M132" i="5" s="1"/>
  <c r="B70" i="4"/>
  <c r="B135" i="4" s="1"/>
  <c r="C133" i="4" s="1"/>
  <c r="B57" i="4"/>
  <c r="N153" i="5" s="1"/>
  <c r="M139" i="5" s="1"/>
  <c r="B56" i="4"/>
  <c r="N152" i="5" s="1"/>
  <c r="M138" i="5" s="1"/>
  <c r="I187" i="4"/>
  <c r="I188" i="4" s="1"/>
  <c r="I232" i="4" s="1"/>
  <c r="G187" i="4"/>
  <c r="G188" i="4" s="1"/>
  <c r="G232" i="4" s="1"/>
  <c r="N219" i="4"/>
  <c r="D210" i="4"/>
  <c r="D235" i="4" s="1"/>
  <c r="C210" i="4"/>
  <c r="C235" i="4" s="1"/>
  <c r="F210" i="4"/>
  <c r="F235" i="4" s="1"/>
  <c r="L210" i="4"/>
  <c r="L235" i="4" s="1"/>
  <c r="E210" i="4"/>
  <c r="E235" i="4" s="1"/>
  <c r="K210" i="4"/>
  <c r="K235" i="4" s="1"/>
  <c r="B216" i="4"/>
  <c r="N216" i="4" s="1"/>
  <c r="B210" i="4"/>
  <c r="B235" i="4" s="1"/>
  <c r="B71" i="4"/>
  <c r="B141" i="4" s="1"/>
  <c r="C121" i="4"/>
  <c r="C127" i="4" s="1"/>
  <c r="C128" i="4" s="1"/>
  <c r="G121" i="4"/>
  <c r="G127" i="4" s="1"/>
  <c r="G128" i="4" s="1"/>
  <c r="K121" i="4"/>
  <c r="K127" i="4" s="1"/>
  <c r="K128" i="4" s="1"/>
  <c r="B127" i="4"/>
  <c r="B128" i="4" s="1"/>
  <c r="C46" i="1"/>
  <c r="L47" i="1"/>
  <c r="F47" i="1"/>
  <c r="E46" i="1"/>
  <c r="L46" i="1"/>
  <c r="I47" i="1"/>
  <c r="M47" i="1"/>
  <c r="J47" i="1"/>
  <c r="D47" i="1"/>
  <c r="K47" i="1"/>
  <c r="G47" i="1"/>
  <c r="H47" i="1"/>
  <c r="M46" i="1"/>
  <c r="D46" i="1"/>
  <c r="E47" i="1"/>
  <c r="G46" i="1"/>
  <c r="O22" i="1"/>
  <c r="N41" i="1"/>
  <c r="O35" i="1"/>
  <c r="F40" i="1"/>
  <c r="E17" i="5" l="1"/>
  <c r="K17" i="5"/>
  <c r="K279" i="5"/>
  <c r="K280" i="5"/>
  <c r="K282" i="5" s="1"/>
  <c r="K283" i="5" s="1"/>
  <c r="K284" i="5" s="1"/>
  <c r="K328" i="5" s="1"/>
  <c r="E280" i="5"/>
  <c r="E282" i="5" s="1"/>
  <c r="E283" i="5" s="1"/>
  <c r="E284" i="5" s="1"/>
  <c r="E328" i="5" s="1"/>
  <c r="E279" i="5"/>
  <c r="E22" i="5"/>
  <c r="E311" i="5" s="1"/>
  <c r="E313" i="5" s="1"/>
  <c r="E153" i="5"/>
  <c r="E152" i="5"/>
  <c r="D17" i="5"/>
  <c r="D22" i="5"/>
  <c r="D152" i="5"/>
  <c r="D153" i="5"/>
  <c r="C22" i="5"/>
  <c r="C152" i="5"/>
  <c r="C153" i="5"/>
  <c r="F279" i="5"/>
  <c r="F280" i="5"/>
  <c r="F282" i="5" s="1"/>
  <c r="F283" i="5" s="1"/>
  <c r="F284" i="5" s="1"/>
  <c r="F328" i="5" s="1"/>
  <c r="D331" i="5"/>
  <c r="D314" i="5"/>
  <c r="B17" i="5"/>
  <c r="B280" i="5"/>
  <c r="B282" i="5" s="1"/>
  <c r="B283" i="5" s="1"/>
  <c r="B284" i="5" s="1"/>
  <c r="B328" i="5" s="1"/>
  <c r="B279" i="5"/>
  <c r="K331" i="5"/>
  <c r="K314" i="5"/>
  <c r="L279" i="5"/>
  <c r="L280" i="5"/>
  <c r="L282" i="5" s="1"/>
  <c r="L283" i="5" s="1"/>
  <c r="L284" i="5" s="1"/>
  <c r="L328" i="5" s="1"/>
  <c r="B22" i="5"/>
  <c r="K34" i="1"/>
  <c r="K40" i="1" s="1"/>
  <c r="K46" i="1" s="1"/>
  <c r="J8" i="5"/>
  <c r="J230" i="5"/>
  <c r="J193" i="5"/>
  <c r="J161" i="5"/>
  <c r="I161" i="5"/>
  <c r="I8" i="5"/>
  <c r="I230" i="5"/>
  <c r="I193" i="5"/>
  <c r="F314" i="5"/>
  <c r="F331" i="5"/>
  <c r="B306" i="5"/>
  <c r="C280" i="5"/>
  <c r="C282" i="5" s="1"/>
  <c r="C283" i="5" s="1"/>
  <c r="C284" i="5" s="1"/>
  <c r="C328" i="5" s="1"/>
  <c r="C279" i="5"/>
  <c r="E314" i="5"/>
  <c r="E331" i="5"/>
  <c r="D311" i="5"/>
  <c r="D313" i="5" s="1"/>
  <c r="D316" i="5" s="1"/>
  <c r="E318" i="5" s="1"/>
  <c r="E333" i="5" s="1"/>
  <c r="H22" i="5"/>
  <c r="H311" i="5" s="1"/>
  <c r="H313" i="5" s="1"/>
  <c r="H153" i="5"/>
  <c r="H152" i="5"/>
  <c r="B237" i="5"/>
  <c r="C167" i="5"/>
  <c r="C172" i="5"/>
  <c r="L314" i="5"/>
  <c r="L331" i="5"/>
  <c r="M153" i="5"/>
  <c r="M152" i="5"/>
  <c r="L22" i="5"/>
  <c r="L153" i="5"/>
  <c r="L152" i="5"/>
  <c r="M22" i="5"/>
  <c r="H34" i="1"/>
  <c r="G8" i="5"/>
  <c r="G230" i="5"/>
  <c r="G193" i="5"/>
  <c r="G161" i="5"/>
  <c r="F161" i="5"/>
  <c r="N34" i="1"/>
  <c r="N40" i="1" s="1"/>
  <c r="N46" i="1" s="1"/>
  <c r="M8" i="5"/>
  <c r="M230" i="5"/>
  <c r="M193" i="5"/>
  <c r="M161" i="5"/>
  <c r="L161" i="5"/>
  <c r="H8" i="5"/>
  <c r="H230" i="5"/>
  <c r="H193" i="5"/>
  <c r="H161" i="5"/>
  <c r="J34" i="1"/>
  <c r="J40" i="1" s="1"/>
  <c r="J46" i="1" s="1"/>
  <c r="C17" i="5"/>
  <c r="D279" i="5"/>
  <c r="D280" i="5"/>
  <c r="D282" i="5" s="1"/>
  <c r="D283" i="5" s="1"/>
  <c r="D284" i="5" s="1"/>
  <c r="D328" i="5" s="1"/>
  <c r="J22" i="5"/>
  <c r="J153" i="5"/>
  <c r="J152" i="5"/>
  <c r="K22" i="5"/>
  <c r="K152" i="5"/>
  <c r="K153" i="5"/>
  <c r="F22" i="5"/>
  <c r="F152" i="5"/>
  <c r="F153" i="5"/>
  <c r="I22" i="5"/>
  <c r="I152" i="5"/>
  <c r="I153" i="5"/>
  <c r="G22" i="5"/>
  <c r="G153" i="5"/>
  <c r="G152" i="5"/>
  <c r="C314" i="5"/>
  <c r="C331" i="5"/>
  <c r="B166" i="5"/>
  <c r="B153" i="5"/>
  <c r="B152" i="5"/>
  <c r="B147" i="5"/>
  <c r="C256" i="5" s="1"/>
  <c r="B148" i="5"/>
  <c r="C261" i="5" s="1"/>
  <c r="N133" i="5"/>
  <c r="N132" i="5"/>
  <c r="C324" i="5"/>
  <c r="C326" i="5" s="1"/>
  <c r="C310" i="5"/>
  <c r="C147" i="5"/>
  <c r="C148" i="5"/>
  <c r="H40" i="1"/>
  <c r="H46" i="1" s="1"/>
  <c r="O34" i="1"/>
  <c r="C214" i="4"/>
  <c r="C228" i="4"/>
  <c r="C230" i="4" s="1"/>
  <c r="B228" i="4"/>
  <c r="B230" i="4" s="1"/>
  <c r="B214" i="4"/>
  <c r="G214" i="4"/>
  <c r="G228" i="4"/>
  <c r="G230" i="4" s="1"/>
  <c r="M214" i="4"/>
  <c r="M228" i="4"/>
  <c r="M230" i="4" s="1"/>
  <c r="E45" i="4"/>
  <c r="G164" i="4"/>
  <c r="C45" i="4"/>
  <c r="E164" i="4"/>
  <c r="F44" i="4"/>
  <c r="H159" i="4"/>
  <c r="K44" i="4"/>
  <c r="M159" i="4"/>
  <c r="L148" i="4"/>
  <c r="J42" i="4"/>
  <c r="H134" i="4"/>
  <c r="H97" i="4"/>
  <c r="H65" i="4"/>
  <c r="I97" i="4"/>
  <c r="I134" i="4"/>
  <c r="I65" i="4"/>
  <c r="K214" i="4"/>
  <c r="K228" i="4"/>
  <c r="K230" i="4" s="1"/>
  <c r="E44" i="4"/>
  <c r="F29" i="4" s="1"/>
  <c r="F36" i="4" s="1"/>
  <c r="G159" i="4"/>
  <c r="C44" i="4"/>
  <c r="E159" i="4"/>
  <c r="M97" i="4"/>
  <c r="M134" i="4"/>
  <c r="M65" i="4"/>
  <c r="L65" i="4"/>
  <c r="G97" i="4"/>
  <c r="G134" i="4"/>
  <c r="G65" i="4"/>
  <c r="O28" i="1"/>
  <c r="F65" i="4"/>
  <c r="J134" i="4"/>
  <c r="J97" i="4"/>
  <c r="J65" i="4"/>
  <c r="E214" i="4"/>
  <c r="E228" i="4"/>
  <c r="E230" i="4" s="1"/>
  <c r="H164" i="4"/>
  <c r="F45" i="4"/>
  <c r="F30" i="4" s="1"/>
  <c r="F37" i="4" s="1"/>
  <c r="K45" i="4"/>
  <c r="M164" i="4"/>
  <c r="L153" i="4"/>
  <c r="J43" i="4"/>
  <c r="N164" i="4"/>
  <c r="L45" i="4"/>
  <c r="L44" i="4"/>
  <c r="L29" i="4" s="1"/>
  <c r="L36" i="4" s="1"/>
  <c r="N159" i="4"/>
  <c r="L43" i="4"/>
  <c r="N153" i="4"/>
  <c r="L42" i="4"/>
  <c r="N148" i="4"/>
  <c r="K43" i="4"/>
  <c r="M153" i="4"/>
  <c r="M148" i="4"/>
  <c r="K42" i="4"/>
  <c r="H153" i="4"/>
  <c r="F43" i="4"/>
  <c r="F42" i="4"/>
  <c r="F27" i="4" s="1"/>
  <c r="F34" i="4" s="1"/>
  <c r="H148" i="4"/>
  <c r="J44" i="4"/>
  <c r="K29" i="4" s="1"/>
  <c r="K36" i="4" s="1"/>
  <c r="L159" i="4"/>
  <c r="L164" i="4"/>
  <c r="J45" i="4"/>
  <c r="I44" i="4"/>
  <c r="K159" i="4"/>
  <c r="I45" i="4"/>
  <c r="K164" i="4"/>
  <c r="I43" i="4"/>
  <c r="K153" i="4"/>
  <c r="I42" i="4"/>
  <c r="J27" i="4" s="1"/>
  <c r="J34" i="4" s="1"/>
  <c r="K148" i="4"/>
  <c r="H45" i="4"/>
  <c r="J164" i="4"/>
  <c r="J159" i="4"/>
  <c r="H44" i="4"/>
  <c r="H43" i="4"/>
  <c r="H28" i="4" s="1"/>
  <c r="H35" i="4" s="1"/>
  <c r="J153" i="4"/>
  <c r="J148" i="4"/>
  <c r="H42" i="4"/>
  <c r="I159" i="4"/>
  <c r="G44" i="4"/>
  <c r="I164" i="4"/>
  <c r="G45" i="4"/>
  <c r="G30" i="4" s="1"/>
  <c r="G37" i="4" s="1"/>
  <c r="I148" i="4"/>
  <c r="G42" i="4"/>
  <c r="D43" i="4"/>
  <c r="E28" i="4" s="1"/>
  <c r="E35" i="4" s="1"/>
  <c r="F153" i="4"/>
  <c r="F148" i="4"/>
  <c r="D42" i="4"/>
  <c r="E27" i="4" s="1"/>
  <c r="E34" i="4" s="1"/>
  <c r="D45" i="4"/>
  <c r="D30" i="4" s="1"/>
  <c r="D37" i="4" s="1"/>
  <c r="F164" i="4"/>
  <c r="D44" i="4"/>
  <c r="D29" i="4" s="1"/>
  <c r="D36" i="4" s="1"/>
  <c r="F159" i="4"/>
  <c r="E148" i="4"/>
  <c r="C42" i="4"/>
  <c r="C43" i="4"/>
  <c r="D28" i="4" s="1"/>
  <c r="D35" i="4" s="1"/>
  <c r="E153" i="4"/>
  <c r="D164" i="4"/>
  <c r="B45" i="4"/>
  <c r="C30" i="4" s="1"/>
  <c r="C37" i="4" s="1"/>
  <c r="D159" i="4"/>
  <c r="B44" i="4"/>
  <c r="C29" i="4" s="1"/>
  <c r="C36" i="4" s="1"/>
  <c r="B43" i="4"/>
  <c r="D153" i="4"/>
  <c r="D148" i="4"/>
  <c r="B42" i="4"/>
  <c r="C27" i="4" s="1"/>
  <c r="C34" i="4" s="1"/>
  <c r="N59" i="4"/>
  <c r="M45" i="4" s="1"/>
  <c r="M30" i="4" s="1"/>
  <c r="M37" i="4" s="1"/>
  <c r="C164" i="4"/>
  <c r="A30" i="4"/>
  <c r="N58" i="4"/>
  <c r="M44" i="4" s="1"/>
  <c r="M29" i="4" s="1"/>
  <c r="M36" i="4" s="1"/>
  <c r="A29" i="4"/>
  <c r="C159" i="4"/>
  <c r="N57" i="4"/>
  <c r="M43" i="4" s="1"/>
  <c r="M28" i="4" s="1"/>
  <c r="M35" i="4" s="1"/>
  <c r="C153" i="4"/>
  <c r="A28" i="4"/>
  <c r="N56" i="4"/>
  <c r="M42" i="4" s="1"/>
  <c r="M27" i="4" s="1"/>
  <c r="M34" i="4" s="1"/>
  <c r="A27" i="4"/>
  <c r="C148" i="4"/>
  <c r="C75" i="4"/>
  <c r="B136" i="4"/>
  <c r="C146" i="4" s="1"/>
  <c r="C70" i="4"/>
  <c r="C135" i="4" s="1"/>
  <c r="D133" i="4" s="1"/>
  <c r="N232" i="4"/>
  <c r="L218" i="4"/>
  <c r="D218" i="4"/>
  <c r="E218" i="4"/>
  <c r="C218" i="4"/>
  <c r="F218" i="4"/>
  <c r="K218" i="4"/>
  <c r="B218" i="4"/>
  <c r="C76" i="4"/>
  <c r="C139" i="4"/>
  <c r="B142" i="4"/>
  <c r="C157" i="4" s="1"/>
  <c r="C71" i="4"/>
  <c r="N47" i="1"/>
  <c r="O47" i="1" s="1"/>
  <c r="F46" i="1"/>
  <c r="O46" i="1" s="1"/>
  <c r="O40" i="1"/>
  <c r="O41" i="1"/>
  <c r="E316" i="5" l="1"/>
  <c r="F318" i="5" s="1"/>
  <c r="H78" i="5"/>
  <c r="H81" i="5" s="1"/>
  <c r="H68" i="5"/>
  <c r="H71" i="5" s="1"/>
  <c r="B311" i="5"/>
  <c r="N311" i="5" s="1"/>
  <c r="B78" i="5"/>
  <c r="B81" i="5" s="1"/>
  <c r="B68" i="5"/>
  <c r="B71" i="5" s="1"/>
  <c r="E78" i="5"/>
  <c r="E81" i="5" s="1"/>
  <c r="E68" i="5"/>
  <c r="E71" i="5" s="1"/>
  <c r="J78" i="5"/>
  <c r="J81" i="5" s="1"/>
  <c r="J68" i="5"/>
  <c r="J71" i="5" s="1"/>
  <c r="G311" i="5"/>
  <c r="G313" i="5" s="1"/>
  <c r="G78" i="5"/>
  <c r="G81" i="5" s="1"/>
  <c r="G68" i="5"/>
  <c r="G71" i="5" s="1"/>
  <c r="I311" i="5"/>
  <c r="I313" i="5" s="1"/>
  <c r="I78" i="5"/>
  <c r="I81" i="5" s="1"/>
  <c r="I68" i="5"/>
  <c r="I71" i="5" s="1"/>
  <c r="F78" i="5"/>
  <c r="F81" i="5" s="1"/>
  <c r="F68" i="5"/>
  <c r="F71" i="5" s="1"/>
  <c r="K78" i="5"/>
  <c r="K81" i="5" s="1"/>
  <c r="K68" i="5"/>
  <c r="K71" i="5" s="1"/>
  <c r="M78" i="5"/>
  <c r="M81" i="5" s="1"/>
  <c r="M68" i="5"/>
  <c r="M71" i="5" s="1"/>
  <c r="L311" i="5"/>
  <c r="L313" i="5" s="1"/>
  <c r="L316" i="5" s="1"/>
  <c r="M318" i="5" s="1"/>
  <c r="M333" i="5" s="1"/>
  <c r="L78" i="5"/>
  <c r="L81" i="5" s="1"/>
  <c r="L68" i="5"/>
  <c r="L71" i="5" s="1"/>
  <c r="C78" i="5"/>
  <c r="C81" i="5" s="1"/>
  <c r="C68" i="5"/>
  <c r="C71" i="5" s="1"/>
  <c r="D78" i="5"/>
  <c r="D81" i="5" s="1"/>
  <c r="D68" i="5"/>
  <c r="D71" i="5" s="1"/>
  <c r="C57" i="5"/>
  <c r="C60" i="5" s="1"/>
  <c r="C47" i="5"/>
  <c r="C50" i="5" s="1"/>
  <c r="D57" i="5"/>
  <c r="D60" i="5" s="1"/>
  <c r="D47" i="5"/>
  <c r="D50" i="5" s="1"/>
  <c r="E57" i="5"/>
  <c r="E60" i="5" s="1"/>
  <c r="E47" i="5"/>
  <c r="E50" i="5" s="1"/>
  <c r="B57" i="5"/>
  <c r="B60" i="5" s="1"/>
  <c r="B47" i="5"/>
  <c r="B50" i="5" s="1"/>
  <c r="K57" i="5"/>
  <c r="K60" i="5" s="1"/>
  <c r="K47" i="5"/>
  <c r="K50" i="5" s="1"/>
  <c r="E29" i="4"/>
  <c r="E36" i="4" s="1"/>
  <c r="I27" i="4"/>
  <c r="I34" i="4" s="1"/>
  <c r="C249" i="5"/>
  <c r="A124" i="5"/>
  <c r="C248" i="5" s="1"/>
  <c r="F139" i="5"/>
  <c r="H249" i="5"/>
  <c r="J249" i="5"/>
  <c r="H139" i="5"/>
  <c r="G249" i="5"/>
  <c r="E139" i="5"/>
  <c r="J139" i="5"/>
  <c r="L249" i="5"/>
  <c r="I139" i="5"/>
  <c r="K249" i="5"/>
  <c r="H197" i="5"/>
  <c r="H188" i="5"/>
  <c r="H305" i="5" s="1"/>
  <c r="H306" i="5" s="1"/>
  <c r="C237" i="5"/>
  <c r="D167" i="5"/>
  <c r="D172" i="5"/>
  <c r="I249" i="5"/>
  <c r="G139" i="5"/>
  <c r="I197" i="5"/>
  <c r="I188" i="5"/>
  <c r="I305" i="5" s="1"/>
  <c r="I306" i="5" s="1"/>
  <c r="D249" i="5"/>
  <c r="B139" i="5"/>
  <c r="B124" i="5" s="1"/>
  <c r="B131" i="5" s="1"/>
  <c r="C311" i="5"/>
  <c r="C313" i="5" s="1"/>
  <c r="C316" i="5" s="1"/>
  <c r="D318" i="5" s="1"/>
  <c r="E244" i="5"/>
  <c r="C138" i="5"/>
  <c r="F244" i="5"/>
  <c r="D138" i="5"/>
  <c r="B231" i="5"/>
  <c r="C171" i="5"/>
  <c r="H138" i="5"/>
  <c r="J244" i="5"/>
  <c r="E138" i="5"/>
  <c r="G244" i="5"/>
  <c r="L244" i="5"/>
  <c r="J138" i="5"/>
  <c r="M270" i="5"/>
  <c r="L16" i="5"/>
  <c r="M269" i="5"/>
  <c r="M278" i="5" s="1"/>
  <c r="M15" i="5"/>
  <c r="G270" i="5"/>
  <c r="F16" i="5"/>
  <c r="G269" i="5"/>
  <c r="G278" i="5" s="1"/>
  <c r="G15" i="5"/>
  <c r="K138" i="5"/>
  <c r="K123" i="5" s="1"/>
  <c r="K130" i="5" s="1"/>
  <c r="M244" i="5"/>
  <c r="L138" i="5"/>
  <c r="M123" i="5"/>
  <c r="M130" i="5" s="1"/>
  <c r="N244" i="5"/>
  <c r="C235" i="5"/>
  <c r="B238" i="5"/>
  <c r="C253" i="5" s="1"/>
  <c r="J270" i="5"/>
  <c r="I16" i="5"/>
  <c r="J14" i="5" s="1"/>
  <c r="J269" i="5"/>
  <c r="J278" i="5" s="1"/>
  <c r="J15" i="5"/>
  <c r="D244" i="5"/>
  <c r="B138" i="5"/>
  <c r="J311" i="5"/>
  <c r="J313" i="5" s="1"/>
  <c r="F249" i="5"/>
  <c r="D139" i="5"/>
  <c r="D70" i="4"/>
  <c r="D135" i="4" s="1"/>
  <c r="K30" i="4"/>
  <c r="K37" i="4" s="1"/>
  <c r="L30" i="4"/>
  <c r="L37" i="4" s="1"/>
  <c r="C244" i="5"/>
  <c r="A123" i="5"/>
  <c r="C243" i="5" s="1"/>
  <c r="H244" i="5"/>
  <c r="F138" i="5"/>
  <c r="K244" i="5"/>
  <c r="I138" i="5"/>
  <c r="G16" i="5"/>
  <c r="H14" i="5" s="1"/>
  <c r="H269" i="5"/>
  <c r="H278" i="5" s="1"/>
  <c r="H15" i="5"/>
  <c r="H270" i="5"/>
  <c r="P218" i="5"/>
  <c r="P221" i="5" s="1"/>
  <c r="M188" i="5"/>
  <c r="M305" i="5" s="1"/>
  <c r="M306" i="5" s="1"/>
  <c r="M197" i="5"/>
  <c r="G197" i="5"/>
  <c r="G188" i="5"/>
  <c r="G305" i="5" s="1"/>
  <c r="K139" i="5"/>
  <c r="M249" i="5"/>
  <c r="L139" i="5"/>
  <c r="N249" i="5"/>
  <c r="M124" i="5"/>
  <c r="M131" i="5" s="1"/>
  <c r="K311" i="5"/>
  <c r="K313" i="5" s="1"/>
  <c r="K316" i="5" s="1"/>
  <c r="I244" i="5"/>
  <c r="G138" i="5"/>
  <c r="B331" i="5"/>
  <c r="B314" i="5"/>
  <c r="I270" i="5"/>
  <c r="H16" i="5"/>
  <c r="I14" i="5" s="1"/>
  <c r="I15" i="5"/>
  <c r="I269" i="5"/>
  <c r="I278" i="5" s="1"/>
  <c r="J197" i="5"/>
  <c r="J188" i="5"/>
  <c r="J305" i="5" s="1"/>
  <c r="J306" i="5" s="1"/>
  <c r="M311" i="5"/>
  <c r="M313" i="5" s="1"/>
  <c r="F311" i="5"/>
  <c r="F313" i="5" s="1"/>
  <c r="F316" i="5" s="1"/>
  <c r="G318" i="5" s="1"/>
  <c r="G333" i="5" s="1"/>
  <c r="C166" i="5"/>
  <c r="C139" i="5"/>
  <c r="E249" i="5"/>
  <c r="N310" i="5"/>
  <c r="D259" i="5"/>
  <c r="C262" i="5"/>
  <c r="C263" i="5" s="1"/>
  <c r="D254" i="5"/>
  <c r="C257" i="5"/>
  <c r="C258" i="5" s="1"/>
  <c r="F333" i="5"/>
  <c r="D261" i="5"/>
  <c r="D148" i="5"/>
  <c r="D256" i="5"/>
  <c r="D147" i="5"/>
  <c r="C28" i="4"/>
  <c r="C35" i="4" s="1"/>
  <c r="J28" i="4"/>
  <c r="J35" i="4" s="1"/>
  <c r="K28" i="4"/>
  <c r="K35" i="4" s="1"/>
  <c r="J101" i="4"/>
  <c r="J92" i="4"/>
  <c r="J209" i="4" s="1"/>
  <c r="J210" i="4" s="1"/>
  <c r="G101" i="4"/>
  <c r="G92" i="4"/>
  <c r="G209" i="4" s="1"/>
  <c r="M101" i="4"/>
  <c r="P122" i="4"/>
  <c r="P125" i="4" s="1"/>
  <c r="M92" i="4"/>
  <c r="M209" i="4" s="1"/>
  <c r="M210" i="4" s="1"/>
  <c r="I101" i="4"/>
  <c r="I92" i="4"/>
  <c r="I209" i="4" s="1"/>
  <c r="I210" i="4" s="1"/>
  <c r="H101" i="4"/>
  <c r="H92" i="4"/>
  <c r="H209" i="4" s="1"/>
  <c r="H210" i="4" s="1"/>
  <c r="N214" i="4"/>
  <c r="L27" i="4"/>
  <c r="L34" i="4" s="1"/>
  <c r="K27" i="4"/>
  <c r="K34" i="4" s="1"/>
  <c r="L28" i="4"/>
  <c r="L35" i="4" s="1"/>
  <c r="G28" i="4"/>
  <c r="G35" i="4" s="1"/>
  <c r="F28" i="4"/>
  <c r="F35" i="4" s="1"/>
  <c r="F38" i="4" s="1"/>
  <c r="J30" i="4"/>
  <c r="J37" i="4" s="1"/>
  <c r="J29" i="4"/>
  <c r="J36" i="4" s="1"/>
  <c r="I30" i="4"/>
  <c r="I37" i="4" s="1"/>
  <c r="I29" i="4"/>
  <c r="I36" i="4" s="1"/>
  <c r="H30" i="4"/>
  <c r="H37" i="4" s="1"/>
  <c r="I28" i="4"/>
  <c r="I35" i="4" s="1"/>
  <c r="G29" i="4"/>
  <c r="G36" i="4" s="1"/>
  <c r="H29" i="4"/>
  <c r="H36" i="4" s="1"/>
  <c r="H27" i="4"/>
  <c r="H34" i="4" s="1"/>
  <c r="G27" i="4"/>
  <c r="G34" i="4" s="1"/>
  <c r="D27" i="4"/>
  <c r="D34" i="4" s="1"/>
  <c r="D38" i="4" s="1"/>
  <c r="E30" i="4"/>
  <c r="E37" i="4" s="1"/>
  <c r="E38" i="4" s="1"/>
  <c r="C38" i="4"/>
  <c r="C231" i="4" s="1"/>
  <c r="B28" i="4"/>
  <c r="B35" i="4" s="1"/>
  <c r="D75" i="4"/>
  <c r="C158" i="4"/>
  <c r="B29" i="4"/>
  <c r="B36" i="4" s="1"/>
  <c r="C163" i="4"/>
  <c r="B30" i="4"/>
  <c r="B37" i="4" s="1"/>
  <c r="M38" i="4"/>
  <c r="M231" i="4" s="1"/>
  <c r="C136" i="4"/>
  <c r="D146" i="4" s="1"/>
  <c r="C147" i="4"/>
  <c r="B27" i="4"/>
  <c r="B34" i="4" s="1"/>
  <c r="C152" i="4"/>
  <c r="C217" i="4"/>
  <c r="C220" i="4" s="1"/>
  <c r="D222" i="4" s="1"/>
  <c r="D76" i="4"/>
  <c r="C141" i="4"/>
  <c r="D71" i="4"/>
  <c r="E133" i="4"/>
  <c r="D136" i="4"/>
  <c r="E146" i="4" s="1"/>
  <c r="E70" i="4"/>
  <c r="E135" i="4" s="1"/>
  <c r="E75" i="4"/>
  <c r="B313" i="5" l="1"/>
  <c r="B316" i="5" s="1"/>
  <c r="E319" i="5"/>
  <c r="C72" i="5"/>
  <c r="C75" i="5" s="1"/>
  <c r="C76" i="5" s="1"/>
  <c r="C73" i="5"/>
  <c r="M83" i="5"/>
  <c r="M82" i="5"/>
  <c r="M85" i="5" s="1"/>
  <c r="M86" i="5" s="1"/>
  <c r="I82" i="5"/>
  <c r="I85" i="5" s="1"/>
  <c r="I86" i="5" s="1"/>
  <c r="I83" i="5"/>
  <c r="J82" i="5"/>
  <c r="J85" i="5" s="1"/>
  <c r="J86" i="5" s="1"/>
  <c r="J83" i="5"/>
  <c r="B73" i="5"/>
  <c r="B72" i="5"/>
  <c r="B75" i="5" s="1"/>
  <c r="B76" i="5" s="1"/>
  <c r="D73" i="5"/>
  <c r="D72" i="5"/>
  <c r="D75" i="5" s="1"/>
  <c r="D76" i="5" s="1"/>
  <c r="C82" i="5"/>
  <c r="C85" i="5" s="1"/>
  <c r="C86" i="5" s="1"/>
  <c r="C83" i="5"/>
  <c r="K72" i="5"/>
  <c r="K75" i="5" s="1"/>
  <c r="K76" i="5" s="1"/>
  <c r="K73" i="5"/>
  <c r="F82" i="5"/>
  <c r="F85" i="5" s="1"/>
  <c r="F86" i="5" s="1"/>
  <c r="F83" i="5"/>
  <c r="E72" i="5"/>
  <c r="E75" i="5" s="1"/>
  <c r="E76" i="5" s="1"/>
  <c r="E73" i="5"/>
  <c r="B82" i="5"/>
  <c r="B85" i="5" s="1"/>
  <c r="B86" i="5" s="1"/>
  <c r="B83" i="5"/>
  <c r="H83" i="5"/>
  <c r="H82" i="5"/>
  <c r="H85" i="5" s="1"/>
  <c r="H86" i="5" s="1"/>
  <c r="L82" i="5"/>
  <c r="L85" i="5" s="1"/>
  <c r="L86" i="5" s="1"/>
  <c r="L83" i="5"/>
  <c r="F72" i="5"/>
  <c r="F75" i="5" s="1"/>
  <c r="F76" i="5" s="1"/>
  <c r="F73" i="5"/>
  <c r="G83" i="5"/>
  <c r="G82" i="5"/>
  <c r="G85" i="5" s="1"/>
  <c r="G86" i="5" s="1"/>
  <c r="H72" i="5"/>
  <c r="H75" i="5" s="1"/>
  <c r="H76" i="5" s="1"/>
  <c r="H73" i="5"/>
  <c r="D83" i="5"/>
  <c r="D82" i="5"/>
  <c r="D85" i="5" s="1"/>
  <c r="D86" i="5" s="1"/>
  <c r="L72" i="5"/>
  <c r="L75" i="5" s="1"/>
  <c r="L76" i="5" s="1"/>
  <c r="L73" i="5"/>
  <c r="M73" i="5"/>
  <c r="M72" i="5"/>
  <c r="M75" i="5" s="1"/>
  <c r="M76" i="5" s="1"/>
  <c r="K83" i="5"/>
  <c r="K82" i="5"/>
  <c r="K85" i="5" s="1"/>
  <c r="K86" i="5" s="1"/>
  <c r="I72" i="5"/>
  <c r="I75" i="5" s="1"/>
  <c r="I76" i="5" s="1"/>
  <c r="I73" i="5"/>
  <c r="G73" i="5"/>
  <c r="G72" i="5"/>
  <c r="G75" i="5" s="1"/>
  <c r="G76" i="5" s="1"/>
  <c r="J72" i="5"/>
  <c r="J75" i="5" s="1"/>
  <c r="J76" i="5" s="1"/>
  <c r="J73" i="5"/>
  <c r="E82" i="5"/>
  <c r="E85" i="5" s="1"/>
  <c r="E86" i="5" s="1"/>
  <c r="E83" i="5"/>
  <c r="I123" i="5"/>
  <c r="I130" i="5" s="1"/>
  <c r="B51" i="5"/>
  <c r="B54" i="5" s="1"/>
  <c r="B55" i="5" s="1"/>
  <c r="B52" i="5"/>
  <c r="E61" i="5"/>
  <c r="E64" i="5" s="1"/>
  <c r="E65" i="5" s="1"/>
  <c r="E62" i="5"/>
  <c r="C51" i="5"/>
  <c r="C54" i="5" s="1"/>
  <c r="C55" i="5" s="1"/>
  <c r="C52" i="5"/>
  <c r="K51" i="5"/>
  <c r="K54" i="5" s="1"/>
  <c r="K55" i="5" s="1"/>
  <c r="K52" i="5"/>
  <c r="B61" i="5"/>
  <c r="B64" i="5" s="1"/>
  <c r="B65" i="5" s="1"/>
  <c r="B62" i="5"/>
  <c r="D52" i="5"/>
  <c r="D51" i="5"/>
  <c r="D54" i="5" s="1"/>
  <c r="D55" i="5" s="1"/>
  <c r="C62" i="5"/>
  <c r="C61" i="5"/>
  <c r="C64" i="5" s="1"/>
  <c r="C65" i="5" s="1"/>
  <c r="K62" i="5"/>
  <c r="K61" i="5"/>
  <c r="K64" i="5" s="1"/>
  <c r="K65" i="5" s="1"/>
  <c r="E52" i="5"/>
  <c r="E51" i="5"/>
  <c r="E54" i="5" s="1"/>
  <c r="E55" i="5" s="1"/>
  <c r="D62" i="5"/>
  <c r="D61" i="5"/>
  <c r="D64" i="5" s="1"/>
  <c r="D65" i="5" s="1"/>
  <c r="G124" i="5"/>
  <c r="G131" i="5" s="1"/>
  <c r="F124" i="5"/>
  <c r="F131" i="5" s="1"/>
  <c r="B146" i="5"/>
  <c r="C124" i="5"/>
  <c r="C131" i="5" s="1"/>
  <c r="N313" i="5"/>
  <c r="K124" i="5"/>
  <c r="K131" i="5" s="1"/>
  <c r="F123" i="5"/>
  <c r="F130" i="5" s="1"/>
  <c r="J17" i="5"/>
  <c r="J57" i="5" s="1"/>
  <c r="J60" i="5" s="1"/>
  <c r="K134" i="5"/>
  <c r="K327" i="5" s="1"/>
  <c r="L124" i="5"/>
  <c r="L131" i="5" s="1"/>
  <c r="G123" i="5"/>
  <c r="G130" i="5" s="1"/>
  <c r="I124" i="5"/>
  <c r="I131" i="5" s="1"/>
  <c r="F319" i="5"/>
  <c r="D123" i="5"/>
  <c r="D130" i="5" s="1"/>
  <c r="L123" i="5"/>
  <c r="L130" i="5" s="1"/>
  <c r="L318" i="5"/>
  <c r="G306" i="5"/>
  <c r="N305" i="5"/>
  <c r="N306" i="5" s="1"/>
  <c r="N331" i="5" s="1"/>
  <c r="M314" i="5"/>
  <c r="M316" i="5" s="1"/>
  <c r="M331" i="5"/>
  <c r="H17" i="5"/>
  <c r="G279" i="5"/>
  <c r="G280" i="5"/>
  <c r="G282" i="5" s="1"/>
  <c r="G283" i="5" s="1"/>
  <c r="G284" i="5" s="1"/>
  <c r="G328" i="5" s="1"/>
  <c r="M14" i="5"/>
  <c r="M17" i="5" s="1"/>
  <c r="L17" i="5"/>
  <c r="H123" i="5"/>
  <c r="H130" i="5" s="1"/>
  <c r="D237" i="5"/>
  <c r="E167" i="5"/>
  <c r="E172" i="5"/>
  <c r="H331" i="5"/>
  <c r="H314" i="5"/>
  <c r="H316" i="5" s="1"/>
  <c r="E124" i="5"/>
  <c r="E131" i="5" s="1"/>
  <c r="I279" i="5"/>
  <c r="I280" i="5"/>
  <c r="I282" i="5" s="1"/>
  <c r="I283" i="5" s="1"/>
  <c r="I284" i="5" s="1"/>
  <c r="I328" i="5" s="1"/>
  <c r="B123" i="5"/>
  <c r="M280" i="5"/>
  <c r="M282" i="5" s="1"/>
  <c r="M283" i="5" s="1"/>
  <c r="M284" i="5" s="1"/>
  <c r="M328" i="5" s="1"/>
  <c r="M279" i="5"/>
  <c r="J123" i="5"/>
  <c r="J130" i="5" s="1"/>
  <c r="E123" i="5"/>
  <c r="E130" i="5" s="1"/>
  <c r="C229" i="5"/>
  <c r="B232" i="5"/>
  <c r="C242" i="5" s="1"/>
  <c r="I331" i="5"/>
  <c r="I314" i="5"/>
  <c r="I316" i="5" s="1"/>
  <c r="D235" i="5"/>
  <c r="C238" i="5"/>
  <c r="D253" i="5" s="1"/>
  <c r="J38" i="4"/>
  <c r="D166" i="5"/>
  <c r="C231" i="5"/>
  <c r="D229" i="5" s="1"/>
  <c r="D171" i="5"/>
  <c r="J331" i="5"/>
  <c r="J314" i="5"/>
  <c r="J316" i="5" s="1"/>
  <c r="I17" i="5"/>
  <c r="H280" i="5"/>
  <c r="H282" i="5" s="1"/>
  <c r="H283" i="5" s="1"/>
  <c r="H284" i="5" s="1"/>
  <c r="H328" i="5" s="1"/>
  <c r="H279" i="5"/>
  <c r="D124" i="5"/>
  <c r="D131" i="5" s="1"/>
  <c r="J279" i="5"/>
  <c r="J280" i="5"/>
  <c r="J282" i="5" s="1"/>
  <c r="J283" i="5" s="1"/>
  <c r="J284" i="5" s="1"/>
  <c r="J328" i="5" s="1"/>
  <c r="M134" i="5"/>
  <c r="M327" i="5" s="1"/>
  <c r="G14" i="5"/>
  <c r="G17" i="5" s="1"/>
  <c r="F17" i="5"/>
  <c r="C123" i="5"/>
  <c r="C130" i="5" s="1"/>
  <c r="J124" i="5"/>
  <c r="J131" i="5" s="1"/>
  <c r="H124" i="5"/>
  <c r="H131" i="5" s="1"/>
  <c r="E254" i="5"/>
  <c r="D257" i="5"/>
  <c r="D258" i="5" s="1"/>
  <c r="E259" i="5"/>
  <c r="D262" i="5"/>
  <c r="D263" i="5" s="1"/>
  <c r="D333" i="5"/>
  <c r="D319" i="5"/>
  <c r="E256" i="5"/>
  <c r="E147" i="5"/>
  <c r="E261" i="5"/>
  <c r="E148" i="5"/>
  <c r="L38" i="4"/>
  <c r="L231" i="4" s="1"/>
  <c r="G210" i="4"/>
  <c r="N209" i="4"/>
  <c r="N210" i="4" s="1"/>
  <c r="N235" i="4" s="1"/>
  <c r="J235" i="4"/>
  <c r="J218" i="4"/>
  <c r="K38" i="4"/>
  <c r="K231" i="4" s="1"/>
  <c r="H235" i="4"/>
  <c r="H218" i="4"/>
  <c r="I235" i="4"/>
  <c r="I218" i="4"/>
  <c r="M235" i="4"/>
  <c r="M218" i="4"/>
  <c r="K217" i="4"/>
  <c r="K220" i="4" s="1"/>
  <c r="L222" i="4" s="1"/>
  <c r="L237" i="4" s="1"/>
  <c r="L217" i="4"/>
  <c r="L220" i="4" s="1"/>
  <c r="M222" i="4" s="1"/>
  <c r="M237" i="4" s="1"/>
  <c r="M238" i="4" s="1"/>
  <c r="M239" i="4" s="1"/>
  <c r="F231" i="4"/>
  <c r="F217" i="4"/>
  <c r="F220" i="4" s="1"/>
  <c r="G222" i="4" s="1"/>
  <c r="G237" i="4" s="1"/>
  <c r="I38" i="4"/>
  <c r="I217" i="4" s="1"/>
  <c r="J231" i="4"/>
  <c r="J217" i="4"/>
  <c r="J220" i="4" s="1"/>
  <c r="K222" i="4" s="1"/>
  <c r="K237" i="4" s="1"/>
  <c r="N37" i="4"/>
  <c r="I231" i="4"/>
  <c r="N35" i="4"/>
  <c r="N36" i="4"/>
  <c r="H38" i="4"/>
  <c r="H231" i="4" s="1"/>
  <c r="G38" i="4"/>
  <c r="G217" i="4" s="1"/>
  <c r="E231" i="4"/>
  <c r="E217" i="4"/>
  <c r="E220" i="4" s="1"/>
  <c r="F222" i="4" s="1"/>
  <c r="F237" i="4" s="1"/>
  <c r="F238" i="4" s="1"/>
  <c r="F239" i="4" s="1"/>
  <c r="D231" i="4"/>
  <c r="D217" i="4"/>
  <c r="D220" i="4" s="1"/>
  <c r="E222" i="4" s="1"/>
  <c r="B50" i="4"/>
  <c r="C154" i="4" s="1"/>
  <c r="B49" i="4"/>
  <c r="M217" i="4"/>
  <c r="M220" i="4" s="1"/>
  <c r="P223" i="4" s="1"/>
  <c r="B222" i="4" s="1"/>
  <c r="B237" i="4" s="1"/>
  <c r="B52" i="4"/>
  <c r="B51" i="4"/>
  <c r="N34" i="4"/>
  <c r="B38" i="4"/>
  <c r="D237" i="4"/>
  <c r="D139" i="4"/>
  <c r="C142" i="4"/>
  <c r="D157" i="4" s="1"/>
  <c r="E76" i="4"/>
  <c r="D141" i="4"/>
  <c r="E71" i="4"/>
  <c r="F133" i="4"/>
  <c r="E136" i="4"/>
  <c r="F70" i="4"/>
  <c r="F135" i="4" s="1"/>
  <c r="F75" i="4"/>
  <c r="B95" i="5" l="1"/>
  <c r="E95" i="5"/>
  <c r="K95" i="5"/>
  <c r="D95" i="5"/>
  <c r="C95" i="5"/>
  <c r="I134" i="5"/>
  <c r="I327" i="5" s="1"/>
  <c r="E92" i="5"/>
  <c r="E91" i="5"/>
  <c r="D92" i="5"/>
  <c r="K92" i="5"/>
  <c r="C91" i="5"/>
  <c r="B92" i="5"/>
  <c r="K91" i="5"/>
  <c r="K93" i="5" s="1"/>
  <c r="B91" i="5"/>
  <c r="D91" i="5"/>
  <c r="D93" i="5" s="1"/>
  <c r="C92" i="5"/>
  <c r="F134" i="5"/>
  <c r="F327" i="5" s="1"/>
  <c r="F334" i="5" s="1"/>
  <c r="F335" i="5" s="1"/>
  <c r="J62" i="5"/>
  <c r="J61" i="5"/>
  <c r="J64" i="5" s="1"/>
  <c r="J65" i="5" s="1"/>
  <c r="C146" i="5"/>
  <c r="D146" i="5" s="1"/>
  <c r="C134" i="5"/>
  <c r="C327" i="5" s="1"/>
  <c r="G134" i="5"/>
  <c r="G327" i="5" s="1"/>
  <c r="C250" i="5"/>
  <c r="D248" i="5" s="1"/>
  <c r="J47" i="5"/>
  <c r="J50" i="5" s="1"/>
  <c r="E134" i="5"/>
  <c r="E327" i="5" s="1"/>
  <c r="E334" i="5" s="1"/>
  <c r="E335" i="5" s="1"/>
  <c r="L134" i="5"/>
  <c r="L327" i="5" s="1"/>
  <c r="J134" i="5"/>
  <c r="J327" i="5" s="1"/>
  <c r="M47" i="5"/>
  <c r="M50" i="5" s="1"/>
  <c r="M57" i="5"/>
  <c r="M60" i="5" s="1"/>
  <c r="L57" i="5"/>
  <c r="L60" i="5" s="1"/>
  <c r="L47" i="5"/>
  <c r="L50" i="5" s="1"/>
  <c r="G57" i="5"/>
  <c r="G60" i="5" s="1"/>
  <c r="G47" i="5"/>
  <c r="G50" i="5" s="1"/>
  <c r="H57" i="5"/>
  <c r="H60" i="5" s="1"/>
  <c r="H47" i="5"/>
  <c r="H50" i="5" s="1"/>
  <c r="I57" i="5"/>
  <c r="I60" i="5" s="1"/>
  <c r="I47" i="5"/>
  <c r="I50" i="5" s="1"/>
  <c r="M334" i="5"/>
  <c r="M335" i="5" s="1"/>
  <c r="F57" i="5"/>
  <c r="F60" i="5" s="1"/>
  <c r="F47" i="5"/>
  <c r="F50" i="5" s="1"/>
  <c r="C232" i="5"/>
  <c r="D242" i="5" s="1"/>
  <c r="K318" i="5"/>
  <c r="D231" i="5"/>
  <c r="E229" i="5" s="1"/>
  <c r="E166" i="5"/>
  <c r="E171" i="5"/>
  <c r="J318" i="5"/>
  <c r="J333" i="5" s="1"/>
  <c r="B130" i="5"/>
  <c r="B145" i="5"/>
  <c r="H134" i="5"/>
  <c r="H327" i="5" s="1"/>
  <c r="N328" i="5"/>
  <c r="C318" i="5"/>
  <c r="P319" i="5"/>
  <c r="B318" i="5" s="1"/>
  <c r="B333" i="5" s="1"/>
  <c r="N318" i="5"/>
  <c r="N333" i="5" s="1"/>
  <c r="M319" i="5"/>
  <c r="I318" i="5"/>
  <c r="I333" i="5" s="1"/>
  <c r="I334" i="5" s="1"/>
  <c r="I335" i="5" s="1"/>
  <c r="F172" i="5"/>
  <c r="E237" i="5"/>
  <c r="F167" i="5"/>
  <c r="L333" i="5"/>
  <c r="L334" i="5" s="1"/>
  <c r="L335" i="5" s="1"/>
  <c r="L319" i="5"/>
  <c r="I220" i="4"/>
  <c r="J222" i="4" s="1"/>
  <c r="D134" i="5"/>
  <c r="D327" i="5" s="1"/>
  <c r="D334" i="5" s="1"/>
  <c r="D335" i="5" s="1"/>
  <c r="N131" i="5"/>
  <c r="D232" i="5"/>
  <c r="E242" i="5" s="1"/>
  <c r="E235" i="5"/>
  <c r="D238" i="5"/>
  <c r="E253" i="5" s="1"/>
  <c r="G331" i="5"/>
  <c r="G334" i="5" s="1"/>
  <c r="G335" i="5" s="1"/>
  <c r="G314" i="5"/>
  <c r="F259" i="5"/>
  <c r="E262" i="5"/>
  <c r="E263" i="5" s="1"/>
  <c r="F254" i="5"/>
  <c r="E257" i="5"/>
  <c r="E258" i="5" s="1"/>
  <c r="F261" i="5"/>
  <c r="F148" i="5"/>
  <c r="F256" i="5"/>
  <c r="F147" i="5"/>
  <c r="D250" i="5"/>
  <c r="G235" i="4"/>
  <c r="G218" i="4"/>
  <c r="N218" i="4" s="1"/>
  <c r="G220" i="4"/>
  <c r="H222" i="4" s="1"/>
  <c r="H237" i="4" s="1"/>
  <c r="L238" i="4"/>
  <c r="L239" i="4" s="1"/>
  <c r="D223" i="4"/>
  <c r="J223" i="4"/>
  <c r="K238" i="4"/>
  <c r="K239" i="4" s="1"/>
  <c r="L223" i="4"/>
  <c r="H238" i="4"/>
  <c r="H239" i="4" s="1"/>
  <c r="G231" i="4"/>
  <c r="K223" i="4"/>
  <c r="J237" i="4"/>
  <c r="J238" i="4" s="1"/>
  <c r="J239" i="4" s="1"/>
  <c r="H217" i="4"/>
  <c r="H220" i="4" s="1"/>
  <c r="I222" i="4" s="1"/>
  <c r="I237" i="4" s="1"/>
  <c r="I238" i="4" s="1"/>
  <c r="I239" i="4" s="1"/>
  <c r="F223" i="4"/>
  <c r="E223" i="4"/>
  <c r="E237" i="4"/>
  <c r="E238" i="4" s="1"/>
  <c r="E239" i="4" s="1"/>
  <c r="D238" i="4"/>
  <c r="D239" i="4" s="1"/>
  <c r="C50" i="4"/>
  <c r="D154" i="4" s="1"/>
  <c r="C149" i="4"/>
  <c r="C49" i="4"/>
  <c r="C165" i="4"/>
  <c r="C52" i="4"/>
  <c r="C160" i="4"/>
  <c r="C51" i="4"/>
  <c r="D152" i="4"/>
  <c r="C155" i="4"/>
  <c r="C156" i="4" s="1"/>
  <c r="B231" i="4"/>
  <c r="B238" i="4" s="1"/>
  <c r="B239" i="4" s="1"/>
  <c r="B240" i="4" s="1"/>
  <c r="N38" i="4"/>
  <c r="N231" i="4" s="1"/>
  <c r="N222" i="4"/>
  <c r="M223" i="4"/>
  <c r="E141" i="4"/>
  <c r="F71" i="4"/>
  <c r="F76" i="4"/>
  <c r="E139" i="4"/>
  <c r="D142" i="4"/>
  <c r="E157" i="4" s="1"/>
  <c r="G133" i="4"/>
  <c r="F136" i="4"/>
  <c r="G146" i="4" s="1"/>
  <c r="F146" i="4"/>
  <c r="G70" i="4"/>
  <c r="G135" i="4" s="1"/>
  <c r="G75" i="4"/>
  <c r="E93" i="5" l="1"/>
  <c r="C94" i="5"/>
  <c r="B93" i="5"/>
  <c r="D94" i="5"/>
  <c r="C93" i="5"/>
  <c r="K94" i="5"/>
  <c r="E94" i="5"/>
  <c r="B94" i="5"/>
  <c r="H51" i="5"/>
  <c r="H54" i="5" s="1"/>
  <c r="H55" i="5" s="1"/>
  <c r="H52" i="5"/>
  <c r="M62" i="5"/>
  <c r="M61" i="5"/>
  <c r="M64" i="5" s="1"/>
  <c r="M65" i="5" s="1"/>
  <c r="F51" i="5"/>
  <c r="F54" i="5" s="1"/>
  <c r="F55" i="5" s="1"/>
  <c r="F52" i="5"/>
  <c r="I51" i="5"/>
  <c r="I54" i="5" s="1"/>
  <c r="I55" i="5" s="1"/>
  <c r="I52" i="5"/>
  <c r="H61" i="5"/>
  <c r="H64" i="5" s="1"/>
  <c r="H65" i="5" s="1"/>
  <c r="H62" i="5"/>
  <c r="L51" i="5"/>
  <c r="L54" i="5" s="1"/>
  <c r="L55" i="5" s="1"/>
  <c r="L52" i="5"/>
  <c r="M52" i="5"/>
  <c r="M51" i="5"/>
  <c r="M54" i="5" s="1"/>
  <c r="M55" i="5" s="1"/>
  <c r="G62" i="5"/>
  <c r="G61" i="5"/>
  <c r="G64" i="5" s="1"/>
  <c r="G65" i="5" s="1"/>
  <c r="F62" i="5"/>
  <c r="F61" i="5"/>
  <c r="F64" i="5" s="1"/>
  <c r="F65" i="5" s="1"/>
  <c r="I62" i="5"/>
  <c r="I61" i="5"/>
  <c r="I64" i="5" s="1"/>
  <c r="I65" i="5" s="1"/>
  <c r="I95" i="5" s="1"/>
  <c r="G52" i="5"/>
  <c r="G92" i="5" s="1"/>
  <c r="G51" i="5"/>
  <c r="L62" i="5"/>
  <c r="L61" i="5"/>
  <c r="L64" i="5" s="1"/>
  <c r="L65" i="5" s="1"/>
  <c r="J52" i="5"/>
  <c r="J92" i="5" s="1"/>
  <c r="J51" i="5"/>
  <c r="C251" i="5"/>
  <c r="C252" i="5" s="1"/>
  <c r="J334" i="5"/>
  <c r="J335" i="5" s="1"/>
  <c r="G316" i="5"/>
  <c r="N314" i="5"/>
  <c r="N316" i="5" s="1"/>
  <c r="N319" i="5" s="1"/>
  <c r="F235" i="5"/>
  <c r="E238" i="5"/>
  <c r="F253" i="5" s="1"/>
  <c r="B319" i="5"/>
  <c r="I319" i="5"/>
  <c r="F171" i="5"/>
  <c r="F166" i="5"/>
  <c r="E231" i="5"/>
  <c r="C145" i="5"/>
  <c r="C245" i="5"/>
  <c r="J319" i="5"/>
  <c r="G172" i="5"/>
  <c r="G167" i="5"/>
  <c r="F237" i="5"/>
  <c r="C333" i="5"/>
  <c r="C334" i="5" s="1"/>
  <c r="C335" i="5" s="1"/>
  <c r="C319" i="5"/>
  <c r="B134" i="5"/>
  <c r="N130" i="5"/>
  <c r="K333" i="5"/>
  <c r="K334" i="5" s="1"/>
  <c r="K335" i="5" s="1"/>
  <c r="K319" i="5"/>
  <c r="E248" i="5"/>
  <c r="D251" i="5"/>
  <c r="D252" i="5" s="1"/>
  <c r="G254" i="5"/>
  <c r="F257" i="5"/>
  <c r="F258" i="5" s="1"/>
  <c r="G259" i="5"/>
  <c r="F262" i="5"/>
  <c r="F263" i="5" s="1"/>
  <c r="E250" i="5"/>
  <c r="E146" i="5"/>
  <c r="G256" i="5"/>
  <c r="G147" i="5"/>
  <c r="G261" i="5"/>
  <c r="G148" i="5"/>
  <c r="G223" i="4"/>
  <c r="G238" i="4"/>
  <c r="G239" i="4" s="1"/>
  <c r="H223" i="4"/>
  <c r="I223" i="4"/>
  <c r="D50" i="4"/>
  <c r="E154" i="4" s="1"/>
  <c r="D147" i="4"/>
  <c r="C150" i="4"/>
  <c r="C151" i="4" s="1"/>
  <c r="D49" i="4"/>
  <c r="D149" i="4"/>
  <c r="D163" i="4"/>
  <c r="C166" i="4"/>
  <c r="C167" i="4" s="1"/>
  <c r="D165" i="4"/>
  <c r="D52" i="4"/>
  <c r="D158" i="4"/>
  <c r="C161" i="4"/>
  <c r="C162" i="4" s="1"/>
  <c r="D160" i="4"/>
  <c r="D51" i="4"/>
  <c r="E152" i="4"/>
  <c r="D155" i="4"/>
  <c r="D156" i="4" s="1"/>
  <c r="B217" i="4"/>
  <c r="B220" i="4" s="1"/>
  <c r="N215" i="4"/>
  <c r="N217" i="4" s="1"/>
  <c r="N220" i="4" s="1"/>
  <c r="N223" i="4" s="1"/>
  <c r="N237" i="4"/>
  <c r="N238" i="4" s="1"/>
  <c r="N239" i="4" s="1"/>
  <c r="E142" i="4"/>
  <c r="F157" i="4" s="1"/>
  <c r="F139" i="4"/>
  <c r="G71" i="4"/>
  <c r="G76" i="4"/>
  <c r="F141" i="4"/>
  <c r="G136" i="4"/>
  <c r="H133" i="4"/>
  <c r="H70" i="4"/>
  <c r="H135" i="4" s="1"/>
  <c r="H75" i="4"/>
  <c r="L95" i="5" l="1"/>
  <c r="F95" i="5"/>
  <c r="H95" i="5"/>
  <c r="M95" i="5"/>
  <c r="M92" i="5"/>
  <c r="G91" i="5"/>
  <c r="G93" i="5" s="1"/>
  <c r="G54" i="5"/>
  <c r="G55" i="5" s="1"/>
  <c r="G95" i="5" s="1"/>
  <c r="J91" i="5"/>
  <c r="J93" i="5" s="1"/>
  <c r="J54" i="5"/>
  <c r="J55" i="5" s="1"/>
  <c r="J95" i="5" s="1"/>
  <c r="M91" i="5"/>
  <c r="J94" i="5"/>
  <c r="G94" i="5"/>
  <c r="L91" i="5"/>
  <c r="I92" i="5"/>
  <c r="F91" i="5"/>
  <c r="H92" i="5"/>
  <c r="I91" i="5"/>
  <c r="I93" i="5" s="1"/>
  <c r="H91" i="5"/>
  <c r="L92" i="5"/>
  <c r="L94" i="5" s="1"/>
  <c r="F92" i="5"/>
  <c r="B327" i="5"/>
  <c r="B334" i="5" s="1"/>
  <c r="B335" i="5" s="1"/>
  <c r="B336" i="5" s="1"/>
  <c r="C336" i="5" s="1"/>
  <c r="D336" i="5" s="1"/>
  <c r="E336" i="5" s="1"/>
  <c r="F336" i="5" s="1"/>
  <c r="G336" i="5" s="1"/>
  <c r="N134" i="5"/>
  <c r="N327" i="5" s="1"/>
  <c r="N334" i="5" s="1"/>
  <c r="N335" i="5" s="1"/>
  <c r="D245" i="5"/>
  <c r="D145" i="5"/>
  <c r="H318" i="5"/>
  <c r="G319" i="5"/>
  <c r="H172" i="5"/>
  <c r="H167" i="5"/>
  <c r="G237" i="5"/>
  <c r="D243" i="5"/>
  <c r="C246" i="5"/>
  <c r="C247" i="5" s="1"/>
  <c r="C264" i="5" s="1"/>
  <c r="G166" i="5"/>
  <c r="F231" i="5"/>
  <c r="G171" i="5"/>
  <c r="F238" i="5"/>
  <c r="G253" i="5" s="1"/>
  <c r="G235" i="5"/>
  <c r="F229" i="5"/>
  <c r="E232" i="5"/>
  <c r="F242" i="5" s="1"/>
  <c r="H261" i="5"/>
  <c r="H148" i="5"/>
  <c r="H256" i="5"/>
  <c r="H147" i="5"/>
  <c r="F250" i="5"/>
  <c r="F146" i="5"/>
  <c r="H259" i="5"/>
  <c r="G262" i="5"/>
  <c r="G263" i="5" s="1"/>
  <c r="H254" i="5"/>
  <c r="G257" i="5"/>
  <c r="G258" i="5" s="1"/>
  <c r="F248" i="5"/>
  <c r="E251" i="5"/>
  <c r="E252" i="5" s="1"/>
  <c r="E50" i="4"/>
  <c r="F50" i="4" s="1"/>
  <c r="C168" i="4"/>
  <c r="E49" i="4"/>
  <c r="E149" i="4"/>
  <c r="F147" i="4" s="1"/>
  <c r="D150" i="4"/>
  <c r="D151" i="4" s="1"/>
  <c r="E147" i="4"/>
  <c r="E158" i="4"/>
  <c r="D161" i="4"/>
  <c r="D162" i="4" s="1"/>
  <c r="E163" i="4"/>
  <c r="D166" i="4"/>
  <c r="D167" i="4" s="1"/>
  <c r="E160" i="4"/>
  <c r="E51" i="4"/>
  <c r="E165" i="4"/>
  <c r="E52" i="4"/>
  <c r="C222" i="4"/>
  <c r="B223" i="4"/>
  <c r="F152" i="4"/>
  <c r="E155" i="4"/>
  <c r="E156" i="4" s="1"/>
  <c r="G139" i="4"/>
  <c r="F142" i="4"/>
  <c r="G157" i="4" s="1"/>
  <c r="G141" i="4"/>
  <c r="H71" i="4"/>
  <c r="H76" i="4"/>
  <c r="I133" i="4"/>
  <c r="H136" i="4"/>
  <c r="I146" i="4" s="1"/>
  <c r="H146" i="4"/>
  <c r="I75" i="4"/>
  <c r="I70" i="4"/>
  <c r="I135" i="4" s="1"/>
  <c r="N95" i="5" l="1"/>
  <c r="M94" i="5"/>
  <c r="M93" i="5"/>
  <c r="H93" i="5"/>
  <c r="F93" i="5"/>
  <c r="F94" i="5"/>
  <c r="I94" i="5"/>
  <c r="H94" i="5"/>
  <c r="L93" i="5"/>
  <c r="H166" i="5"/>
  <c r="G231" i="5"/>
  <c r="H171" i="5"/>
  <c r="H235" i="5"/>
  <c r="G238" i="5"/>
  <c r="H253" i="5" s="1"/>
  <c r="E243" i="5"/>
  <c r="D246" i="5"/>
  <c r="D247" i="5" s="1"/>
  <c r="D264" i="5" s="1"/>
  <c r="I172" i="5"/>
  <c r="H237" i="5"/>
  <c r="I167" i="5"/>
  <c r="H333" i="5"/>
  <c r="H334" i="5" s="1"/>
  <c r="H335" i="5" s="1"/>
  <c r="H336" i="5" s="1"/>
  <c r="I336" i="5" s="1"/>
  <c r="J336" i="5" s="1"/>
  <c r="K336" i="5" s="1"/>
  <c r="L336" i="5" s="1"/>
  <c r="M336" i="5" s="1"/>
  <c r="H319" i="5"/>
  <c r="G229" i="5"/>
  <c r="F232" i="5"/>
  <c r="G242" i="5" s="1"/>
  <c r="E145" i="5"/>
  <c r="E245" i="5"/>
  <c r="G248" i="5"/>
  <c r="F251" i="5"/>
  <c r="F252" i="5" s="1"/>
  <c r="I254" i="5"/>
  <c r="H257" i="5"/>
  <c r="H258" i="5" s="1"/>
  <c r="I259" i="5"/>
  <c r="H262" i="5"/>
  <c r="H263" i="5" s="1"/>
  <c r="G250" i="5"/>
  <c r="G146" i="5"/>
  <c r="I256" i="5"/>
  <c r="I147" i="5"/>
  <c r="I261" i="5"/>
  <c r="I148" i="5"/>
  <c r="D168" i="4"/>
  <c r="F154" i="4"/>
  <c r="F49" i="4"/>
  <c r="F149" i="4"/>
  <c r="E150" i="4"/>
  <c r="E151" i="4" s="1"/>
  <c r="F158" i="4"/>
  <c r="E161" i="4"/>
  <c r="E162" i="4" s="1"/>
  <c r="F52" i="4"/>
  <c r="F165" i="4"/>
  <c r="F160" i="4"/>
  <c r="F51" i="4"/>
  <c r="F163" i="4"/>
  <c r="E166" i="4"/>
  <c r="E167" i="4" s="1"/>
  <c r="G152" i="4"/>
  <c r="F155" i="4"/>
  <c r="F156" i="4" s="1"/>
  <c r="G50" i="4"/>
  <c r="G154" i="4"/>
  <c r="C237" i="4"/>
  <c r="C238" i="4" s="1"/>
  <c r="C239" i="4" s="1"/>
  <c r="C240" i="4" s="1"/>
  <c r="D240" i="4" s="1"/>
  <c r="E240" i="4" s="1"/>
  <c r="F240" i="4" s="1"/>
  <c r="G240" i="4" s="1"/>
  <c r="H240" i="4" s="1"/>
  <c r="I240" i="4" s="1"/>
  <c r="J240" i="4" s="1"/>
  <c r="K240" i="4" s="1"/>
  <c r="L240" i="4" s="1"/>
  <c r="M240" i="4" s="1"/>
  <c r="C223" i="4"/>
  <c r="H139" i="4"/>
  <c r="G142" i="4"/>
  <c r="H157" i="4" s="1"/>
  <c r="I76" i="4"/>
  <c r="H141" i="4"/>
  <c r="I71" i="4"/>
  <c r="I136" i="4"/>
  <c r="J146" i="4" s="1"/>
  <c r="J133" i="4"/>
  <c r="J75" i="4"/>
  <c r="J70" i="4"/>
  <c r="J135" i="4" s="1"/>
  <c r="F245" i="5" l="1"/>
  <c r="F145" i="5"/>
  <c r="H238" i="5"/>
  <c r="I253" i="5" s="1"/>
  <c r="I235" i="5"/>
  <c r="G232" i="5"/>
  <c r="H242" i="5" s="1"/>
  <c r="H229" i="5"/>
  <c r="E246" i="5"/>
  <c r="E247" i="5" s="1"/>
  <c r="E264" i="5" s="1"/>
  <c r="F243" i="5"/>
  <c r="J167" i="5"/>
  <c r="I237" i="5"/>
  <c r="J172" i="5"/>
  <c r="I171" i="5"/>
  <c r="I166" i="5"/>
  <c r="H231" i="5"/>
  <c r="J261" i="5"/>
  <c r="J148" i="5"/>
  <c r="J256" i="5"/>
  <c r="J147" i="5"/>
  <c r="H250" i="5"/>
  <c r="H146" i="5"/>
  <c r="J259" i="5"/>
  <c r="I262" i="5"/>
  <c r="I263" i="5" s="1"/>
  <c r="J254" i="5"/>
  <c r="I257" i="5"/>
  <c r="I258" i="5" s="1"/>
  <c r="H248" i="5"/>
  <c r="G251" i="5"/>
  <c r="G252" i="5" s="1"/>
  <c r="E168" i="4"/>
  <c r="G149" i="4"/>
  <c r="G49" i="4"/>
  <c r="G147" i="4"/>
  <c r="F150" i="4"/>
  <c r="F151" i="4" s="1"/>
  <c r="G158" i="4"/>
  <c r="F161" i="4"/>
  <c r="F162" i="4" s="1"/>
  <c r="G160" i="4"/>
  <c r="G51" i="4"/>
  <c r="G165" i="4"/>
  <c r="G52" i="4"/>
  <c r="G163" i="4"/>
  <c r="F166" i="4"/>
  <c r="F167" i="4" s="1"/>
  <c r="H152" i="4"/>
  <c r="G155" i="4"/>
  <c r="G156" i="4" s="1"/>
  <c r="H154" i="4"/>
  <c r="H50" i="4"/>
  <c r="J76" i="4"/>
  <c r="I141" i="4"/>
  <c r="J71" i="4"/>
  <c r="H142" i="4"/>
  <c r="I157" i="4" s="1"/>
  <c r="I139" i="4"/>
  <c r="K133" i="4"/>
  <c r="J136" i="4"/>
  <c r="K146" i="4" s="1"/>
  <c r="K70" i="4"/>
  <c r="K135" i="4" s="1"/>
  <c r="K75" i="4"/>
  <c r="H232" i="5" l="1"/>
  <c r="I242" i="5" s="1"/>
  <c r="I229" i="5"/>
  <c r="G245" i="5"/>
  <c r="G145" i="5"/>
  <c r="K167" i="5"/>
  <c r="J237" i="5"/>
  <c r="K172" i="5"/>
  <c r="J166" i="5"/>
  <c r="J171" i="5"/>
  <c r="I231" i="5"/>
  <c r="J235" i="5"/>
  <c r="I238" i="5"/>
  <c r="J253" i="5" s="1"/>
  <c r="G243" i="5"/>
  <c r="F246" i="5"/>
  <c r="F247" i="5" s="1"/>
  <c r="F264" i="5" s="1"/>
  <c r="I250" i="5"/>
  <c r="I146" i="5"/>
  <c r="K256" i="5"/>
  <c r="K147" i="5"/>
  <c r="K261" i="5"/>
  <c r="K148" i="5"/>
  <c r="I248" i="5"/>
  <c r="H251" i="5"/>
  <c r="H252" i="5" s="1"/>
  <c r="K254" i="5"/>
  <c r="J257" i="5"/>
  <c r="J258" i="5" s="1"/>
  <c r="K259" i="5"/>
  <c r="J262" i="5"/>
  <c r="J263" i="5" s="1"/>
  <c r="F168" i="4"/>
  <c r="H147" i="4"/>
  <c r="G150" i="4"/>
  <c r="G151" i="4" s="1"/>
  <c r="H49" i="4"/>
  <c r="H149" i="4"/>
  <c r="H165" i="4"/>
  <c r="H52" i="4"/>
  <c r="H163" i="4"/>
  <c r="G166" i="4"/>
  <c r="G167" i="4" s="1"/>
  <c r="H158" i="4"/>
  <c r="G161" i="4"/>
  <c r="G162" i="4" s="1"/>
  <c r="H51" i="4"/>
  <c r="H160" i="4"/>
  <c r="I154" i="4"/>
  <c r="I50" i="4"/>
  <c r="I152" i="4"/>
  <c r="H155" i="4"/>
  <c r="H156" i="4" s="1"/>
  <c r="I142" i="4"/>
  <c r="J157" i="4" s="1"/>
  <c r="J139" i="4"/>
  <c r="K76" i="4"/>
  <c r="J141" i="4"/>
  <c r="K71" i="4"/>
  <c r="K136" i="4"/>
  <c r="L146" i="4" s="1"/>
  <c r="L133" i="4"/>
  <c r="L70" i="4"/>
  <c r="L135" i="4" s="1"/>
  <c r="L75" i="4"/>
  <c r="J238" i="5" l="1"/>
  <c r="K253" i="5" s="1"/>
  <c r="K235" i="5"/>
  <c r="K166" i="5"/>
  <c r="J231" i="5"/>
  <c r="K171" i="5"/>
  <c r="L172" i="5"/>
  <c r="K237" i="5"/>
  <c r="L167" i="5"/>
  <c r="H243" i="5"/>
  <c r="G246" i="5"/>
  <c r="G247" i="5" s="1"/>
  <c r="G264" i="5" s="1"/>
  <c r="J229" i="5"/>
  <c r="I232" i="5"/>
  <c r="J242" i="5" s="1"/>
  <c r="H145" i="5"/>
  <c r="H245" i="5"/>
  <c r="L261" i="5"/>
  <c r="L148" i="5"/>
  <c r="L256" i="5"/>
  <c r="L147" i="5"/>
  <c r="J250" i="5"/>
  <c r="J146" i="5"/>
  <c r="N238" i="5"/>
  <c r="O253" i="5" s="1"/>
  <c r="L259" i="5"/>
  <c r="K262" i="5"/>
  <c r="K263" i="5" s="1"/>
  <c r="L254" i="5"/>
  <c r="K257" i="5"/>
  <c r="K258" i="5" s="1"/>
  <c r="J248" i="5"/>
  <c r="I251" i="5"/>
  <c r="I252" i="5" s="1"/>
  <c r="G168" i="4"/>
  <c r="I149" i="4"/>
  <c r="I49" i="4"/>
  <c r="H150" i="4"/>
  <c r="H151" i="4" s="1"/>
  <c r="I147" i="4"/>
  <c r="I163" i="4"/>
  <c r="H166" i="4"/>
  <c r="H167" i="4" s="1"/>
  <c r="I165" i="4"/>
  <c r="I52" i="4"/>
  <c r="I160" i="4"/>
  <c r="I51" i="4"/>
  <c r="I158" i="4"/>
  <c r="H161" i="4"/>
  <c r="H162" i="4" s="1"/>
  <c r="J152" i="4"/>
  <c r="I155" i="4"/>
  <c r="I156" i="4" s="1"/>
  <c r="J50" i="4"/>
  <c r="J154" i="4"/>
  <c r="L76" i="4"/>
  <c r="K141" i="4"/>
  <c r="L71" i="4"/>
  <c r="J142" i="4"/>
  <c r="K157" i="4" s="1"/>
  <c r="K139" i="4"/>
  <c r="M133" i="4"/>
  <c r="L136" i="4"/>
  <c r="M146" i="4" s="1"/>
  <c r="M75" i="4"/>
  <c r="M70" i="4"/>
  <c r="M135" i="4" s="1"/>
  <c r="L166" i="5" l="1"/>
  <c r="L171" i="5"/>
  <c r="K231" i="5"/>
  <c r="H246" i="5"/>
  <c r="H247" i="5" s="1"/>
  <c r="H264" i="5" s="1"/>
  <c r="I243" i="5"/>
  <c r="L237" i="5"/>
  <c r="M167" i="5"/>
  <c r="M237" i="5" s="1"/>
  <c r="M172" i="5"/>
  <c r="I245" i="5"/>
  <c r="I145" i="5"/>
  <c r="L235" i="5"/>
  <c r="K238" i="5"/>
  <c r="L253" i="5" s="1"/>
  <c r="K229" i="5"/>
  <c r="J232" i="5"/>
  <c r="K250" i="5"/>
  <c r="K146" i="5"/>
  <c r="M256" i="5"/>
  <c r="M147" i="5"/>
  <c r="N256" i="5" s="1"/>
  <c r="M261" i="5"/>
  <c r="M148" i="5"/>
  <c r="N261" i="5" s="1"/>
  <c r="K248" i="5"/>
  <c r="J251" i="5"/>
  <c r="J252" i="5" s="1"/>
  <c r="M254" i="5"/>
  <c r="L257" i="5"/>
  <c r="L258" i="5" s="1"/>
  <c r="M259" i="5"/>
  <c r="L262" i="5"/>
  <c r="L263" i="5" s="1"/>
  <c r="J149" i="4"/>
  <c r="J49" i="4"/>
  <c r="J147" i="4"/>
  <c r="I150" i="4"/>
  <c r="I151" i="4" s="1"/>
  <c r="H168" i="4"/>
  <c r="J165" i="4"/>
  <c r="J52" i="4"/>
  <c r="J158" i="4"/>
  <c r="I161" i="4"/>
  <c r="I162" i="4" s="1"/>
  <c r="J51" i="4"/>
  <c r="J160" i="4"/>
  <c r="J163" i="4"/>
  <c r="I166" i="4"/>
  <c r="I167" i="4" s="1"/>
  <c r="K50" i="4"/>
  <c r="K154" i="4"/>
  <c r="K152" i="4"/>
  <c r="J155" i="4"/>
  <c r="J156" i="4" s="1"/>
  <c r="M136" i="4"/>
  <c r="N136" i="4" s="1"/>
  <c r="O146" i="4" s="1"/>
  <c r="L139" i="4"/>
  <c r="K142" i="4"/>
  <c r="L157" i="4" s="1"/>
  <c r="M71" i="4"/>
  <c r="M141" i="4" s="1"/>
  <c r="L141" i="4"/>
  <c r="M76" i="4"/>
  <c r="L238" i="5" l="1"/>
  <c r="M253" i="5" s="1"/>
  <c r="M235" i="5"/>
  <c r="M238" i="5" s="1"/>
  <c r="N253" i="5" s="1"/>
  <c r="K242" i="5"/>
  <c r="I246" i="5"/>
  <c r="I247" i="5" s="1"/>
  <c r="I264" i="5" s="1"/>
  <c r="J243" i="5"/>
  <c r="L229" i="5"/>
  <c r="K232" i="5"/>
  <c r="L242" i="5" s="1"/>
  <c r="J145" i="5"/>
  <c r="J245" i="5"/>
  <c r="M166" i="5"/>
  <c r="M231" i="5" s="1"/>
  <c r="M171" i="5"/>
  <c r="L231" i="5"/>
  <c r="L250" i="5"/>
  <c r="L146" i="5"/>
  <c r="N259" i="5"/>
  <c r="M262" i="5"/>
  <c r="M263" i="5" s="1"/>
  <c r="N254" i="5"/>
  <c r="N257" i="5" s="1"/>
  <c r="N258" i="5" s="1"/>
  <c r="M257" i="5"/>
  <c r="M258" i="5" s="1"/>
  <c r="L248" i="5"/>
  <c r="K251" i="5"/>
  <c r="K252" i="5" s="1"/>
  <c r="N262" i="5"/>
  <c r="N263" i="5" s="1"/>
  <c r="I168" i="4"/>
  <c r="J150" i="4"/>
  <c r="J151" i="4" s="1"/>
  <c r="K147" i="4"/>
  <c r="K49" i="4"/>
  <c r="K149" i="4"/>
  <c r="K51" i="4"/>
  <c r="K160" i="4"/>
  <c r="K165" i="4"/>
  <c r="K52" i="4"/>
  <c r="K163" i="4"/>
  <c r="J166" i="4"/>
  <c r="J167" i="4" s="1"/>
  <c r="K158" i="4"/>
  <c r="J161" i="4"/>
  <c r="J162" i="4" s="1"/>
  <c r="L50" i="4"/>
  <c r="L154" i="4"/>
  <c r="L152" i="4"/>
  <c r="K155" i="4"/>
  <c r="K156" i="4" s="1"/>
  <c r="N146" i="4"/>
  <c r="L142" i="4"/>
  <c r="M139" i="4"/>
  <c r="M142" i="4" s="1"/>
  <c r="N157" i="4" s="1"/>
  <c r="M229" i="5" l="1"/>
  <c r="M232" i="5" s="1"/>
  <c r="L232" i="5"/>
  <c r="M242" i="5" s="1"/>
  <c r="K145" i="5"/>
  <c r="K245" i="5"/>
  <c r="K243" i="5"/>
  <c r="J246" i="5"/>
  <c r="J247" i="5" s="1"/>
  <c r="J264" i="5" s="1"/>
  <c r="M250" i="5"/>
  <c r="M146" i="5"/>
  <c r="N250" i="5" s="1"/>
  <c r="M248" i="5"/>
  <c r="L251" i="5"/>
  <c r="L252" i="5" s="1"/>
  <c r="J168" i="4"/>
  <c r="L149" i="4"/>
  <c r="L49" i="4"/>
  <c r="K150" i="4"/>
  <c r="K151" i="4" s="1"/>
  <c r="L147" i="4"/>
  <c r="L51" i="4"/>
  <c r="L160" i="4"/>
  <c r="L158" i="4"/>
  <c r="K161" i="4"/>
  <c r="K162" i="4" s="1"/>
  <c r="L163" i="4"/>
  <c r="K166" i="4"/>
  <c r="K167" i="4" s="1"/>
  <c r="L165" i="4"/>
  <c r="L52" i="4"/>
  <c r="M154" i="4"/>
  <c r="M50" i="4"/>
  <c r="N154" i="4" s="1"/>
  <c r="M152" i="4"/>
  <c r="L155" i="4"/>
  <c r="L156" i="4" s="1"/>
  <c r="M157" i="4"/>
  <c r="N142" i="4"/>
  <c r="O157" i="4" s="1"/>
  <c r="N242" i="5" l="1"/>
  <c r="N232" i="5"/>
  <c r="O242" i="5" s="1"/>
  <c r="K246" i="5"/>
  <c r="K247" i="5" s="1"/>
  <c r="K264" i="5" s="1"/>
  <c r="L243" i="5"/>
  <c r="L245" i="5"/>
  <c r="L145" i="5"/>
  <c r="N248" i="5"/>
  <c r="N251" i="5" s="1"/>
  <c r="N252" i="5" s="1"/>
  <c r="M251" i="5"/>
  <c r="M252" i="5" s="1"/>
  <c r="K168" i="4"/>
  <c r="L150" i="4"/>
  <c r="L151" i="4" s="1"/>
  <c r="M147" i="4"/>
  <c r="M49" i="4"/>
  <c r="N149" i="4" s="1"/>
  <c r="M149" i="4"/>
  <c r="M160" i="4"/>
  <c r="M51" i="4"/>
  <c r="N160" i="4" s="1"/>
  <c r="M158" i="4"/>
  <c r="L161" i="4"/>
  <c r="L162" i="4" s="1"/>
  <c r="M163" i="4"/>
  <c r="L166" i="4"/>
  <c r="L167" i="4" s="1"/>
  <c r="M52" i="4"/>
  <c r="N165" i="4" s="1"/>
  <c r="M165" i="4"/>
  <c r="N152" i="4"/>
  <c r="N155" i="4" s="1"/>
  <c r="N156" i="4" s="1"/>
  <c r="M155" i="4"/>
  <c r="M156" i="4" s="1"/>
  <c r="M245" i="5" l="1"/>
  <c r="M145" i="5"/>
  <c r="N245" i="5" s="1"/>
  <c r="L246" i="5"/>
  <c r="L247" i="5" s="1"/>
  <c r="L264" i="5" s="1"/>
  <c r="M243" i="5"/>
  <c r="M150" i="4"/>
  <c r="M151" i="4" s="1"/>
  <c r="N147" i="4"/>
  <c r="N150" i="4" s="1"/>
  <c r="N151" i="4" s="1"/>
  <c r="L168" i="4"/>
  <c r="N163" i="4"/>
  <c r="M166" i="4"/>
  <c r="M167" i="4" s="1"/>
  <c r="N158" i="4"/>
  <c r="N161" i="4" s="1"/>
  <c r="N162" i="4" s="1"/>
  <c r="M161" i="4"/>
  <c r="M162" i="4" s="1"/>
  <c r="N166" i="4"/>
  <c r="N167" i="4" s="1"/>
  <c r="N243" i="5" l="1"/>
  <c r="N246" i="5" s="1"/>
  <c r="N247" i="5" s="1"/>
  <c r="N264" i="5" s="1"/>
  <c r="M246" i="5"/>
  <c r="M247" i="5" s="1"/>
  <c r="M264" i="5" s="1"/>
  <c r="M168" i="4"/>
  <c r="N168" i="4"/>
</calcChain>
</file>

<file path=xl/comments1.xml><?xml version="1.0" encoding="utf-8"?>
<comments xmlns="http://schemas.openxmlformats.org/spreadsheetml/2006/main">
  <authors>
    <author>djjia</author>
  </authors>
  <commentList>
    <comment ref="A48" authorId="0">
      <text>
        <r>
          <rPr>
            <b/>
            <sz val="9"/>
            <color indexed="81"/>
            <rFont val="Tahoma"/>
            <charset val="1"/>
          </rPr>
          <t>djjia:</t>
        </r>
        <r>
          <rPr>
            <sz val="9"/>
            <color indexed="81"/>
            <rFont val="Tahoma"/>
            <charset val="1"/>
          </rPr>
          <t xml:space="preserve">
Modificar la cantidad de equipos</t>
        </r>
      </text>
    </comment>
  </commentList>
</comments>
</file>

<file path=xl/sharedStrings.xml><?xml version="1.0" encoding="utf-8"?>
<sst xmlns="http://schemas.openxmlformats.org/spreadsheetml/2006/main" count="1359" uniqueCount="275">
  <si>
    <t>1.- Pronóstico de Ventas</t>
  </si>
  <si>
    <t>Producto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</si>
  <si>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</si>
  <si>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</si>
  <si>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</si>
  <si>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</si>
  <si>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</si>
  <si>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</si>
  <si>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</si>
  <si>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</si>
  <si>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</si>
  <si>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Septiem.</t>
  </si>
  <si>
    <t>Octubre</t>
  </si>
  <si>
    <t>Noviembre</t>
  </si>
  <si>
    <t>Diciembre</t>
  </si>
  <si>
    <t>A</t>
  </si>
  <si>
    <t>B</t>
  </si>
  <si>
    <t>2.- Datos de Facturación y Pagos</t>
  </si>
  <si>
    <t>4.-  Standard de Producción</t>
  </si>
  <si>
    <t>Materia Prima</t>
  </si>
  <si>
    <t>Costo ($/kg)</t>
  </si>
  <si>
    <t>Mano de Obra</t>
  </si>
  <si>
    <t>Proceso 1</t>
  </si>
  <si>
    <t>100 unidades p/turno</t>
  </si>
  <si>
    <t>Proceso 2</t>
  </si>
  <si>
    <t>80 unidades p/turno</t>
  </si>
  <si>
    <t>Equipos</t>
  </si>
  <si>
    <t>5.- Inversiones</t>
  </si>
  <si>
    <t>6.- Gastos Generales de Fabricación</t>
  </si>
  <si>
    <t>7.- Gastos Generales de Administración y Ventas.</t>
  </si>
  <si>
    <t>8.- Impuestos</t>
  </si>
  <si>
    <t>Grupo</t>
  </si>
  <si>
    <t>2.1.- Condicones de cobranza: 50 % Contado + 50% a 30 días Fecha Factura</t>
  </si>
  <si>
    <t xml:space="preserve">      2.3.- </t>
  </si>
  <si>
    <r>
      <t>3)</t>
    </r>
    <r>
      <rPr>
        <sz val="10"/>
        <rFont val="Arial"/>
        <family val="2"/>
      </rPr>
      <t xml:space="preserve"> 2.2.-</t>
    </r>
  </si>
  <si>
    <r>
      <t>2)</t>
    </r>
    <r>
      <rPr>
        <sz val="10"/>
        <rFont val="Arial"/>
        <family val="2"/>
      </rPr>
      <t xml:space="preserve"> 2.2.-</t>
    </r>
  </si>
  <si>
    <t>Ducrey</t>
  </si>
  <si>
    <t>Paez</t>
  </si>
  <si>
    <t>Pons</t>
  </si>
  <si>
    <t>Kg MP/U prod.</t>
  </si>
  <si>
    <t>Prod A</t>
  </si>
  <si>
    <t>Prod B</t>
  </si>
  <si>
    <t>HH / U prod.</t>
  </si>
  <si>
    <t>9.- Amortizaciones</t>
  </si>
  <si>
    <t>Galli</t>
  </si>
  <si>
    <t>Información en las Organizaciones (71 - 13)</t>
  </si>
  <si>
    <t>Un equipo de 5 personas producen</t>
  </si>
  <si>
    <t>Un equipo de 4 personas producen</t>
  </si>
  <si>
    <t>Un equipo de 3 personas producen</t>
  </si>
  <si>
    <t>Presupuesto - Datos Básicos para ejercicio de aplicación que consiste en confeccionar:</t>
  </si>
  <si>
    <t>- Presupuesto físico</t>
  </si>
  <si>
    <t>- Presupuesto económico</t>
  </si>
  <si>
    <t>- Presupuesto financiero</t>
  </si>
  <si>
    <t>- Cuadro de resultados</t>
  </si>
  <si>
    <t>2.2.-</t>
  </si>
  <si>
    <t xml:space="preserve">2.3.- </t>
  </si>
  <si>
    <t>3.2.- Para Materia Prima - Stock igual al 10 % de la cantidad de materia prima requerida para producción del mes siguiente</t>
  </si>
  <si>
    <t>Para completar los gastos de Aguinaldo , Obra social ,  Aportes patronales, Provisión por despido y Vacaciones, se asume el 80%  de la remuneración Bruta</t>
  </si>
  <si>
    <t>Unidad de Medida: Unidad de producto</t>
  </si>
  <si>
    <t xml:space="preserve">Gastos generales de Administración  se han previsto en $ 120.000.- mensuales. </t>
  </si>
  <si>
    <t>3.1.- Para producto terminado - Equivalente al 20 % de las ventas del mes siguiente</t>
  </si>
  <si>
    <t>3.-  Políticas de Stocks</t>
  </si>
  <si>
    <t>El monto de impuestos se estima en 35 % sobre la Utilidad Bruta y se pagan al mes siguiente de realizada la venta.</t>
  </si>
  <si>
    <t>Martinez</t>
  </si>
  <si>
    <t>110 unidades p/turno</t>
  </si>
  <si>
    <t>90 unidades p/turno</t>
  </si>
  <si>
    <t>Grupo Omar Ducrey</t>
  </si>
  <si>
    <t>Grupo Constantino Martinez</t>
  </si>
  <si>
    <t>Grupo Adriana Galli</t>
  </si>
  <si>
    <t>Grupo Viviana Paez</t>
  </si>
  <si>
    <t>Grupo Inés Pons</t>
  </si>
  <si>
    <t>A partir de los siguientes datos básicos:</t>
  </si>
  <si>
    <t xml:space="preserve">La empresa fundamenta las ventas del año proximo (2014) incrementando las ventas del año en curso más un 2% en terminos de unidades. </t>
  </si>
  <si>
    <t>2.2.- Porcentaje (%) que se factura de lo vendido.</t>
  </si>
  <si>
    <t>2.3.- Porcentaje (% ) de incobrabilidad.</t>
  </si>
  <si>
    <t>Código 01</t>
  </si>
  <si>
    <t>Código 02</t>
  </si>
  <si>
    <t>Código 03</t>
  </si>
  <si>
    <t>Código 04</t>
  </si>
  <si>
    <t>Remuneración Bruta Promedio 34 $/HH</t>
  </si>
  <si>
    <t>Remuneración Bruta Promedio 28 $/HH</t>
  </si>
  <si>
    <t>Remuneración Bruta Promedio 42 $/HH</t>
  </si>
  <si>
    <t>Remuneración Bruta Promedio 31 $/HH</t>
  </si>
  <si>
    <t>Lunes aViernes trabajan 8 hs por turno, Sábados 4 horas</t>
  </si>
  <si>
    <t>(Este es un indice que calcula cada empresa en función de múltiples variables)</t>
  </si>
  <si>
    <t>En la Orden de compra con el provedor de los equipos y su montaje consta que se pagará a partir de Abril en 5 cuotas iguales y mensuales.</t>
  </si>
  <si>
    <t>De acuerdo a los planes de la empresa, se renovarán equipos por  $ 950.000.-</t>
  </si>
  <si>
    <t>Mantenimiento:  $ 87.000.- por mes salvo en Enero, Febrero  y Marzo que se incrementan en $ 20.000.-</t>
  </si>
  <si>
    <t>Gastos Generales: supervisión, insumos y otros gastos no vinculados directamente a la cantidad producida se han previsto en $ 145.000.- mensuales.</t>
  </si>
  <si>
    <t>Gastos de Comercialización: calculados 5 % del monto de venta y se desembolsan dos meses antes de que se efectue la venta.</t>
  </si>
  <si>
    <t>Inmuebles, valuados en  $ 1.500.000.-  amortizables en 50 años.</t>
  </si>
  <si>
    <t>Equipos de producción y bienes muebles valuados en $ 500.000.- amortizables en 10 años.</t>
  </si>
  <si>
    <r>
      <t xml:space="preserve">NOTA: </t>
    </r>
    <r>
      <rPr>
        <sz val="10"/>
        <rFont val="Arial"/>
        <family val="2"/>
      </rPr>
      <t>todo dato, premisa o información que considere faltante se deberá / podrá agregar haciendo expresa mención de la misma y criterio que se ha asumido.</t>
    </r>
  </si>
  <si>
    <t>- Flujo de fondos (cash flow)</t>
  </si>
  <si>
    <t>Los valores de 2015, de ser necesarios, responderán a la misma premisa respecto del 2014.</t>
  </si>
  <si>
    <t>Precios de venta: Producto A = $ 850 / Unidad.-; Producto B = $ 1.200 / Unidad. Precios de venta sin IVA. Los precios en el 2014 no tendrán variación.</t>
  </si>
  <si>
    <t>Septiembre</t>
  </si>
  <si>
    <t>Procesos</t>
  </si>
  <si>
    <t>1A</t>
  </si>
  <si>
    <t>2A</t>
  </si>
  <si>
    <t>1B</t>
  </si>
  <si>
    <t>2B</t>
  </si>
  <si>
    <t>3B</t>
  </si>
  <si>
    <t>4B</t>
  </si>
  <si>
    <t>Produccion</t>
  </si>
  <si>
    <t>Materia Prima por Unidad de PT</t>
  </si>
  <si>
    <t>PT por Unidad de Proceso</t>
  </si>
  <si>
    <t>Total A</t>
  </si>
  <si>
    <t>Total B</t>
  </si>
  <si>
    <t>Factor Aumento Ventas</t>
  </si>
  <si>
    <t>Factor Stock PT</t>
  </si>
  <si>
    <t>Factor Stock MP</t>
  </si>
  <si>
    <t>Ventas Enero 2015</t>
  </si>
  <si>
    <t>Restante PT</t>
  </si>
  <si>
    <t>Produccion Requerida</t>
  </si>
  <si>
    <t>MP Necesaria</t>
  </si>
  <si>
    <t>Costos</t>
  </si>
  <si>
    <t>P1A</t>
  </si>
  <si>
    <t>P2A</t>
  </si>
  <si>
    <t>P1B</t>
  </si>
  <si>
    <t>P2B</t>
  </si>
  <si>
    <t>Material</t>
  </si>
  <si>
    <t>M.Obra</t>
  </si>
  <si>
    <t>Trabajadores por proceso</t>
  </si>
  <si>
    <t>Remuneracion/h</t>
  </si>
  <si>
    <t>Total</t>
  </si>
  <si>
    <t>Total mas Cargas</t>
  </si>
  <si>
    <t>Compras MP</t>
  </si>
  <si>
    <t>Requerimiento de PT</t>
  </si>
  <si>
    <t>Inversiones</t>
  </si>
  <si>
    <t>Mantenimiento</t>
  </si>
  <si>
    <t>Generales</t>
  </si>
  <si>
    <t>Administración</t>
  </si>
  <si>
    <t>Comercialización</t>
  </si>
  <si>
    <t>Precios de Venta</t>
  </si>
  <si>
    <t>Iva</t>
  </si>
  <si>
    <t>Gastos Diferidos</t>
  </si>
  <si>
    <t>Incobrabilidad</t>
  </si>
  <si>
    <t>Facturacion</t>
  </si>
  <si>
    <t>Presupuesto de Facturación (En Miles)</t>
  </si>
  <si>
    <t>Presupuesto de Ventas (En Miles)</t>
  </si>
  <si>
    <t>Producto A</t>
  </si>
  <si>
    <t>Producto B</t>
  </si>
  <si>
    <t>50% mes anterior</t>
  </si>
  <si>
    <t>50% mes actual</t>
  </si>
  <si>
    <t>Factor division Muestra</t>
  </si>
  <si>
    <t>Porciento</t>
  </si>
  <si>
    <t>Porcentaje Cobranza</t>
  </si>
  <si>
    <t>Prespuesto de Cobranzas (En Miles)</t>
  </si>
  <si>
    <t>Total A+B</t>
  </si>
  <si>
    <t>Presupuesto de Produccion</t>
  </si>
  <si>
    <t>Stock Inicial</t>
  </si>
  <si>
    <t>Ventas</t>
  </si>
  <si>
    <t>Stock Final</t>
  </si>
  <si>
    <t>QP</t>
  </si>
  <si>
    <t>Ventas Diciembre 2013 (Miles)</t>
  </si>
  <si>
    <t>Facturacion Diciembre 2013(Miles)</t>
  </si>
  <si>
    <t>Total A+B neto inc</t>
  </si>
  <si>
    <t>Presupuesto de Materias Primas</t>
  </si>
  <si>
    <t>Supuestos</t>
  </si>
  <si>
    <t>Las ventas de Diciembre de 2013 se toman como 2% menos que las del correspondiente mes de 2014</t>
  </si>
  <si>
    <t>Valor</t>
  </si>
  <si>
    <t>Qp</t>
  </si>
  <si>
    <t>Q Necesario</t>
  </si>
  <si>
    <t>Q Total</t>
  </si>
  <si>
    <t>Q Valorizado</t>
  </si>
  <si>
    <t>MP1</t>
  </si>
  <si>
    <t>MP2</t>
  </si>
  <si>
    <t>MP3</t>
  </si>
  <si>
    <t>MP4</t>
  </si>
  <si>
    <t>MONTO TOTAL COMPRA</t>
  </si>
  <si>
    <t>MP Stock Necesario</t>
  </si>
  <si>
    <t>MP Restante</t>
  </si>
  <si>
    <t>Enero (2015)</t>
  </si>
  <si>
    <t>Ventas Febrero 2015</t>
  </si>
  <si>
    <t>Presupuesto de Mano de Obra</t>
  </si>
  <si>
    <t>Turnos Proceso 1</t>
  </si>
  <si>
    <t>Cantidad Operarios P1</t>
  </si>
  <si>
    <t>Turnos Proceso 2</t>
  </si>
  <si>
    <t>Cantidad Operarios P2</t>
  </si>
  <si>
    <t>Total Turnos</t>
  </si>
  <si>
    <t>Total Operarios</t>
  </si>
  <si>
    <t>Remuneracion Bruto</t>
  </si>
  <si>
    <t>Remuneracion H.Extras</t>
  </si>
  <si>
    <t>Total Bruto</t>
  </si>
  <si>
    <t>Cargos Adicionales</t>
  </si>
  <si>
    <t>Total Neto</t>
  </si>
  <si>
    <t>Gastos de Fabricación</t>
  </si>
  <si>
    <t>Gastos de Administración y Ventas</t>
  </si>
  <si>
    <t>Costos Variables</t>
  </si>
  <si>
    <t>Costos Fijos Imputables</t>
  </si>
  <si>
    <t>Margen de Contribución</t>
  </si>
  <si>
    <t>Costos Fijos No Imputables</t>
  </si>
  <si>
    <t>Amortizaciones</t>
  </si>
  <si>
    <t>Utilidad Bruta</t>
  </si>
  <si>
    <t>Intereses</t>
  </si>
  <si>
    <t>Impuestos</t>
  </si>
  <si>
    <t>Utilidad Neta</t>
  </si>
  <si>
    <t>Años</t>
  </si>
  <si>
    <t>Anual</t>
  </si>
  <si>
    <t>Mensual</t>
  </si>
  <si>
    <t>Costo Compras MP</t>
  </si>
  <si>
    <t>Factor Impuestos</t>
  </si>
  <si>
    <t>Cuadro de Resultados</t>
  </si>
  <si>
    <t>Flujo Neto de Caja</t>
  </si>
  <si>
    <t>Cobranzas</t>
  </si>
  <si>
    <t>Otros Ingresos</t>
  </si>
  <si>
    <t>Mano de Obra Directa</t>
  </si>
  <si>
    <t>Gastos Generales de Fabricación</t>
  </si>
  <si>
    <t>Gastos Grles Administracion y Vtas</t>
  </si>
  <si>
    <t>Otros Egresos</t>
  </si>
  <si>
    <t>Total Egresos</t>
  </si>
  <si>
    <t>Total Ingresos</t>
  </si>
  <si>
    <t>Flujo Acumulado del Ejercicio</t>
  </si>
  <si>
    <t>Costo por Proceso</t>
  </si>
  <si>
    <t>Ventas (En Miles de pesos Sin Iva)</t>
  </si>
  <si>
    <t>Gastos (En Miles de Pesos)</t>
  </si>
  <si>
    <t>Requerimiento de PT - Stock Anterior</t>
  </si>
  <si>
    <t>Horas Trabajo por Turno</t>
  </si>
  <si>
    <t>Utilidad Bruta Diciembre 2013</t>
  </si>
  <si>
    <t>La Empresa Inicia 2014 con Stock de MP igual al 10% de lo necesario para la produccion correspondiente a las ventas de Enero 2014</t>
  </si>
  <si>
    <t>La Empresa Inicia 2014 con stock de PT igual al 20% de lo correspondiente a las ventas de Enero 2014</t>
  </si>
  <si>
    <t>A1</t>
  </si>
  <si>
    <t>A2</t>
  </si>
  <si>
    <t>B1</t>
  </si>
  <si>
    <t>B2</t>
  </si>
  <si>
    <t>Costos Unitarios Materia Prima</t>
  </si>
  <si>
    <t>Costos Unitarios Mano Obra</t>
  </si>
  <si>
    <t>Costos Unitarios Totales</t>
  </si>
  <si>
    <t>gv</t>
  </si>
  <si>
    <t>Producción teórica</t>
  </si>
  <si>
    <t>Stock inicial</t>
  </si>
  <si>
    <t>Ventas del mes</t>
  </si>
  <si>
    <t>Producción A</t>
  </si>
  <si>
    <t>Stock final</t>
  </si>
  <si>
    <t>Ventas 2014 (2013 + 2%)</t>
  </si>
  <si>
    <t>Producción B</t>
  </si>
  <si>
    <t>Mano de Obra teórica</t>
  </si>
  <si>
    <t>A - Proceso 1 (equipos/mes)</t>
  </si>
  <si>
    <t>A - Proceso 2 (equipos/mes)</t>
  </si>
  <si>
    <t>A - Proceso 1 (equipos 4 personas)</t>
  </si>
  <si>
    <t>A - Proceso 2 (equipos 4 personas)</t>
  </si>
  <si>
    <t>B - Proceso 1 (equipos/mes)</t>
  </si>
  <si>
    <t>B - Proceso 2 (equipos/mes)</t>
  </si>
  <si>
    <t>B - Proceso 1 (equipos 3 personas)</t>
  </si>
  <si>
    <t>4 personas (alfa)</t>
  </si>
  <si>
    <t>4 personas (beta)</t>
  </si>
  <si>
    <t>4 personas (gama)</t>
  </si>
  <si>
    <t>3 personas (gama) proceso 1</t>
  </si>
  <si>
    <t>4 personas proceso 2</t>
  </si>
  <si>
    <t>1 persona más (gama) proceso 2</t>
  </si>
  <si>
    <t>días</t>
  </si>
  <si>
    <t>13 personas para enero</t>
  </si>
  <si>
    <t>A - Proceso 1</t>
  </si>
  <si>
    <t>Equipo</t>
  </si>
  <si>
    <t>Produccion/turno</t>
  </si>
  <si>
    <t>Costo Bruto/turno ($/HH)</t>
  </si>
  <si>
    <t>A - Proceso 2</t>
  </si>
  <si>
    <t>B - Proceso 1</t>
  </si>
  <si>
    <t>B - Proceso 2</t>
  </si>
  <si>
    <t>Jornadas/mes</t>
  </si>
  <si>
    <t>Horas extras necesarios</t>
  </si>
  <si>
    <t>Total Ocioso</t>
  </si>
  <si>
    <t>Capacidad del equipo (jornads/mes)</t>
  </si>
  <si>
    <t>Capacidad necesaria (jornadas/mes)</t>
  </si>
  <si>
    <t>Extras Necesarios</t>
  </si>
  <si>
    <t>Capacidad Maxima Extras</t>
  </si>
  <si>
    <t>Extras Maximas/mes</t>
  </si>
  <si>
    <t>Ocioso</t>
  </si>
  <si>
    <t>Total Ocioso Real</t>
  </si>
  <si>
    <t>Total Extra Real</t>
  </si>
  <si>
    <t>B - Proceso 2 (equipos 5 personas)</t>
  </si>
  <si>
    <t>Costo Extras</t>
  </si>
  <si>
    <t>Costo Total Bruto</t>
  </si>
  <si>
    <t>Costo Fijo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</si>
</sst>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$&quot;\ * #,##0.00_ ;_ &quot;$&quot;\ * \-#,##0.00_ ;_ &quot;$&quot;\ * &quot;-&quot;??_ ;_ @_ "/>
    <numFmt numFmtId="164" formatCode="&quot;$&quot;\ #,##0"/>
    <numFmt numFmtId="165" formatCode="&quot;$&quot;\ #,##0.0"/>
    <numFmt numFmtId="168" formatCode="_ &quot;$&quot;\ * #,##0_ ;_ &quot;$&quot;\ * \-#,##0_ ;_ &quot;$&quot;\ * &quot;-&quot;??_ ;_ @_ "/>
  </numFmts>
  <fonts count="1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Fill="0"/>
    <xf numFmtId="44" fontId="14" fillId="0" borderId="0" applyFont="0" applyFill="0" applyBorder="0" applyAlignment="0" applyProtection="0"/>
  </cellStyleXfs>
  <cellXfs count="235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quotePrefix="1" applyFont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0" xfId="0" applyNumberForma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0" fontId="8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Fill="1" applyBorder="1"/>
    <xf numFmtId="0" fontId="0" fillId="0" borderId="1" xfId="0" applyBorder="1" applyAlignment="1"/>
    <xf numFmtId="0" fontId="6" fillId="0" borderId="1" xfId="0" applyFont="1" applyBorder="1"/>
    <xf numFmtId="0" fontId="6" fillId="0" borderId="1" xfId="0" applyFont="1" applyFill="1" applyBorder="1"/>
    <xf numFmtId="0" fontId="6" fillId="3" borderId="1" xfId="0" applyFont="1" applyFill="1" applyBorder="1"/>
    <xf numFmtId="1" fontId="0" fillId="3" borderId="1" xfId="0" applyNumberFormat="1" applyFill="1" applyBorder="1"/>
    <xf numFmtId="0" fontId="0" fillId="0" borderId="51" xfId="0" applyBorder="1"/>
    <xf numFmtId="0" fontId="0" fillId="0" borderId="50" xfId="0" applyBorder="1"/>
    <xf numFmtId="0" fontId="0" fillId="0" borderId="49" xfId="0" applyBorder="1"/>
    <xf numFmtId="0" fontId="0" fillId="0" borderId="52" xfId="0" applyBorder="1"/>
    <xf numFmtId="0" fontId="0" fillId="0" borderId="1" xfId="0" applyBorder="1"/>
    <xf numFmtId="0" fontId="0" fillId="0" borderId="1" xfId="0" applyBorder="1"/>
    <xf numFmtId="0" fontId="0" fillId="0" borderId="53" xfId="0" applyFont="1" applyFill="1" applyBorder="1"/>
    <xf numFmtId="0" fontId="0" fillId="0" borderId="1" xfId="0" applyFont="1" applyFill="1" applyBorder="1"/>
    <xf numFmtId="164" fontId="0" fillId="0" borderId="1" xfId="0" applyNumberFormat="1" applyBorder="1"/>
    <xf numFmtId="0" fontId="10" fillId="0" borderId="1" xfId="0" applyFont="1" applyBorder="1"/>
    <xf numFmtId="0" fontId="10" fillId="0" borderId="1" xfId="0" applyFont="1" applyFill="1" applyBorder="1"/>
    <xf numFmtId="17" fontId="6" fillId="0" borderId="1" xfId="0" applyNumberFormat="1" applyFont="1" applyBorder="1"/>
    <xf numFmtId="0" fontId="0" fillId="0" borderId="53" xfId="0" applyFill="1" applyBorder="1"/>
    <xf numFmtId="1" fontId="0" fillId="0" borderId="1" xfId="0" applyNumberFormat="1" applyFill="1" applyBorder="1"/>
    <xf numFmtId="0" fontId="0" fillId="0" borderId="51" xfId="0" applyFont="1" applyFill="1" applyBorder="1"/>
    <xf numFmtId="0" fontId="6" fillId="10" borderId="1" xfId="0" applyFont="1" applyFill="1" applyBorder="1"/>
    <xf numFmtId="0" fontId="6" fillId="0" borderId="38" xfId="0" applyFont="1" applyBorder="1"/>
    <xf numFmtId="0" fontId="6" fillId="12" borderId="1" xfId="0" applyFont="1" applyFill="1" applyBorder="1"/>
    <xf numFmtId="1" fontId="6" fillId="0" borderId="1" xfId="0" applyNumberFormat="1" applyFont="1" applyBorder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165" fontId="0" fillId="0" borderId="54" xfId="0" applyNumberFormat="1" applyFill="1" applyBorder="1"/>
    <xf numFmtId="165" fontId="0" fillId="0" borderId="0" xfId="0" applyNumberFormat="1" applyBorder="1"/>
    <xf numFmtId="0" fontId="6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 applyBorder="1"/>
    <xf numFmtId="0" fontId="6" fillId="0" borderId="2" xfId="0" applyFont="1" applyBorder="1"/>
    <xf numFmtId="0" fontId="0" fillId="14" borderId="0" xfId="0" applyFill="1"/>
    <xf numFmtId="0" fontId="0" fillId="14" borderId="0" xfId="0" applyFill="1" applyBorder="1"/>
    <xf numFmtId="0" fontId="6" fillId="14" borderId="0" xfId="0" applyFont="1" applyFill="1" applyBorder="1"/>
    <xf numFmtId="0" fontId="0" fillId="6" borderId="0" xfId="0" applyFill="1"/>
    <xf numFmtId="0" fontId="0" fillId="6" borderId="0" xfId="0" applyFill="1" applyBorder="1"/>
    <xf numFmtId="0" fontId="6" fillId="6" borderId="0" xfId="0" applyFont="1" applyFill="1" applyBorder="1"/>
    <xf numFmtId="0" fontId="0" fillId="13" borderId="0" xfId="0" applyFill="1"/>
    <xf numFmtId="0" fontId="0" fillId="13" borderId="0" xfId="0" applyFill="1" applyBorder="1"/>
    <xf numFmtId="0" fontId="6" fillId="13" borderId="0" xfId="0" applyFont="1" applyFill="1" applyBorder="1"/>
    <xf numFmtId="0" fontId="0" fillId="15" borderId="0" xfId="0" applyFill="1"/>
    <xf numFmtId="0" fontId="0" fillId="15" borderId="0" xfId="0" applyFill="1" applyBorder="1"/>
    <xf numFmtId="0" fontId="6" fillId="15" borderId="0" xfId="0" applyFont="1" applyFill="1" applyBorder="1"/>
    <xf numFmtId="0" fontId="0" fillId="16" borderId="0" xfId="0" applyFill="1"/>
    <xf numFmtId="0" fontId="6" fillId="16" borderId="0" xfId="0" applyFont="1" applyFill="1"/>
    <xf numFmtId="0" fontId="0" fillId="0" borderId="0" xfId="0" applyFill="1"/>
    <xf numFmtId="0" fontId="0" fillId="0" borderId="1" xfId="0" applyBorder="1"/>
    <xf numFmtId="0" fontId="0" fillId="0" borderId="33" xfId="0" applyBorder="1"/>
    <xf numFmtId="0" fontId="0" fillId="17" borderId="0" xfId="0" applyFill="1"/>
    <xf numFmtId="0" fontId="6" fillId="17" borderId="55" xfId="0" applyFont="1" applyFill="1" applyBorder="1"/>
    <xf numFmtId="0" fontId="0" fillId="17" borderId="56" xfId="0" applyFill="1" applyBorder="1"/>
    <xf numFmtId="0" fontId="6" fillId="17" borderId="57" xfId="0" applyFont="1" applyFill="1" applyBorder="1"/>
    <xf numFmtId="0" fontId="0" fillId="17" borderId="58" xfId="0" applyFill="1" applyBorder="1"/>
    <xf numFmtId="0" fontId="0" fillId="17" borderId="57" xfId="0" applyFill="1" applyBorder="1"/>
    <xf numFmtId="0" fontId="6" fillId="17" borderId="11" xfId="0" applyFont="1" applyFill="1" applyBorder="1"/>
    <xf numFmtId="0" fontId="0" fillId="17" borderId="12" xfId="0" applyFill="1" applyBorder="1"/>
    <xf numFmtId="0" fontId="0" fillId="18" borderId="33" xfId="0" applyFill="1" applyBorder="1"/>
    <xf numFmtId="0" fontId="6" fillId="18" borderId="1" xfId="0" applyFont="1" applyFill="1" applyBorder="1"/>
    <xf numFmtId="0" fontId="0" fillId="18" borderId="1" xfId="0" applyFill="1" applyBorder="1"/>
    <xf numFmtId="0" fontId="6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/>
    <xf numFmtId="0" fontId="0" fillId="0" borderId="0" xfId="0" applyBorder="1" applyAlignment="1"/>
    <xf numFmtId="0" fontId="6" fillId="0" borderId="18" xfId="0" applyFont="1" applyBorder="1" applyAlignment="1"/>
    <xf numFmtId="0" fontId="0" fillId="0" borderId="19" xfId="0" applyBorder="1" applyAlignment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24" xfId="0" applyFont="1" applyBorder="1" applyAlignment="1"/>
    <xf numFmtId="0" fontId="0" fillId="0" borderId="25" xfId="0" applyBorder="1" applyAlignment="1"/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/>
    <xf numFmtId="0" fontId="3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6" fillId="4" borderId="50" xfId="0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0" fillId="0" borderId="1" xfId="0" applyBorder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11" borderId="49" xfId="0" applyFont="1" applyFill="1" applyBorder="1" applyAlignment="1">
      <alignment horizontal="center"/>
    </xf>
    <xf numFmtId="0" fontId="0" fillId="11" borderId="50" xfId="0" applyFill="1" applyBorder="1" applyAlignment="1">
      <alignment horizontal="center"/>
    </xf>
    <xf numFmtId="0" fontId="0" fillId="11" borderId="51" xfId="0" applyFill="1" applyBorder="1" applyAlignment="1">
      <alignment horizontal="center"/>
    </xf>
    <xf numFmtId="0" fontId="6" fillId="11" borderId="50" xfId="0" applyFont="1" applyFill="1" applyBorder="1" applyAlignment="1">
      <alignment horizontal="center"/>
    </xf>
    <xf numFmtId="0" fontId="6" fillId="11" borderId="5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8" borderId="0" xfId="0" applyFill="1" applyBorder="1"/>
    <xf numFmtId="168" fontId="0" fillId="0" borderId="1" xfId="1" applyNumberFormat="1" applyFont="1" applyFill="1" applyBorder="1"/>
    <xf numFmtId="168" fontId="0" fillId="0" borderId="1" xfId="0" applyNumberFormat="1" applyFill="1" applyBorder="1"/>
    <xf numFmtId="168" fontId="0" fillId="0" borderId="0" xfId="0" applyNumberFormat="1"/>
    <xf numFmtId="168" fontId="0" fillId="0" borderId="0" xfId="1" applyNumberFormat="1" applyFont="1" applyBorder="1"/>
    <xf numFmtId="168" fontId="6" fillId="0" borderId="0" xfId="1" applyNumberFormat="1" applyFont="1" applyBorder="1"/>
    <xf numFmtId="168" fontId="0" fillId="0" borderId="0" xfId="1" applyNumberFormat="1" applyFont="1"/>
  </cellXfs>
  <cellStyles count="2">
    <cellStyle name="Moneda" xfId="1" builtinId="4"/>
    <cellStyle name="Normal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Ventas A</c:v>
          </c:tx>
          <c:xVal>
            <c:strRef>
              <c:f>Produccion!$B$7:$M$7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xVal>
          <c:yVal>
            <c:numRef>
              <c:f>Produccion!$B$15:$M$15</c:f>
              <c:numCache>
                <c:formatCode>General</c:formatCode>
                <c:ptCount val="12"/>
                <c:pt idx="0">
                  <c:v>2060</c:v>
                </c:pt>
                <c:pt idx="1">
                  <c:v>2163</c:v>
                </c:pt>
                <c:pt idx="2">
                  <c:v>2163</c:v>
                </c:pt>
                <c:pt idx="3">
                  <c:v>2343</c:v>
                </c:pt>
                <c:pt idx="4">
                  <c:v>2369</c:v>
                </c:pt>
                <c:pt idx="5">
                  <c:v>2057</c:v>
                </c:pt>
                <c:pt idx="6">
                  <c:v>2812</c:v>
                </c:pt>
                <c:pt idx="7">
                  <c:v>2685</c:v>
                </c:pt>
                <c:pt idx="8">
                  <c:v>2812</c:v>
                </c:pt>
                <c:pt idx="9">
                  <c:v>2369</c:v>
                </c:pt>
                <c:pt idx="10">
                  <c:v>2395</c:v>
                </c:pt>
                <c:pt idx="11">
                  <c:v>1992</c:v>
                </c:pt>
              </c:numCache>
            </c:numRef>
          </c:yVal>
          <c:smooth val="1"/>
        </c:ser>
        <c:ser>
          <c:idx val="1"/>
          <c:order val="1"/>
          <c:tx>
            <c:v>B</c:v>
          </c:tx>
          <c:xVal>
            <c:strRef>
              <c:f>Produccion!$B$7:$M$7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xVal>
          <c:yVal>
            <c:numRef>
              <c:f>Produccion!$B$22:$M$22</c:f>
              <c:numCache>
                <c:formatCode>General</c:formatCode>
                <c:ptCount val="12"/>
                <c:pt idx="0">
                  <c:v>546</c:v>
                </c:pt>
                <c:pt idx="1">
                  <c:v>700</c:v>
                </c:pt>
                <c:pt idx="2">
                  <c:v>783</c:v>
                </c:pt>
                <c:pt idx="3">
                  <c:v>636</c:v>
                </c:pt>
                <c:pt idx="4">
                  <c:v>713</c:v>
                </c:pt>
                <c:pt idx="5">
                  <c:v>690</c:v>
                </c:pt>
                <c:pt idx="6">
                  <c:v>669</c:v>
                </c:pt>
                <c:pt idx="7">
                  <c:v>1066</c:v>
                </c:pt>
                <c:pt idx="8">
                  <c:v>1014</c:v>
                </c:pt>
                <c:pt idx="9">
                  <c:v>969</c:v>
                </c:pt>
                <c:pt idx="10">
                  <c:v>628</c:v>
                </c:pt>
                <c:pt idx="11">
                  <c:v>640</c:v>
                </c:pt>
              </c:numCache>
            </c:numRef>
          </c:yVal>
          <c:smooth val="1"/>
        </c:ser>
        <c:ser>
          <c:idx val="2"/>
          <c:order val="2"/>
          <c:tx>
            <c:v>Produccion A</c:v>
          </c:tx>
          <c:xVal>
            <c:strRef>
              <c:f>Produccion!$B$7:$M$7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xVal>
          <c:yVal>
            <c:numRef>
              <c:f>Produccion!$B$17:$M$17</c:f>
              <c:numCache>
                <c:formatCode>General</c:formatCode>
                <c:ptCount val="12"/>
                <c:pt idx="0">
                  <c:v>2081</c:v>
                </c:pt>
                <c:pt idx="1">
                  <c:v>2163</c:v>
                </c:pt>
                <c:pt idx="2">
                  <c:v>2199</c:v>
                </c:pt>
                <c:pt idx="3">
                  <c:v>2348</c:v>
                </c:pt>
                <c:pt idx="4">
                  <c:v>2306</c:v>
                </c:pt>
                <c:pt idx="5">
                  <c:v>2208</c:v>
                </c:pt>
                <c:pt idx="6">
                  <c:v>2787</c:v>
                </c:pt>
                <c:pt idx="7">
                  <c:v>2710</c:v>
                </c:pt>
                <c:pt idx="8">
                  <c:v>2724</c:v>
                </c:pt>
                <c:pt idx="9">
                  <c:v>2374</c:v>
                </c:pt>
                <c:pt idx="10">
                  <c:v>2314</c:v>
                </c:pt>
                <c:pt idx="11">
                  <c:v>2014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44096"/>
        <c:axId val="186245888"/>
      </c:scatterChart>
      <c:valAx>
        <c:axId val="1862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6245888"/>
        <c:crosses val="autoZero"/>
        <c:crossBetween val="midCat"/>
      </c:valAx>
      <c:valAx>
        <c:axId val="1862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24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23</xdr:row>
      <xdr:rowOff>85725</xdr:rowOff>
    </xdr:from>
    <xdr:to>
      <xdr:col>7</xdr:col>
      <xdr:colOff>304800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"/>
  <sheetViews>
    <sheetView showGridLines="0" topLeftCell="A96" zoomScaleNormal="100" workbookViewId="0">
      <selection activeCell="S93" sqref="S93"/>
    </sheetView>
  </sheetViews>
  <sheetFormatPr baseColWidth="10" defaultColWidth="11.42578125" defaultRowHeight="12.75" x14ac:dyDescent="0.2"/>
  <cols>
    <col min="1" max="14" width="9.7109375" customWidth="1"/>
    <col min="15" max="15" width="13.140625" customWidth="1"/>
    <col min="24" max="24" width="13.140625" bestFit="1" customWidth="1"/>
    <col min="28" max="28" width="12.85546875" bestFit="1" customWidth="1"/>
    <col min="29" max="29" width="13.85546875" bestFit="1" customWidth="1"/>
  </cols>
  <sheetData>
    <row r="1" spans="1:15" ht="20.25" x14ac:dyDescent="0.3">
      <c r="A1" s="134" t="s">
        <v>45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</row>
    <row r="2" spans="1:15" ht="15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8" x14ac:dyDescent="0.25">
      <c r="A3" s="44" t="s">
        <v>49</v>
      </c>
      <c r="B3" s="16"/>
      <c r="C3" s="16"/>
    </row>
    <row r="4" spans="1:15" ht="6" customHeight="1" x14ac:dyDescent="0.25">
      <c r="A4" s="44"/>
      <c r="B4" s="16"/>
      <c r="C4" s="16"/>
    </row>
    <row r="5" spans="1:15" x14ac:dyDescent="0.2">
      <c r="A5" s="16"/>
      <c r="C5" s="32" t="s">
        <v>50</v>
      </c>
    </row>
    <row r="6" spans="1:15" x14ac:dyDescent="0.2">
      <c r="A6" s="16"/>
      <c r="C6" s="32" t="s">
        <v>51</v>
      </c>
    </row>
    <row r="7" spans="1:15" x14ac:dyDescent="0.2">
      <c r="A7" s="16"/>
      <c r="C7" s="32" t="s">
        <v>52</v>
      </c>
    </row>
    <row r="8" spans="1:15" x14ac:dyDescent="0.2">
      <c r="A8" s="16"/>
      <c r="C8" s="32" t="s">
        <v>53</v>
      </c>
    </row>
    <row r="9" spans="1:15" x14ac:dyDescent="0.2">
      <c r="A9" s="16"/>
      <c r="C9" s="32" t="s">
        <v>93</v>
      </c>
    </row>
    <row r="10" spans="1:15" x14ac:dyDescent="0.2">
      <c r="A10" s="16"/>
      <c r="B10" s="32"/>
      <c r="C10" s="16"/>
    </row>
    <row r="11" spans="1:15" ht="15.75" x14ac:dyDescent="0.25">
      <c r="A11" s="42" t="s">
        <v>71</v>
      </c>
    </row>
    <row r="12" spans="1:15" ht="15.75" x14ac:dyDescent="0.25">
      <c r="A12" s="42"/>
    </row>
    <row r="13" spans="1:15" x14ac:dyDescent="0.2">
      <c r="A13" s="16" t="s">
        <v>0</v>
      </c>
    </row>
    <row r="14" spans="1:15" ht="6" customHeight="1" x14ac:dyDescent="0.2">
      <c r="A14" s="16"/>
    </row>
    <row r="15" spans="1:15" x14ac:dyDescent="0.2">
      <c r="B15" s="27" t="s">
        <v>72</v>
      </c>
    </row>
    <row r="16" spans="1:15" x14ac:dyDescent="0.2">
      <c r="B16" s="27" t="s">
        <v>94</v>
      </c>
    </row>
    <row r="17" spans="2:28" x14ac:dyDescent="0.2">
      <c r="B17" t="s">
        <v>58</v>
      </c>
    </row>
    <row r="19" spans="2:28" x14ac:dyDescent="0.2">
      <c r="B19" s="14" t="s">
        <v>70</v>
      </c>
    </row>
    <row r="20" spans="2:28" x14ac:dyDescent="0.2">
      <c r="B20" s="150" t="s">
        <v>1</v>
      </c>
      <c r="C20" s="151">
        <v>2013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 t="s">
        <v>2</v>
      </c>
    </row>
    <row r="21" spans="2:28" x14ac:dyDescent="0.2">
      <c r="B21" s="150"/>
      <c r="C21" s="1" t="s">
        <v>3</v>
      </c>
      <c r="D21" s="1" t="s">
        <v>4</v>
      </c>
      <c r="E21" s="1" t="s">
        <v>5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10</v>
      </c>
      <c r="K21" s="1" t="s">
        <v>11</v>
      </c>
      <c r="L21" s="1" t="s">
        <v>12</v>
      </c>
      <c r="M21" s="1" t="s">
        <v>13</v>
      </c>
      <c r="N21" s="1" t="s">
        <v>14</v>
      </c>
      <c r="O21" s="151"/>
    </row>
    <row r="22" spans="2:28" x14ac:dyDescent="0.2">
      <c r="B22" s="2" t="s">
        <v>15</v>
      </c>
      <c r="C22" s="3">
        <v>2000</v>
      </c>
      <c r="D22" s="3">
        <v>2100</v>
      </c>
      <c r="E22" s="3">
        <v>2100</v>
      </c>
      <c r="F22" s="3">
        <v>2275</v>
      </c>
      <c r="G22" s="3">
        <v>2300</v>
      </c>
      <c r="H22" s="3">
        <f>2350*0.85</f>
        <v>1997.5</v>
      </c>
      <c r="I22" s="3">
        <f>2275*1.2</f>
        <v>2730</v>
      </c>
      <c r="J22" s="3">
        <f>2005*1.3</f>
        <v>2606.5</v>
      </c>
      <c r="K22" s="3">
        <f>2100*1.3</f>
        <v>2730</v>
      </c>
      <c r="L22" s="3">
        <v>2300</v>
      </c>
      <c r="M22" s="3">
        <v>2325</v>
      </c>
      <c r="N22" s="3">
        <f>2275*0.85</f>
        <v>1933.75</v>
      </c>
      <c r="O22" s="3">
        <f>SUM(C22:N22)</f>
        <v>27397.75</v>
      </c>
      <c r="AB22" s="37"/>
    </row>
    <row r="23" spans="2:28" x14ac:dyDescent="0.2">
      <c r="B23" s="2" t="s">
        <v>16</v>
      </c>
      <c r="C23" s="3">
        <v>500</v>
      </c>
      <c r="D23" s="3">
        <v>650</v>
      </c>
      <c r="E23" s="3">
        <v>800</v>
      </c>
      <c r="F23" s="3">
        <v>600</v>
      </c>
      <c r="G23" s="3">
        <v>690</v>
      </c>
      <c r="H23" s="3">
        <v>700</v>
      </c>
      <c r="I23" s="3">
        <v>550</v>
      </c>
      <c r="J23" s="3">
        <v>1050</v>
      </c>
      <c r="K23" s="3">
        <v>975</v>
      </c>
      <c r="L23" s="3">
        <v>1025</v>
      </c>
      <c r="M23" s="3">
        <v>600</v>
      </c>
      <c r="N23" s="3">
        <v>650</v>
      </c>
      <c r="O23" s="3">
        <f>SUM(C23:N23)</f>
        <v>8790</v>
      </c>
    </row>
    <row r="24" spans="2:28" x14ac:dyDescent="0.2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28" x14ac:dyDescent="0.2">
      <c r="B25" s="14" t="s">
        <v>68</v>
      </c>
    </row>
    <row r="26" spans="2:28" x14ac:dyDescent="0.2">
      <c r="B26" s="143" t="s">
        <v>1</v>
      </c>
      <c r="C26" s="151">
        <v>2013</v>
      </c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3" t="s">
        <v>2</v>
      </c>
    </row>
    <row r="27" spans="2:28" x14ac:dyDescent="0.2">
      <c r="B27" s="144"/>
      <c r="C27" s="1" t="s">
        <v>3</v>
      </c>
      <c r="D27" s="1" t="s">
        <v>4</v>
      </c>
      <c r="E27" s="1" t="s">
        <v>5</v>
      </c>
      <c r="F27" s="1" t="s">
        <v>6</v>
      </c>
      <c r="G27" s="1" t="s">
        <v>7</v>
      </c>
      <c r="H27" s="1" t="s">
        <v>8</v>
      </c>
      <c r="I27" s="1" t="s">
        <v>9</v>
      </c>
      <c r="J27" s="1" t="s">
        <v>10</v>
      </c>
      <c r="K27" s="1" t="s">
        <v>11</v>
      </c>
      <c r="L27" s="1" t="s">
        <v>12</v>
      </c>
      <c r="M27" s="1" t="s">
        <v>13</v>
      </c>
      <c r="N27" s="1" t="s">
        <v>14</v>
      </c>
      <c r="O27" s="133"/>
    </row>
    <row r="28" spans="2:28" x14ac:dyDescent="0.2">
      <c r="B28" s="2" t="s">
        <v>15</v>
      </c>
      <c r="C28" s="3">
        <f t="shared" ref="C28:N28" si="0">(C22*0.99)*1.02</f>
        <v>2019.6000000000001</v>
      </c>
      <c r="D28" s="3">
        <f t="shared" si="0"/>
        <v>2120.58</v>
      </c>
      <c r="E28" s="3">
        <f t="shared" si="0"/>
        <v>2120.58</v>
      </c>
      <c r="F28" s="3">
        <f t="shared" si="0"/>
        <v>2297.2950000000001</v>
      </c>
      <c r="G28" s="3">
        <f t="shared" si="0"/>
        <v>2322.54</v>
      </c>
      <c r="H28" s="3">
        <f t="shared" si="0"/>
        <v>2017.0755000000001</v>
      </c>
      <c r="I28" s="3">
        <f t="shared" si="0"/>
        <v>2756.7539999999999</v>
      </c>
      <c r="J28" s="3">
        <f t="shared" si="0"/>
        <v>2632.0437000000002</v>
      </c>
      <c r="K28" s="3">
        <f t="shared" si="0"/>
        <v>2756.7539999999999</v>
      </c>
      <c r="L28" s="3">
        <f t="shared" si="0"/>
        <v>2322.54</v>
      </c>
      <c r="M28" s="3">
        <f t="shared" si="0"/>
        <v>2347.7849999999999</v>
      </c>
      <c r="N28" s="3">
        <f t="shared" si="0"/>
        <v>1952.70075</v>
      </c>
      <c r="O28" s="3">
        <f>(SUM(C28:N28))*1.02</f>
        <v>28219.572909000006</v>
      </c>
      <c r="AB28" s="37"/>
    </row>
    <row r="29" spans="2:28" x14ac:dyDescent="0.2">
      <c r="B29" s="2" t="s">
        <v>16</v>
      </c>
      <c r="C29" s="3">
        <f t="shared" ref="C29:N29" si="1">(C23*0.99)*1.02</f>
        <v>504.90000000000003</v>
      </c>
      <c r="D29" s="3">
        <f t="shared" si="1"/>
        <v>656.37</v>
      </c>
      <c r="E29" s="3">
        <f t="shared" si="1"/>
        <v>807.84</v>
      </c>
      <c r="F29" s="3">
        <f t="shared" si="1"/>
        <v>605.88</v>
      </c>
      <c r="G29" s="3">
        <f t="shared" si="1"/>
        <v>696.76200000000006</v>
      </c>
      <c r="H29" s="3">
        <f t="shared" si="1"/>
        <v>706.86</v>
      </c>
      <c r="I29" s="3">
        <f t="shared" si="1"/>
        <v>555.39</v>
      </c>
      <c r="J29" s="3">
        <f t="shared" si="1"/>
        <v>1060.29</v>
      </c>
      <c r="K29" s="3">
        <f t="shared" si="1"/>
        <v>984.55500000000006</v>
      </c>
      <c r="L29" s="3">
        <f t="shared" si="1"/>
        <v>1035.0450000000001</v>
      </c>
      <c r="M29" s="3">
        <f t="shared" si="1"/>
        <v>605.88</v>
      </c>
      <c r="N29" s="3">
        <f t="shared" si="1"/>
        <v>656.37</v>
      </c>
      <c r="O29" s="3">
        <f>(SUM(C29:N29))*1.02</f>
        <v>9053.6648400000013</v>
      </c>
    </row>
    <row r="30" spans="2:28" x14ac:dyDescent="0.2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28" x14ac:dyDescent="0.2">
      <c r="B31" s="27" t="s">
        <v>67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28" x14ac:dyDescent="0.2">
      <c r="B32" s="150" t="s">
        <v>1</v>
      </c>
      <c r="C32" s="151">
        <v>2013</v>
      </c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 t="s">
        <v>2</v>
      </c>
    </row>
    <row r="33" spans="2:28" x14ac:dyDescent="0.2">
      <c r="B33" s="150"/>
      <c r="C33" s="1" t="s">
        <v>3</v>
      </c>
      <c r="D33" s="1" t="s">
        <v>4</v>
      </c>
      <c r="E33" s="1" t="s">
        <v>5</v>
      </c>
      <c r="F33" s="1" t="s">
        <v>6</v>
      </c>
      <c r="G33" s="1" t="s">
        <v>7</v>
      </c>
      <c r="H33" s="1" t="s">
        <v>8</v>
      </c>
      <c r="I33" s="1" t="s">
        <v>9</v>
      </c>
      <c r="J33" s="1" t="s">
        <v>10</v>
      </c>
      <c r="K33" s="1" t="s">
        <v>11</v>
      </c>
      <c r="L33" s="1" t="s">
        <v>12</v>
      </c>
      <c r="M33" s="1" t="s">
        <v>13</v>
      </c>
      <c r="N33" s="1" t="s">
        <v>14</v>
      </c>
      <c r="O33" s="151"/>
    </row>
    <row r="34" spans="2:28" x14ac:dyDescent="0.2">
      <c r="B34" s="2" t="s">
        <v>15</v>
      </c>
      <c r="C34" s="3">
        <f t="shared" ref="C34:N34" si="2">C28*0.99</f>
        <v>1999.4040000000002</v>
      </c>
      <c r="D34" s="3">
        <f t="shared" si="2"/>
        <v>2099.3741999999997</v>
      </c>
      <c r="E34" s="3">
        <f t="shared" si="2"/>
        <v>2099.3741999999997</v>
      </c>
      <c r="F34" s="3">
        <f t="shared" si="2"/>
        <v>2274.3220500000002</v>
      </c>
      <c r="G34" s="3">
        <f t="shared" si="2"/>
        <v>2299.3146000000002</v>
      </c>
      <c r="H34" s="3">
        <f t="shared" si="2"/>
        <v>1996.904745</v>
      </c>
      <c r="I34" s="3">
        <f t="shared" si="2"/>
        <v>2729.1864599999999</v>
      </c>
      <c r="J34" s="3">
        <f t="shared" si="2"/>
        <v>2605.7232630000003</v>
      </c>
      <c r="K34" s="3">
        <f t="shared" si="2"/>
        <v>2729.1864599999999</v>
      </c>
      <c r="L34" s="3">
        <f t="shared" si="2"/>
        <v>2299.3146000000002</v>
      </c>
      <c r="M34" s="3">
        <f t="shared" si="2"/>
        <v>2324.3071499999996</v>
      </c>
      <c r="N34" s="3">
        <f t="shared" si="2"/>
        <v>1933.1737424999999</v>
      </c>
      <c r="O34" s="3">
        <f>SUM(C34:N34)</f>
        <v>27389.585470500002</v>
      </c>
      <c r="AB34" s="37"/>
    </row>
    <row r="35" spans="2:28" x14ac:dyDescent="0.2">
      <c r="B35" s="2" t="s">
        <v>16</v>
      </c>
      <c r="C35" s="3">
        <f t="shared" ref="C35:N35" si="3">C29*0.99</f>
        <v>499.85100000000006</v>
      </c>
      <c r="D35" s="3">
        <f t="shared" si="3"/>
        <v>649.80629999999996</v>
      </c>
      <c r="E35" s="3">
        <f t="shared" si="3"/>
        <v>799.76160000000004</v>
      </c>
      <c r="F35" s="3">
        <f t="shared" si="3"/>
        <v>599.82119999999998</v>
      </c>
      <c r="G35" s="3">
        <f t="shared" si="3"/>
        <v>689.79438000000005</v>
      </c>
      <c r="H35" s="3">
        <f t="shared" si="3"/>
        <v>699.79139999999995</v>
      </c>
      <c r="I35" s="3">
        <f t="shared" si="3"/>
        <v>549.83609999999999</v>
      </c>
      <c r="J35" s="3">
        <f t="shared" si="3"/>
        <v>1049.6870999999999</v>
      </c>
      <c r="K35" s="3">
        <f t="shared" si="3"/>
        <v>974.70945000000006</v>
      </c>
      <c r="L35" s="3">
        <f t="shared" si="3"/>
        <v>1024.6945500000002</v>
      </c>
      <c r="M35" s="3">
        <f t="shared" si="3"/>
        <v>599.82119999999998</v>
      </c>
      <c r="N35" s="3">
        <f t="shared" si="3"/>
        <v>649.80629999999996</v>
      </c>
      <c r="O35" s="3">
        <f>SUM(C35:N35)</f>
        <v>8787.3805800000009</v>
      </c>
    </row>
    <row r="36" spans="2:28" x14ac:dyDescent="0.2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2:28" x14ac:dyDescent="0.2">
      <c r="B37" s="15" t="s">
        <v>69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28" x14ac:dyDescent="0.2">
      <c r="B38" s="150" t="s">
        <v>1</v>
      </c>
      <c r="C38" s="151">
        <v>2013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 t="s">
        <v>2</v>
      </c>
    </row>
    <row r="39" spans="2:28" x14ac:dyDescent="0.2">
      <c r="B39" s="150"/>
      <c r="C39" s="1" t="s">
        <v>3</v>
      </c>
      <c r="D39" s="1" t="s">
        <v>4</v>
      </c>
      <c r="E39" s="1" t="s">
        <v>5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11</v>
      </c>
      <c r="L39" s="1" t="s">
        <v>12</v>
      </c>
      <c r="M39" s="1" t="s">
        <v>13</v>
      </c>
      <c r="N39" s="1" t="s">
        <v>14</v>
      </c>
      <c r="O39" s="151"/>
    </row>
    <row r="40" spans="2:28" x14ac:dyDescent="0.2">
      <c r="B40" s="2" t="s">
        <v>15</v>
      </c>
      <c r="C40" s="3">
        <f>C34*0.99</f>
        <v>1979.4099600000002</v>
      </c>
      <c r="D40" s="3">
        <f t="shared" ref="D40:N40" si="4">D34*0.99</f>
        <v>2078.3804579999996</v>
      </c>
      <c r="E40" s="3">
        <f t="shared" si="4"/>
        <v>2078.3804579999996</v>
      </c>
      <c r="F40" s="3">
        <f t="shared" si="4"/>
        <v>2251.5788295000002</v>
      </c>
      <c r="G40" s="3">
        <f t="shared" si="4"/>
        <v>2276.3214540000004</v>
      </c>
      <c r="H40" s="3">
        <f t="shared" si="4"/>
        <v>1976.93569755</v>
      </c>
      <c r="I40" s="3">
        <f t="shared" si="4"/>
        <v>2701.8945954000001</v>
      </c>
      <c r="J40" s="3">
        <f t="shared" si="4"/>
        <v>2579.6660303700005</v>
      </c>
      <c r="K40" s="3">
        <f t="shared" si="4"/>
        <v>2701.8945954000001</v>
      </c>
      <c r="L40" s="3">
        <f t="shared" si="4"/>
        <v>2276.3214540000004</v>
      </c>
      <c r="M40" s="3">
        <f t="shared" si="4"/>
        <v>2301.0640784999996</v>
      </c>
      <c r="N40" s="3">
        <f t="shared" si="4"/>
        <v>1913.8420050749999</v>
      </c>
      <c r="O40" s="3">
        <f>SUM(C40:N40)</f>
        <v>27115.689615795</v>
      </c>
      <c r="AB40" s="37"/>
    </row>
    <row r="41" spans="2:28" x14ac:dyDescent="0.2">
      <c r="B41" s="2" t="s">
        <v>16</v>
      </c>
      <c r="C41" s="3">
        <f>C35*0.99</f>
        <v>494.85249000000005</v>
      </c>
      <c r="D41" s="3">
        <f t="shared" ref="D41:N41" si="5">D35*0.99</f>
        <v>643.30823699999996</v>
      </c>
      <c r="E41" s="3">
        <f t="shared" si="5"/>
        <v>791.76398400000005</v>
      </c>
      <c r="F41" s="3">
        <f t="shared" si="5"/>
        <v>593.82298800000001</v>
      </c>
      <c r="G41" s="3">
        <f t="shared" si="5"/>
        <v>682.89643620000004</v>
      </c>
      <c r="H41" s="3">
        <f t="shared" si="5"/>
        <v>692.79348599999992</v>
      </c>
      <c r="I41" s="3">
        <f t="shared" si="5"/>
        <v>544.33773899999994</v>
      </c>
      <c r="J41" s="3">
        <f t="shared" si="5"/>
        <v>1039.1902289999998</v>
      </c>
      <c r="K41" s="3">
        <f t="shared" si="5"/>
        <v>964.96235550000006</v>
      </c>
      <c r="L41" s="3">
        <f t="shared" si="5"/>
        <v>1014.4476045000001</v>
      </c>
      <c r="M41" s="3">
        <f t="shared" si="5"/>
        <v>593.82298800000001</v>
      </c>
      <c r="N41" s="3">
        <f t="shared" si="5"/>
        <v>643.30823699999996</v>
      </c>
      <c r="O41" s="3">
        <f>SUM(C41:N41)</f>
        <v>8699.5067741999992</v>
      </c>
    </row>
    <row r="42" spans="2:28" x14ac:dyDescent="0.2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2:28" x14ac:dyDescent="0.2">
      <c r="B43" s="27" t="s">
        <v>66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2:28" x14ac:dyDescent="0.2">
      <c r="B44" s="143" t="s">
        <v>1</v>
      </c>
      <c r="C44" s="145">
        <v>2013</v>
      </c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7"/>
      <c r="O44" s="153" t="s">
        <v>2</v>
      </c>
    </row>
    <row r="45" spans="2:28" x14ac:dyDescent="0.2">
      <c r="B45" s="144"/>
      <c r="C45" s="1" t="s">
        <v>3</v>
      </c>
      <c r="D45" s="1" t="s">
        <v>4</v>
      </c>
      <c r="E45" s="1" t="s">
        <v>5</v>
      </c>
      <c r="F45" s="1" t="s">
        <v>6</v>
      </c>
      <c r="G45" s="1" t="s">
        <v>7</v>
      </c>
      <c r="H45" s="1" t="s">
        <v>8</v>
      </c>
      <c r="I45" s="1" t="s">
        <v>9</v>
      </c>
      <c r="J45" s="1" t="s">
        <v>10</v>
      </c>
      <c r="K45" s="1" t="s">
        <v>11</v>
      </c>
      <c r="L45" s="1" t="s">
        <v>12</v>
      </c>
      <c r="M45" s="1" t="s">
        <v>13</v>
      </c>
      <c r="N45" s="1" t="s">
        <v>14</v>
      </c>
      <c r="O45" s="133"/>
    </row>
    <row r="46" spans="2:28" x14ac:dyDescent="0.2">
      <c r="B46" s="2" t="s">
        <v>15</v>
      </c>
      <c r="C46" s="3">
        <f>C40*1.015</f>
        <v>2009.1011094</v>
      </c>
      <c r="D46" s="3">
        <f t="shared" ref="D46:N46" si="6">D40*1.015</f>
        <v>2109.5561648699995</v>
      </c>
      <c r="E46" s="3">
        <f t="shared" si="6"/>
        <v>2109.5561648699995</v>
      </c>
      <c r="F46" s="3">
        <f t="shared" si="6"/>
        <v>2285.3525119424999</v>
      </c>
      <c r="G46" s="3">
        <f t="shared" si="6"/>
        <v>2310.4662758100003</v>
      </c>
      <c r="H46" s="3">
        <f t="shared" si="6"/>
        <v>2006.5897330132498</v>
      </c>
      <c r="I46" s="3">
        <f t="shared" si="6"/>
        <v>2742.4230143309996</v>
      </c>
      <c r="J46" s="3">
        <f t="shared" si="6"/>
        <v>2618.3610208255504</v>
      </c>
      <c r="K46" s="3">
        <f t="shared" si="6"/>
        <v>2742.4230143309996</v>
      </c>
      <c r="L46" s="3">
        <f t="shared" si="6"/>
        <v>2310.4662758100003</v>
      </c>
      <c r="M46" s="3">
        <f t="shared" si="6"/>
        <v>2335.5800396774994</v>
      </c>
      <c r="N46" s="3">
        <f t="shared" si="6"/>
        <v>1942.5496351511247</v>
      </c>
      <c r="O46" s="3">
        <f>SUM(C46:N46)</f>
        <v>27522.424960031924</v>
      </c>
      <c r="AB46" s="37"/>
    </row>
    <row r="47" spans="2:28" x14ac:dyDescent="0.2">
      <c r="B47" s="2" t="s">
        <v>16</v>
      </c>
      <c r="C47" s="3">
        <f>C41*1.015</f>
        <v>502.27527735000001</v>
      </c>
      <c r="D47" s="3">
        <f t="shared" ref="D47:N47" si="7">D41*1.015</f>
        <v>652.95786055499991</v>
      </c>
      <c r="E47" s="3">
        <f t="shared" si="7"/>
        <v>803.64044375999993</v>
      </c>
      <c r="F47" s="3">
        <f t="shared" si="7"/>
        <v>602.73033281999994</v>
      </c>
      <c r="G47" s="3">
        <f t="shared" si="7"/>
        <v>693.13988274299993</v>
      </c>
      <c r="H47" s="3">
        <f t="shared" si="7"/>
        <v>703.18538828999988</v>
      </c>
      <c r="I47" s="3">
        <f t="shared" si="7"/>
        <v>552.50280508499986</v>
      </c>
      <c r="J47" s="3">
        <f t="shared" si="7"/>
        <v>1054.7780824349998</v>
      </c>
      <c r="K47" s="3">
        <f t="shared" si="7"/>
        <v>979.43679083249992</v>
      </c>
      <c r="L47" s="3">
        <f t="shared" si="7"/>
        <v>1029.6643185675</v>
      </c>
      <c r="M47" s="3">
        <f t="shared" si="7"/>
        <v>602.73033281999994</v>
      </c>
      <c r="N47" s="3">
        <f t="shared" si="7"/>
        <v>652.95786055499991</v>
      </c>
      <c r="O47" s="3">
        <f>SUM(C47:N47)</f>
        <v>8829.9993758129986</v>
      </c>
    </row>
    <row r="48" spans="2:28" x14ac:dyDescent="0.2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29" x14ac:dyDescent="0.2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29" s="6" customFormat="1" x14ac:dyDescent="0.2">
      <c r="B50" s="27" t="s">
        <v>95</v>
      </c>
      <c r="C50" s="27"/>
      <c r="D50" s="27"/>
      <c r="E50" s="27"/>
      <c r="F50" s="27"/>
      <c r="G50" s="27"/>
      <c r="I50" s="27"/>
      <c r="AC50"/>
    </row>
    <row r="51" spans="1:29" s="6" customFormat="1" x14ac:dyDescent="0.2">
      <c r="B51" s="27"/>
      <c r="C51" s="27"/>
      <c r="D51" s="27"/>
      <c r="E51" s="27"/>
      <c r="F51" s="27"/>
      <c r="G51" s="27"/>
      <c r="H51" s="27"/>
      <c r="I51" s="27"/>
    </row>
    <row r="52" spans="1:29" s="6" customFormat="1" x14ac:dyDescent="0.2"/>
    <row r="53" spans="1:29" s="6" customFormat="1" x14ac:dyDescent="0.2">
      <c r="A53" s="16" t="s">
        <v>17</v>
      </c>
    </row>
    <row r="54" spans="1:29" s="6" customFormat="1" ht="6" customHeight="1" x14ac:dyDescent="0.2"/>
    <row r="55" spans="1:29" s="6" customFormat="1" x14ac:dyDescent="0.2">
      <c r="B55" t="s">
        <v>32</v>
      </c>
      <c r="G55" s="7"/>
    </row>
    <row r="56" spans="1:29" x14ac:dyDescent="0.2">
      <c r="B56" t="s">
        <v>73</v>
      </c>
      <c r="G56" s="8"/>
    </row>
    <row r="57" spans="1:29" x14ac:dyDescent="0.2">
      <c r="B57" t="s">
        <v>74</v>
      </c>
    </row>
    <row r="58" spans="1:29" ht="13.5" thickBot="1" x14ac:dyDescent="0.25"/>
    <row r="59" spans="1:29" ht="13.5" thickBot="1" x14ac:dyDescent="0.25">
      <c r="C59" s="26" t="s">
        <v>31</v>
      </c>
      <c r="D59" s="139" t="s">
        <v>38</v>
      </c>
      <c r="E59" s="140"/>
      <c r="F59" s="139" t="s">
        <v>37</v>
      </c>
      <c r="G59" s="140"/>
      <c r="H59" s="139" t="s">
        <v>44</v>
      </c>
      <c r="I59" s="140"/>
      <c r="J59" s="139" t="s">
        <v>63</v>
      </c>
      <c r="K59" s="140"/>
      <c r="L59" s="154" t="s">
        <v>36</v>
      </c>
      <c r="M59" s="155"/>
      <c r="N59" s="154"/>
      <c r="O59" s="155"/>
    </row>
    <row r="60" spans="1:29" x14ac:dyDescent="0.2">
      <c r="C60" s="33" t="s">
        <v>54</v>
      </c>
      <c r="D60" s="135">
        <v>97</v>
      </c>
      <c r="E60" s="136"/>
      <c r="F60" s="149">
        <v>98</v>
      </c>
      <c r="G60" s="136"/>
      <c r="H60" s="141">
        <v>99</v>
      </c>
      <c r="I60" s="141"/>
      <c r="J60" s="141">
        <v>99</v>
      </c>
      <c r="K60" s="141"/>
      <c r="L60" s="149">
        <v>98</v>
      </c>
      <c r="M60" s="136"/>
      <c r="N60" s="135"/>
      <c r="O60" s="152"/>
    </row>
    <row r="61" spans="1:29" ht="13.5" thickBot="1" x14ac:dyDescent="0.25">
      <c r="C61" s="23" t="s">
        <v>55</v>
      </c>
      <c r="D61" s="137">
        <v>0.5</v>
      </c>
      <c r="E61" s="138"/>
      <c r="F61" s="132">
        <v>0.75</v>
      </c>
      <c r="G61" s="131"/>
      <c r="H61" s="142">
        <v>0.9</v>
      </c>
      <c r="I61" s="142"/>
      <c r="J61" s="142">
        <v>0.85</v>
      </c>
      <c r="K61" s="142"/>
      <c r="L61" s="132">
        <v>0.75</v>
      </c>
      <c r="M61" s="131"/>
      <c r="N61" s="137"/>
      <c r="O61" s="148"/>
    </row>
    <row r="62" spans="1:29" hidden="1" x14ac:dyDescent="0.2">
      <c r="C62" s="25" t="s">
        <v>35</v>
      </c>
      <c r="D62" s="135">
        <v>99</v>
      </c>
      <c r="E62" s="136"/>
      <c r="F62" s="149">
        <v>97</v>
      </c>
      <c r="G62" s="136"/>
      <c r="H62" s="141">
        <v>98</v>
      </c>
      <c r="I62" s="141"/>
      <c r="J62" s="141">
        <v>97.5</v>
      </c>
      <c r="K62" s="141"/>
      <c r="L62" s="149">
        <v>97</v>
      </c>
      <c r="M62" s="136"/>
      <c r="N62" s="135"/>
      <c r="O62" s="152"/>
    </row>
    <row r="63" spans="1:29" ht="13.5" hidden="1" thickBot="1" x14ac:dyDescent="0.25">
      <c r="C63" s="23" t="s">
        <v>33</v>
      </c>
      <c r="D63" s="125">
        <v>0.6</v>
      </c>
      <c r="E63" s="131"/>
      <c r="F63" s="132">
        <v>0.7</v>
      </c>
      <c r="G63" s="131"/>
      <c r="H63" s="142">
        <v>0.8</v>
      </c>
      <c r="I63" s="142"/>
      <c r="J63" s="142">
        <v>0.8</v>
      </c>
      <c r="K63" s="142"/>
      <c r="L63" s="132">
        <v>0.7</v>
      </c>
      <c r="M63" s="131"/>
      <c r="N63" s="125"/>
      <c r="O63" s="126"/>
    </row>
    <row r="64" spans="1:29" hidden="1" x14ac:dyDescent="0.2">
      <c r="C64" s="24" t="s">
        <v>34</v>
      </c>
      <c r="D64" s="123">
        <v>98</v>
      </c>
      <c r="E64" s="128"/>
      <c r="F64" s="127">
        <v>97.5</v>
      </c>
      <c r="G64" s="128"/>
      <c r="H64" s="133">
        <v>98.5</v>
      </c>
      <c r="I64" s="133"/>
      <c r="J64" s="133">
        <v>97</v>
      </c>
      <c r="K64" s="133"/>
      <c r="L64" s="127">
        <v>97.5</v>
      </c>
      <c r="M64" s="128"/>
      <c r="N64" s="123"/>
      <c r="O64" s="124"/>
    </row>
    <row r="65" spans="1:18" ht="13.5" hidden="1" thickBot="1" x14ac:dyDescent="0.25">
      <c r="C65" s="23" t="s">
        <v>33</v>
      </c>
      <c r="D65" s="125">
        <v>0.65</v>
      </c>
      <c r="E65" s="131"/>
      <c r="F65" s="132">
        <v>0.7</v>
      </c>
      <c r="G65" s="131"/>
      <c r="H65" s="142">
        <v>0.8</v>
      </c>
      <c r="I65" s="142"/>
      <c r="J65" s="142">
        <v>0.8</v>
      </c>
      <c r="K65" s="142"/>
      <c r="L65" s="132">
        <v>0.7</v>
      </c>
      <c r="M65" s="131"/>
      <c r="N65" s="125"/>
      <c r="O65" s="126"/>
    </row>
    <row r="66" spans="1:18" x14ac:dyDescent="0.2">
      <c r="G66" s="11"/>
      <c r="H66" s="13"/>
      <c r="I66" s="13"/>
      <c r="J66" s="13"/>
      <c r="K66" s="13"/>
      <c r="L66" s="13"/>
      <c r="M66" s="13"/>
      <c r="N66" s="13"/>
    </row>
    <row r="67" spans="1:18" x14ac:dyDescent="0.2">
      <c r="G67" s="11"/>
      <c r="H67" s="13"/>
      <c r="I67" s="13"/>
      <c r="J67" s="13"/>
      <c r="K67" s="13"/>
      <c r="L67" s="13"/>
      <c r="M67" s="13"/>
      <c r="N67" s="13"/>
    </row>
    <row r="68" spans="1:18" x14ac:dyDescent="0.2">
      <c r="A68" s="16" t="s">
        <v>61</v>
      </c>
      <c r="G68" s="11"/>
      <c r="H68" s="13"/>
      <c r="I68" s="13"/>
      <c r="J68" s="13"/>
      <c r="K68" s="13"/>
      <c r="L68" s="13"/>
      <c r="M68" s="13"/>
      <c r="N68" s="13"/>
    </row>
    <row r="69" spans="1:18" ht="6" customHeight="1" x14ac:dyDescent="0.2"/>
    <row r="70" spans="1:18" x14ac:dyDescent="0.2">
      <c r="B70" t="s">
        <v>60</v>
      </c>
      <c r="M70">
        <v>20</v>
      </c>
    </row>
    <row r="71" spans="1:18" x14ac:dyDescent="0.2">
      <c r="B71" t="s">
        <v>56</v>
      </c>
      <c r="M71">
        <v>10</v>
      </c>
    </row>
    <row r="74" spans="1:18" x14ac:dyDescent="0.2">
      <c r="A74" s="16" t="s">
        <v>18</v>
      </c>
    </row>
    <row r="75" spans="1:18" ht="9" customHeight="1" thickBot="1" x14ac:dyDescent="0.25"/>
    <row r="76" spans="1:18" ht="12.75" customHeight="1" x14ac:dyDescent="0.2">
      <c r="B76" s="129" t="s">
        <v>19</v>
      </c>
      <c r="C76" s="130"/>
      <c r="D76" s="118" t="s">
        <v>40</v>
      </c>
      <c r="E76" s="119"/>
      <c r="F76" s="119"/>
      <c r="G76" s="119"/>
      <c r="H76" s="119"/>
      <c r="I76" s="119"/>
      <c r="J76" s="120"/>
      <c r="K76" s="189" t="s">
        <v>20</v>
      </c>
    </row>
    <row r="77" spans="1:18" ht="13.5" thickBot="1" x14ac:dyDescent="0.25">
      <c r="A77" s="9"/>
      <c r="B77" s="116" t="s">
        <v>39</v>
      </c>
      <c r="C77" s="117"/>
      <c r="D77" s="28" t="s">
        <v>38</v>
      </c>
      <c r="E77" s="29" t="s">
        <v>37</v>
      </c>
      <c r="F77" s="29" t="s">
        <v>44</v>
      </c>
      <c r="G77" s="29" t="s">
        <v>63</v>
      </c>
      <c r="H77" s="29" t="s">
        <v>36</v>
      </c>
      <c r="I77" s="29"/>
      <c r="J77" s="30"/>
      <c r="K77" s="191"/>
      <c r="M77" s="9"/>
      <c r="N77" s="9"/>
      <c r="O77" s="9"/>
      <c r="P77" s="9"/>
      <c r="Q77" s="9"/>
      <c r="R77" s="9"/>
    </row>
    <row r="78" spans="1:18" x14ac:dyDescent="0.2">
      <c r="B78" s="121" t="s">
        <v>75</v>
      </c>
      <c r="C78" s="122"/>
      <c r="D78" s="12">
        <v>9</v>
      </c>
      <c r="E78" s="10">
        <v>12</v>
      </c>
      <c r="F78" s="10">
        <v>10</v>
      </c>
      <c r="G78" s="10">
        <v>9</v>
      </c>
      <c r="H78" s="31">
        <v>10</v>
      </c>
      <c r="I78" s="35"/>
      <c r="J78" s="13"/>
      <c r="K78" s="22">
        <v>9</v>
      </c>
      <c r="M78" s="9"/>
      <c r="N78" s="9"/>
      <c r="O78" s="9"/>
      <c r="P78" s="9"/>
      <c r="Q78" s="9"/>
      <c r="R78" s="9"/>
    </row>
    <row r="79" spans="1:18" ht="13.5" thickBot="1" x14ac:dyDescent="0.25">
      <c r="B79" s="114" t="s">
        <v>76</v>
      </c>
      <c r="C79" s="115"/>
      <c r="D79" s="21">
        <v>14</v>
      </c>
      <c r="E79" s="20">
        <v>13</v>
      </c>
      <c r="F79" s="20">
        <v>14</v>
      </c>
      <c r="G79" s="20">
        <v>14</v>
      </c>
      <c r="H79" s="20">
        <v>15</v>
      </c>
      <c r="I79" s="34"/>
      <c r="J79" s="36"/>
      <c r="K79" s="23">
        <v>10</v>
      </c>
      <c r="M79" s="9"/>
      <c r="N79" s="9"/>
      <c r="O79" s="9"/>
      <c r="P79" s="9"/>
      <c r="Q79" s="9"/>
      <c r="R79" s="9"/>
    </row>
    <row r="80" spans="1:18" ht="13.5" thickBot="1" x14ac:dyDescent="0.25">
      <c r="M80" s="9"/>
      <c r="N80" s="9"/>
      <c r="O80" s="9"/>
      <c r="P80" s="9"/>
      <c r="Q80" s="9"/>
      <c r="R80" s="9"/>
    </row>
    <row r="81" spans="2:18" x14ac:dyDescent="0.2">
      <c r="B81" s="129" t="s">
        <v>19</v>
      </c>
      <c r="C81" s="130"/>
      <c r="D81" s="118" t="s">
        <v>41</v>
      </c>
      <c r="E81" s="119"/>
      <c r="F81" s="119"/>
      <c r="G81" s="119"/>
      <c r="H81" s="119"/>
      <c r="I81" s="119"/>
      <c r="J81" s="120"/>
      <c r="K81" s="189" t="s">
        <v>20</v>
      </c>
      <c r="M81" s="9"/>
      <c r="N81" s="9"/>
      <c r="O81" s="9"/>
      <c r="P81" s="9"/>
      <c r="Q81" s="9"/>
      <c r="R81" s="9"/>
    </row>
    <row r="82" spans="2:18" ht="12.75" customHeight="1" thickBot="1" x14ac:dyDescent="0.25">
      <c r="B82" s="116" t="s">
        <v>39</v>
      </c>
      <c r="C82" s="117"/>
      <c r="D82" s="28" t="s">
        <v>38</v>
      </c>
      <c r="E82" s="29" t="s">
        <v>37</v>
      </c>
      <c r="F82" s="29" t="s">
        <v>44</v>
      </c>
      <c r="G82" s="29" t="s">
        <v>63</v>
      </c>
      <c r="H82" s="29" t="s">
        <v>36</v>
      </c>
      <c r="I82" s="29"/>
      <c r="J82" s="30"/>
      <c r="K82" s="190"/>
      <c r="M82" s="9"/>
      <c r="N82" s="9"/>
      <c r="O82" s="9"/>
      <c r="P82" s="9"/>
      <c r="Q82" s="9"/>
      <c r="R82" s="9"/>
    </row>
    <row r="83" spans="2:18" x14ac:dyDescent="0.2">
      <c r="B83" s="121" t="s">
        <v>77</v>
      </c>
      <c r="C83" s="122"/>
      <c r="D83" s="12">
        <v>20</v>
      </c>
      <c r="E83" s="10">
        <v>20</v>
      </c>
      <c r="F83" s="10">
        <v>22</v>
      </c>
      <c r="G83" s="10">
        <v>21</v>
      </c>
      <c r="H83" s="31">
        <v>20</v>
      </c>
      <c r="I83" s="35"/>
      <c r="J83" s="13"/>
      <c r="K83" s="22">
        <v>8</v>
      </c>
      <c r="M83" s="9"/>
      <c r="N83" s="9"/>
      <c r="O83" s="9"/>
      <c r="P83" s="9"/>
      <c r="Q83" s="9"/>
      <c r="R83" s="9"/>
    </row>
    <row r="84" spans="2:18" ht="13.5" thickBot="1" x14ac:dyDescent="0.25">
      <c r="B84" s="114" t="s">
        <v>78</v>
      </c>
      <c r="C84" s="115"/>
      <c r="D84" s="21">
        <v>25</v>
      </c>
      <c r="E84" s="20">
        <v>20</v>
      </c>
      <c r="F84" s="20">
        <v>24</v>
      </c>
      <c r="G84" s="20">
        <v>25</v>
      </c>
      <c r="H84" s="20">
        <v>22</v>
      </c>
      <c r="I84" s="34"/>
      <c r="J84" s="36"/>
      <c r="K84" s="23">
        <v>7</v>
      </c>
      <c r="M84" s="9"/>
      <c r="N84" s="9"/>
      <c r="O84" s="9"/>
      <c r="P84" s="9"/>
      <c r="Q84" s="9"/>
      <c r="R84" s="9"/>
    </row>
    <row r="85" spans="2:18" x14ac:dyDescent="0.2">
      <c r="M85" s="9"/>
      <c r="N85" s="9"/>
      <c r="O85" s="9"/>
      <c r="P85" s="9"/>
      <c r="Q85" s="9"/>
      <c r="R85" s="9"/>
    </row>
    <row r="86" spans="2:18" ht="13.5" thickBot="1" x14ac:dyDescent="0.25">
      <c r="M86" s="9"/>
      <c r="N86" s="9"/>
      <c r="O86" s="9"/>
      <c r="P86" s="9"/>
      <c r="Q86" s="9"/>
      <c r="R86" s="9"/>
    </row>
    <row r="87" spans="2:18" x14ac:dyDescent="0.2">
      <c r="B87" s="129" t="s">
        <v>21</v>
      </c>
      <c r="C87" s="130"/>
      <c r="D87" s="182" t="s">
        <v>40</v>
      </c>
      <c r="E87" s="183"/>
      <c r="F87" s="183"/>
      <c r="G87" s="183"/>
      <c r="H87" s="182" t="s">
        <v>41</v>
      </c>
      <c r="I87" s="183"/>
      <c r="J87" s="183"/>
      <c r="K87" s="186"/>
      <c r="M87" s="9"/>
      <c r="N87" s="9"/>
      <c r="O87" s="9"/>
      <c r="P87" s="9"/>
      <c r="Q87" s="9"/>
      <c r="R87" s="9"/>
    </row>
    <row r="88" spans="2:18" ht="13.5" thickBot="1" x14ac:dyDescent="0.25">
      <c r="B88" s="116" t="s">
        <v>42</v>
      </c>
      <c r="C88" s="117"/>
      <c r="D88" s="184"/>
      <c r="E88" s="185"/>
      <c r="F88" s="185"/>
      <c r="G88" s="185"/>
      <c r="H88" s="184"/>
      <c r="I88" s="185"/>
      <c r="J88" s="185"/>
      <c r="K88" s="187"/>
      <c r="M88" s="9"/>
      <c r="N88" s="9"/>
      <c r="O88" s="9"/>
      <c r="P88" s="9"/>
      <c r="Q88" s="9"/>
      <c r="R88" s="9"/>
    </row>
    <row r="89" spans="2:18" x14ac:dyDescent="0.2">
      <c r="B89" s="174" t="s">
        <v>22</v>
      </c>
      <c r="C89" s="175"/>
      <c r="D89" s="166" t="s">
        <v>47</v>
      </c>
      <c r="E89" s="167"/>
      <c r="F89" s="167"/>
      <c r="G89" s="167"/>
      <c r="H89" s="166" t="s">
        <v>48</v>
      </c>
      <c r="I89" s="167"/>
      <c r="J89" s="167"/>
      <c r="K89" s="169"/>
      <c r="M89" s="9"/>
      <c r="N89" s="9"/>
      <c r="O89" s="9"/>
      <c r="P89" s="9"/>
      <c r="Q89" s="9"/>
      <c r="R89" s="9"/>
    </row>
    <row r="90" spans="2:18" x14ac:dyDescent="0.2">
      <c r="B90" s="176"/>
      <c r="C90" s="177"/>
      <c r="D90" s="166" t="s">
        <v>23</v>
      </c>
      <c r="E90" s="167"/>
      <c r="F90" s="167"/>
      <c r="G90" s="167"/>
      <c r="H90" s="168" t="s">
        <v>64</v>
      </c>
      <c r="I90" s="167"/>
      <c r="J90" s="167"/>
      <c r="K90" s="169"/>
      <c r="M90" s="9"/>
      <c r="N90" s="9"/>
      <c r="O90" s="9"/>
      <c r="P90" s="9"/>
      <c r="Q90" s="9"/>
      <c r="R90" s="9"/>
    </row>
    <row r="91" spans="2:18" ht="13.5" thickBot="1" x14ac:dyDescent="0.25">
      <c r="B91" s="178"/>
      <c r="C91" s="179"/>
      <c r="D91" s="180" t="s">
        <v>79</v>
      </c>
      <c r="E91" s="181"/>
      <c r="F91" s="181"/>
      <c r="G91" s="181"/>
      <c r="H91" s="180" t="s">
        <v>81</v>
      </c>
      <c r="I91" s="181"/>
      <c r="J91" s="181"/>
      <c r="K91" s="188"/>
      <c r="M91" s="9"/>
      <c r="N91" s="9"/>
      <c r="O91" s="9"/>
      <c r="P91" s="9"/>
      <c r="Q91" s="9"/>
      <c r="R91" s="9"/>
    </row>
    <row r="92" spans="2:18" x14ac:dyDescent="0.2">
      <c r="B92" s="170" t="s">
        <v>24</v>
      </c>
      <c r="C92" s="171"/>
      <c r="D92" s="166" t="s">
        <v>47</v>
      </c>
      <c r="E92" s="167"/>
      <c r="F92" s="167"/>
      <c r="G92" s="167"/>
      <c r="H92" s="166" t="s">
        <v>46</v>
      </c>
      <c r="I92" s="167"/>
      <c r="J92" s="167"/>
      <c r="K92" s="169"/>
      <c r="M92" s="9"/>
      <c r="N92" s="9"/>
      <c r="O92" s="9"/>
      <c r="P92" s="9"/>
      <c r="Q92" s="9"/>
      <c r="R92" s="9"/>
    </row>
    <row r="93" spans="2:18" x14ac:dyDescent="0.2">
      <c r="B93" s="170"/>
      <c r="C93" s="171"/>
      <c r="D93" s="166" t="s">
        <v>25</v>
      </c>
      <c r="E93" s="167"/>
      <c r="F93" s="167"/>
      <c r="G93" s="167"/>
      <c r="H93" s="166" t="s">
        <v>65</v>
      </c>
      <c r="I93" s="167"/>
      <c r="J93" s="167"/>
      <c r="K93" s="169"/>
      <c r="M93" s="9"/>
      <c r="N93" s="9"/>
      <c r="O93" s="9"/>
      <c r="P93" s="9"/>
      <c r="Q93" s="9"/>
      <c r="R93" s="9"/>
    </row>
    <row r="94" spans="2:18" ht="13.5" thickBot="1" x14ac:dyDescent="0.25">
      <c r="B94" s="172"/>
      <c r="C94" s="173"/>
      <c r="D94" s="168" t="s">
        <v>80</v>
      </c>
      <c r="E94" s="167"/>
      <c r="F94" s="167"/>
      <c r="G94" s="167"/>
      <c r="H94" s="168" t="s">
        <v>82</v>
      </c>
      <c r="I94" s="167"/>
      <c r="J94" s="167"/>
      <c r="K94" s="169"/>
      <c r="M94" s="9"/>
      <c r="N94" s="9"/>
      <c r="O94" s="9"/>
      <c r="P94" s="9"/>
      <c r="Q94" s="9"/>
      <c r="R94" s="9"/>
    </row>
    <row r="95" spans="2:18" x14ac:dyDescent="0.2">
      <c r="B95" s="162" t="s">
        <v>26</v>
      </c>
      <c r="C95" s="163"/>
      <c r="D95" s="156" t="s">
        <v>83</v>
      </c>
      <c r="E95" s="157"/>
      <c r="F95" s="157"/>
      <c r="G95" s="157"/>
      <c r="H95" s="157"/>
      <c r="I95" s="157"/>
      <c r="J95" s="157"/>
      <c r="K95" s="158"/>
      <c r="M95" s="9"/>
      <c r="N95" s="9"/>
      <c r="O95" s="9"/>
      <c r="P95" s="9"/>
      <c r="Q95" s="9"/>
      <c r="R95" s="9"/>
    </row>
    <row r="96" spans="2:18" ht="13.5" thickBot="1" x14ac:dyDescent="0.25">
      <c r="B96" s="164"/>
      <c r="C96" s="165"/>
      <c r="D96" s="159"/>
      <c r="E96" s="160"/>
      <c r="F96" s="160"/>
      <c r="G96" s="160"/>
      <c r="H96" s="160"/>
      <c r="I96" s="160"/>
      <c r="J96" s="160"/>
      <c r="K96" s="161"/>
    </row>
    <row r="98" spans="1:16" x14ac:dyDescent="0.2">
      <c r="B98" s="11" t="s">
        <v>57</v>
      </c>
      <c r="E98" s="11"/>
      <c r="F98" s="11"/>
      <c r="G98" s="11"/>
      <c r="H98" s="11"/>
      <c r="I98" s="11"/>
      <c r="J98" s="11"/>
      <c r="K98" s="11"/>
      <c r="L98" s="11"/>
    </row>
    <row r="99" spans="1:16" x14ac:dyDescent="0.2">
      <c r="B99" s="43" t="s">
        <v>84</v>
      </c>
      <c r="E99" s="11"/>
      <c r="F99" s="11"/>
      <c r="G99" s="11"/>
      <c r="H99" s="11"/>
      <c r="I99" s="11"/>
      <c r="J99" s="11"/>
      <c r="K99" s="11"/>
      <c r="L99" s="11"/>
    </row>
    <row r="100" spans="1:16" x14ac:dyDescent="0.2">
      <c r="B100" s="11"/>
      <c r="E100" s="11"/>
      <c r="F100" s="11"/>
      <c r="G100" s="11"/>
      <c r="H100" s="11"/>
      <c r="I100" s="11"/>
      <c r="J100" s="11"/>
      <c r="K100" s="11"/>
      <c r="L100" s="11"/>
    </row>
    <row r="101" spans="1:16" x14ac:dyDescent="0.2">
      <c r="A101" s="11"/>
      <c r="D101" s="11"/>
      <c r="E101" s="11"/>
      <c r="F101" s="11"/>
      <c r="G101" s="11"/>
      <c r="H101" s="11"/>
      <c r="I101" s="11"/>
      <c r="J101" s="11"/>
      <c r="K101" s="11"/>
    </row>
    <row r="102" spans="1:16" x14ac:dyDescent="0.2">
      <c r="A102" s="16" t="s">
        <v>27</v>
      </c>
    </row>
    <row r="103" spans="1:16" ht="6" customHeight="1" x14ac:dyDescent="0.2"/>
    <row r="104" spans="1:16" ht="12.75" customHeight="1" x14ac:dyDescent="0.2">
      <c r="B104" s="39" t="s">
        <v>86</v>
      </c>
      <c r="C104" s="40"/>
      <c r="D104" s="40"/>
      <c r="E104" s="40"/>
      <c r="F104" s="40"/>
      <c r="G104" s="40"/>
      <c r="H104" s="40"/>
      <c r="I104" s="40"/>
      <c r="J104" s="40"/>
      <c r="K104" s="40"/>
    </row>
    <row r="105" spans="1:16" x14ac:dyDescent="0.2">
      <c r="A105" s="40"/>
      <c r="B105" s="39" t="s">
        <v>85</v>
      </c>
      <c r="C105" s="40"/>
      <c r="D105" s="40"/>
      <c r="E105" s="40"/>
      <c r="F105" s="40"/>
      <c r="G105" s="40"/>
      <c r="H105" s="40"/>
      <c r="I105" s="40"/>
      <c r="J105" s="40"/>
      <c r="K105" s="40"/>
    </row>
    <row r="108" spans="1:16" x14ac:dyDescent="0.2">
      <c r="A108" s="16" t="s">
        <v>28</v>
      </c>
    </row>
    <row r="109" spans="1:16" ht="6" customHeight="1" x14ac:dyDescent="0.2"/>
    <row r="110" spans="1:16" ht="12.75" customHeight="1" x14ac:dyDescent="0.2">
      <c r="B110" s="38" t="s">
        <v>87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8"/>
      <c r="N110" s="18"/>
      <c r="O110" s="18"/>
      <c r="P110" s="18"/>
    </row>
    <row r="111" spans="1:16" x14ac:dyDescent="0.2">
      <c r="B111" s="39" t="s">
        <v>88</v>
      </c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4" spans="1:15" x14ac:dyDescent="0.2">
      <c r="A114" s="16" t="s">
        <v>29</v>
      </c>
    </row>
    <row r="115" spans="1:15" ht="6" customHeight="1" x14ac:dyDescent="0.2"/>
    <row r="116" spans="1:15" ht="12.75" customHeight="1" x14ac:dyDescent="0.2">
      <c r="B116" s="18" t="s">
        <v>59</v>
      </c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 x14ac:dyDescent="0.2">
      <c r="B117" s="38" t="s">
        <v>89</v>
      </c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 x14ac:dyDescent="0.2">
      <c r="A120" s="16" t="s">
        <v>30</v>
      </c>
    </row>
    <row r="121" spans="1:15" ht="6" customHeight="1" x14ac:dyDescent="0.2"/>
    <row r="122" spans="1:15" x14ac:dyDescent="0.2">
      <c r="B122" t="s">
        <v>62</v>
      </c>
    </row>
    <row r="125" spans="1:15" x14ac:dyDescent="0.2">
      <c r="A125" s="16" t="s">
        <v>43</v>
      </c>
    </row>
    <row r="126" spans="1:15" ht="6" customHeight="1" x14ac:dyDescent="0.2"/>
    <row r="127" spans="1:15" x14ac:dyDescent="0.2">
      <c r="B127" s="27" t="s">
        <v>90</v>
      </c>
    </row>
    <row r="128" spans="1:15" x14ac:dyDescent="0.2">
      <c r="B128" s="27" t="s">
        <v>91</v>
      </c>
    </row>
    <row r="131" spans="1:1" x14ac:dyDescent="0.2">
      <c r="A131" s="16" t="s">
        <v>92</v>
      </c>
    </row>
  </sheetData>
  <mergeCells count="90">
    <mergeCell ref="H91:K91"/>
    <mergeCell ref="K81:K82"/>
    <mergeCell ref="D76:J76"/>
    <mergeCell ref="K76:K77"/>
    <mergeCell ref="F62:G62"/>
    <mergeCell ref="F63:G63"/>
    <mergeCell ref="D63:E63"/>
    <mergeCell ref="J65:K65"/>
    <mergeCell ref="F61:G61"/>
    <mergeCell ref="H63:I63"/>
    <mergeCell ref="H64:I64"/>
    <mergeCell ref="J63:K63"/>
    <mergeCell ref="H65:I65"/>
    <mergeCell ref="O20:O21"/>
    <mergeCell ref="O32:O33"/>
    <mergeCell ref="B26:B27"/>
    <mergeCell ref="C26:N26"/>
    <mergeCell ref="O26:O27"/>
    <mergeCell ref="B32:B33"/>
    <mergeCell ref="C32:N32"/>
    <mergeCell ref="B20:B21"/>
    <mergeCell ref="C20:N20"/>
    <mergeCell ref="B89:C91"/>
    <mergeCell ref="B87:C87"/>
    <mergeCell ref="B88:C88"/>
    <mergeCell ref="D91:G91"/>
    <mergeCell ref="N62:O62"/>
    <mergeCell ref="N63:O63"/>
    <mergeCell ref="D87:G88"/>
    <mergeCell ref="D89:G89"/>
    <mergeCell ref="D90:G90"/>
    <mergeCell ref="H89:K89"/>
    <mergeCell ref="H87:K88"/>
    <mergeCell ref="H90:K90"/>
    <mergeCell ref="L63:M63"/>
    <mergeCell ref="L64:M64"/>
    <mergeCell ref="L65:M65"/>
    <mergeCell ref="J62:K62"/>
    <mergeCell ref="D95:K96"/>
    <mergeCell ref="B95:C96"/>
    <mergeCell ref="D92:G92"/>
    <mergeCell ref="D93:G93"/>
    <mergeCell ref="D94:G94"/>
    <mergeCell ref="H94:K94"/>
    <mergeCell ref="H93:K93"/>
    <mergeCell ref="B92:C94"/>
    <mergeCell ref="H92:K92"/>
    <mergeCell ref="C38:N38"/>
    <mergeCell ref="L60:M60"/>
    <mergeCell ref="N60:O60"/>
    <mergeCell ref="O38:O39"/>
    <mergeCell ref="F59:G59"/>
    <mergeCell ref="H59:I59"/>
    <mergeCell ref="J59:K59"/>
    <mergeCell ref="O44:O45"/>
    <mergeCell ref="L59:M59"/>
    <mergeCell ref="N59:O59"/>
    <mergeCell ref="J60:K60"/>
    <mergeCell ref="A1:O1"/>
    <mergeCell ref="D60:E60"/>
    <mergeCell ref="D61:E61"/>
    <mergeCell ref="D62:E62"/>
    <mergeCell ref="D59:E59"/>
    <mergeCell ref="H60:I60"/>
    <mergeCell ref="H61:I61"/>
    <mergeCell ref="H62:I62"/>
    <mergeCell ref="B44:B45"/>
    <mergeCell ref="C44:N44"/>
    <mergeCell ref="N61:O61"/>
    <mergeCell ref="F60:G60"/>
    <mergeCell ref="L62:M62"/>
    <mergeCell ref="L61:M61"/>
    <mergeCell ref="J61:K61"/>
    <mergeCell ref="B38:B39"/>
    <mergeCell ref="B84:C84"/>
    <mergeCell ref="B82:C82"/>
    <mergeCell ref="D81:J81"/>
    <mergeCell ref="B83:C83"/>
    <mergeCell ref="N64:O64"/>
    <mergeCell ref="N65:O65"/>
    <mergeCell ref="F64:G64"/>
    <mergeCell ref="B76:C76"/>
    <mergeCell ref="B77:C77"/>
    <mergeCell ref="D64:E64"/>
    <mergeCell ref="D65:E65"/>
    <mergeCell ref="F65:G65"/>
    <mergeCell ref="B81:C81"/>
    <mergeCell ref="B78:C78"/>
    <mergeCell ref="B79:C79"/>
    <mergeCell ref="J64:K64"/>
  </mergeCells>
  <phoneticPr fontId="0" type="noConversion"/>
  <printOptions horizontalCentered="1" verticalCentered="1"/>
  <pageMargins left="0.35433070866141736" right="0.35433070866141736" top="0.39370078740157483" bottom="0.39370078740157483" header="0" footer="0"/>
  <pageSetup scale="80" orientation="landscape" r:id="rId1"/>
  <headerFooter alignWithMargins="0"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35" sqref="E35"/>
    </sheetView>
  </sheetViews>
  <sheetFormatPr baseColWidth="10" defaultRowHeight="12.75" x14ac:dyDescent="0.2"/>
  <cols>
    <col min="1" max="1" width="10.5703125" customWidth="1"/>
    <col min="2" max="2" width="21.7109375" bestFit="1" customWidth="1"/>
  </cols>
  <sheetData>
    <row r="1" spans="1:8" ht="13.5" thickBot="1" x14ac:dyDescent="0.25">
      <c r="A1" s="103"/>
      <c r="B1" s="103"/>
      <c r="C1" s="103"/>
      <c r="D1" s="103"/>
      <c r="E1" s="103"/>
      <c r="F1" s="103"/>
      <c r="G1" s="103"/>
      <c r="H1" s="103"/>
    </row>
    <row r="2" spans="1:8" x14ac:dyDescent="0.2">
      <c r="A2" s="103"/>
      <c r="B2" s="104" t="s">
        <v>260</v>
      </c>
      <c r="C2" s="105">
        <v>22</v>
      </c>
      <c r="D2" s="103"/>
      <c r="E2" s="103"/>
      <c r="F2" s="103"/>
      <c r="G2" s="103"/>
      <c r="H2" s="103"/>
    </row>
    <row r="3" spans="1:8" x14ac:dyDescent="0.2">
      <c r="A3" s="103"/>
      <c r="B3" s="106" t="s">
        <v>267</v>
      </c>
      <c r="C3" s="107">
        <v>10</v>
      </c>
      <c r="D3" s="103"/>
      <c r="E3" s="103"/>
      <c r="F3" s="103"/>
      <c r="G3" s="103"/>
      <c r="H3" s="103"/>
    </row>
    <row r="4" spans="1:8" x14ac:dyDescent="0.2">
      <c r="A4" s="103"/>
      <c r="B4" s="108"/>
      <c r="C4" s="107"/>
      <c r="D4" s="103"/>
      <c r="E4" s="103"/>
      <c r="F4" s="103"/>
      <c r="G4" s="103"/>
      <c r="H4" s="103"/>
    </row>
    <row r="5" spans="1:8" x14ac:dyDescent="0.2">
      <c r="A5" s="103"/>
      <c r="B5" s="106" t="s">
        <v>253</v>
      </c>
      <c r="C5" s="107"/>
      <c r="D5" s="103"/>
      <c r="E5" s="103"/>
      <c r="F5" s="103"/>
      <c r="G5" s="103"/>
      <c r="H5" s="103"/>
    </row>
    <row r="6" spans="1:8" x14ac:dyDescent="0.2">
      <c r="A6" s="103"/>
      <c r="B6" s="106" t="s">
        <v>254</v>
      </c>
      <c r="C6" s="107">
        <v>4</v>
      </c>
      <c r="D6" s="103"/>
      <c r="E6" s="103"/>
      <c r="F6" s="103"/>
      <c r="G6" s="103"/>
      <c r="H6" s="103"/>
    </row>
    <row r="7" spans="1:8" x14ac:dyDescent="0.2">
      <c r="A7" s="103"/>
      <c r="B7" s="106" t="s">
        <v>255</v>
      </c>
      <c r="C7" s="107">
        <v>100</v>
      </c>
      <c r="D7" s="103"/>
      <c r="E7" s="103"/>
      <c r="F7" s="103"/>
      <c r="G7" s="103"/>
      <c r="H7" s="103"/>
    </row>
    <row r="8" spans="1:8" x14ac:dyDescent="0.2">
      <c r="A8" s="103"/>
      <c r="B8" s="106" t="s">
        <v>256</v>
      </c>
      <c r="C8" s="107">
        <v>34</v>
      </c>
      <c r="D8" s="103"/>
      <c r="E8" s="103"/>
      <c r="F8" s="103"/>
      <c r="G8" s="103"/>
      <c r="H8" s="103"/>
    </row>
    <row r="9" spans="1:8" x14ac:dyDescent="0.2">
      <c r="A9" s="103"/>
      <c r="B9" s="106" t="s">
        <v>257</v>
      </c>
      <c r="C9" s="107"/>
      <c r="D9" s="103"/>
      <c r="E9" s="103"/>
      <c r="F9" s="103"/>
      <c r="G9" s="103"/>
      <c r="H9" s="103"/>
    </row>
    <row r="10" spans="1:8" x14ac:dyDescent="0.2">
      <c r="A10" s="103"/>
      <c r="B10" s="106" t="s">
        <v>254</v>
      </c>
      <c r="C10" s="107">
        <v>4</v>
      </c>
      <c r="D10" s="103"/>
      <c r="E10" s="103"/>
      <c r="F10" s="103"/>
      <c r="G10" s="103"/>
      <c r="H10" s="103"/>
    </row>
    <row r="11" spans="1:8" x14ac:dyDescent="0.2">
      <c r="A11" s="103"/>
      <c r="B11" s="106" t="s">
        <v>255</v>
      </c>
      <c r="C11" s="107">
        <v>80</v>
      </c>
      <c r="D11" s="103"/>
      <c r="E11" s="103"/>
      <c r="F11" s="103"/>
      <c r="G11" s="103"/>
      <c r="H11" s="103"/>
    </row>
    <row r="12" spans="1:8" x14ac:dyDescent="0.2">
      <c r="A12" s="103"/>
      <c r="B12" s="106" t="s">
        <v>256</v>
      </c>
      <c r="C12" s="107">
        <v>28</v>
      </c>
      <c r="D12" s="103"/>
      <c r="E12" s="103"/>
      <c r="F12" s="103"/>
      <c r="G12" s="103"/>
      <c r="H12" s="103"/>
    </row>
    <row r="13" spans="1:8" x14ac:dyDescent="0.2">
      <c r="A13" s="103"/>
      <c r="B13" s="106"/>
      <c r="C13" s="107"/>
      <c r="D13" s="103"/>
      <c r="E13" s="103"/>
      <c r="F13" s="103"/>
      <c r="G13" s="103"/>
      <c r="H13" s="103"/>
    </row>
    <row r="14" spans="1:8" x14ac:dyDescent="0.2">
      <c r="A14" s="103"/>
      <c r="B14" s="106" t="s">
        <v>258</v>
      </c>
      <c r="C14" s="107"/>
      <c r="D14" s="103"/>
      <c r="E14" s="103"/>
      <c r="F14" s="103"/>
      <c r="G14" s="103"/>
      <c r="H14" s="103"/>
    </row>
    <row r="15" spans="1:8" x14ac:dyDescent="0.2">
      <c r="A15" s="103"/>
      <c r="B15" s="106" t="s">
        <v>254</v>
      </c>
      <c r="C15" s="107">
        <v>3</v>
      </c>
      <c r="D15" s="103"/>
      <c r="E15" s="103"/>
      <c r="F15" s="103"/>
      <c r="G15" s="103"/>
      <c r="H15" s="103"/>
    </row>
    <row r="16" spans="1:8" x14ac:dyDescent="0.2">
      <c r="A16" s="103"/>
      <c r="B16" s="106" t="s">
        <v>255</v>
      </c>
      <c r="C16" s="107">
        <v>110</v>
      </c>
      <c r="D16" s="103"/>
      <c r="E16" s="103"/>
      <c r="F16" s="103"/>
      <c r="G16" s="103"/>
      <c r="H16" s="103"/>
    </row>
    <row r="17" spans="1:8" x14ac:dyDescent="0.2">
      <c r="A17" s="103"/>
      <c r="B17" s="106" t="s">
        <v>256</v>
      </c>
      <c r="C17" s="107">
        <v>42</v>
      </c>
      <c r="D17" s="103"/>
      <c r="E17" s="103"/>
      <c r="F17" s="103"/>
      <c r="G17" s="103"/>
      <c r="H17" s="103"/>
    </row>
    <row r="18" spans="1:8" x14ac:dyDescent="0.2">
      <c r="A18" s="103"/>
      <c r="B18" s="106" t="s">
        <v>259</v>
      </c>
      <c r="C18" s="107"/>
      <c r="D18" s="103"/>
      <c r="E18" s="103"/>
      <c r="F18" s="103"/>
      <c r="G18" s="103"/>
      <c r="H18" s="103"/>
    </row>
    <row r="19" spans="1:8" x14ac:dyDescent="0.2">
      <c r="A19" s="103"/>
      <c r="B19" s="106" t="s">
        <v>254</v>
      </c>
      <c r="C19" s="107">
        <v>5</v>
      </c>
      <c r="D19" s="103"/>
      <c r="E19" s="103"/>
      <c r="F19" s="103"/>
      <c r="G19" s="103"/>
      <c r="H19" s="103"/>
    </row>
    <row r="20" spans="1:8" x14ac:dyDescent="0.2">
      <c r="A20" s="103"/>
      <c r="B20" s="106" t="s">
        <v>255</v>
      </c>
      <c r="C20" s="107">
        <v>90</v>
      </c>
      <c r="D20" s="103"/>
      <c r="E20" s="103"/>
      <c r="F20" s="103"/>
      <c r="G20" s="103"/>
      <c r="H20" s="103"/>
    </row>
    <row r="21" spans="1:8" ht="13.5" thickBot="1" x14ac:dyDescent="0.25">
      <c r="A21" s="103"/>
      <c r="B21" s="109" t="s">
        <v>256</v>
      </c>
      <c r="C21" s="110">
        <v>31</v>
      </c>
      <c r="D21" s="103"/>
      <c r="E21" s="103"/>
      <c r="F21" s="103"/>
      <c r="G21" s="103"/>
      <c r="H21" s="103"/>
    </row>
    <row r="22" spans="1:8" x14ac:dyDescent="0.2">
      <c r="A22" s="103"/>
      <c r="B22" s="103"/>
      <c r="C22" s="103"/>
      <c r="D22" s="103"/>
      <c r="E22" s="103"/>
      <c r="F22" s="103"/>
      <c r="G22" s="103"/>
      <c r="H22" s="103"/>
    </row>
    <row r="23" spans="1:8" x14ac:dyDescent="0.2">
      <c r="A23" s="103"/>
      <c r="B23" s="103"/>
      <c r="C23" s="103"/>
      <c r="D23" s="103"/>
      <c r="E23" s="103"/>
      <c r="F23" s="103"/>
      <c r="G23" s="103"/>
      <c r="H23" s="103"/>
    </row>
    <row r="24" spans="1:8" x14ac:dyDescent="0.2">
      <c r="A24" s="103"/>
      <c r="B24" s="103"/>
      <c r="C24" s="103"/>
      <c r="D24" s="103"/>
      <c r="E24" s="103"/>
      <c r="F24" s="103"/>
      <c r="G24" s="103"/>
      <c r="H24" s="103"/>
    </row>
    <row r="25" spans="1:8" x14ac:dyDescent="0.2">
      <c r="A25" s="103"/>
      <c r="B25" s="103"/>
      <c r="C25" s="103"/>
      <c r="D25" s="103"/>
      <c r="E25" s="103"/>
      <c r="F25" s="103"/>
      <c r="G25" s="103"/>
      <c r="H25" s="103"/>
    </row>
    <row r="26" spans="1:8" x14ac:dyDescent="0.2">
      <c r="A26" s="103"/>
      <c r="B26" s="103"/>
      <c r="C26" s="103"/>
      <c r="D26" s="103"/>
      <c r="E26" s="103"/>
      <c r="F26" s="103"/>
      <c r="G26" s="103"/>
      <c r="H26" s="103"/>
    </row>
    <row r="27" spans="1:8" x14ac:dyDescent="0.2">
      <c r="A27" s="103"/>
      <c r="B27" s="103"/>
      <c r="C27" s="103"/>
      <c r="D27" s="103"/>
      <c r="E27" s="103"/>
      <c r="F27" s="103"/>
      <c r="G27" s="103"/>
      <c r="H27" s="103"/>
    </row>
    <row r="28" spans="1:8" x14ac:dyDescent="0.2">
      <c r="A28" s="103"/>
      <c r="B28" s="103"/>
      <c r="C28" s="103"/>
      <c r="D28" s="103"/>
      <c r="E28" s="103"/>
      <c r="F28" s="103"/>
      <c r="G28" s="103"/>
      <c r="H28" s="103"/>
    </row>
    <row r="29" spans="1:8" x14ac:dyDescent="0.2">
      <c r="A29" s="103"/>
      <c r="B29" s="103"/>
      <c r="C29" s="103"/>
      <c r="D29" s="103"/>
      <c r="E29" s="103"/>
      <c r="F29" s="103"/>
      <c r="G29" s="103"/>
      <c r="H29" s="103"/>
    </row>
    <row r="30" spans="1:8" x14ac:dyDescent="0.2">
      <c r="A30" s="103"/>
      <c r="B30" s="103"/>
      <c r="C30" s="103"/>
      <c r="D30" s="103"/>
      <c r="E30" s="103"/>
      <c r="F30" s="103"/>
      <c r="G30" s="103"/>
      <c r="H30" s="103"/>
    </row>
    <row r="31" spans="1:8" x14ac:dyDescent="0.2">
      <c r="A31" s="103"/>
      <c r="B31" s="103"/>
      <c r="C31" s="103"/>
      <c r="D31" s="103"/>
      <c r="E31" s="103"/>
      <c r="F31" s="103"/>
      <c r="G31" s="103"/>
      <c r="H31" s="103"/>
    </row>
    <row r="32" spans="1:8" x14ac:dyDescent="0.2">
      <c r="A32" s="103"/>
      <c r="B32" s="103"/>
      <c r="C32" s="103"/>
      <c r="D32" s="103"/>
      <c r="E32" s="103"/>
      <c r="F32" s="103"/>
      <c r="G32" s="103"/>
      <c r="H32" s="103"/>
    </row>
    <row r="33" spans="1:8" x14ac:dyDescent="0.2">
      <c r="A33" s="103"/>
      <c r="B33" s="103"/>
      <c r="C33" s="103"/>
      <c r="D33" s="103"/>
      <c r="E33" s="103"/>
      <c r="F33" s="103"/>
      <c r="G33" s="103"/>
      <c r="H33" s="103"/>
    </row>
    <row r="34" spans="1:8" x14ac:dyDescent="0.2">
      <c r="A34" s="103"/>
      <c r="B34" s="103"/>
      <c r="C34" s="103"/>
      <c r="D34" s="103"/>
      <c r="E34" s="103"/>
      <c r="F34" s="103"/>
      <c r="G34" s="103"/>
      <c r="H34" s="10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6"/>
  <sheetViews>
    <sheetView tabSelected="1" topLeftCell="A53" workbookViewId="0">
      <selection activeCell="B59" sqref="B59"/>
    </sheetView>
  </sheetViews>
  <sheetFormatPr baseColWidth="10" defaultColWidth="11.42578125" defaultRowHeight="12.75" x14ac:dyDescent="0.2"/>
  <cols>
    <col min="1" max="1" width="30.85546875" customWidth="1"/>
    <col min="2" max="2" width="12" customWidth="1"/>
    <col min="3" max="13" width="11.85546875" bestFit="1" customWidth="1"/>
    <col min="15" max="15" width="13.28515625" customWidth="1"/>
    <col min="16" max="16" width="15.28515625" customWidth="1"/>
    <col min="17" max="17" width="13.7109375" customWidth="1"/>
    <col min="18" max="19" width="12.85546875" bestFit="1" customWidth="1"/>
  </cols>
  <sheetData>
    <row r="1" spans="1:20" x14ac:dyDescent="0.2">
      <c r="A1" s="195" t="s">
        <v>159</v>
      </c>
      <c r="B1" s="196"/>
      <c r="C1" s="196"/>
      <c r="D1" s="196"/>
      <c r="E1" s="196"/>
      <c r="F1" s="196"/>
      <c r="G1" s="196"/>
      <c r="H1" s="196"/>
      <c r="I1" s="196"/>
      <c r="J1" s="197"/>
    </row>
    <row r="2" spans="1:20" x14ac:dyDescent="0.2">
      <c r="A2" s="195" t="s">
        <v>220</v>
      </c>
      <c r="B2" s="146"/>
      <c r="C2" s="146"/>
      <c r="D2" s="146"/>
      <c r="E2" s="146"/>
      <c r="F2" s="146"/>
      <c r="G2" s="146"/>
      <c r="H2" s="146"/>
      <c r="I2" s="146"/>
      <c r="J2" s="147"/>
      <c r="P2" s="78" t="s">
        <v>123</v>
      </c>
      <c r="Q2" s="78" t="s">
        <v>98</v>
      </c>
      <c r="R2" s="78" t="s">
        <v>99</v>
      </c>
      <c r="S2" s="78" t="s">
        <v>100</v>
      </c>
      <c r="T2" s="78" t="s">
        <v>101</v>
      </c>
    </row>
    <row r="3" spans="1:20" x14ac:dyDescent="0.2">
      <c r="A3" s="195" t="s">
        <v>221</v>
      </c>
      <c r="B3" s="146"/>
      <c r="C3" s="146"/>
      <c r="D3" s="146"/>
      <c r="E3" s="146"/>
      <c r="F3" s="146"/>
      <c r="G3" s="146"/>
      <c r="H3" s="146"/>
      <c r="I3" s="146"/>
      <c r="J3" s="147"/>
      <c r="P3" s="78"/>
      <c r="Q3" s="78">
        <v>4</v>
      </c>
      <c r="R3" s="78">
        <v>4</v>
      </c>
      <c r="S3" s="78">
        <v>3</v>
      </c>
      <c r="T3" s="78">
        <v>5</v>
      </c>
    </row>
    <row r="4" spans="1:20" x14ac:dyDescent="0.2">
      <c r="A4" s="195" t="s">
        <v>160</v>
      </c>
      <c r="B4" s="146"/>
      <c r="C4" s="146"/>
      <c r="D4" s="146"/>
      <c r="E4" s="146"/>
      <c r="F4" s="146"/>
      <c r="G4" s="146"/>
      <c r="H4" s="146"/>
      <c r="I4" s="146"/>
      <c r="J4" s="147"/>
      <c r="P4" s="78" t="s">
        <v>124</v>
      </c>
      <c r="Q4" s="78">
        <v>34</v>
      </c>
      <c r="R4" s="78">
        <v>28</v>
      </c>
      <c r="S4" s="78">
        <v>42</v>
      </c>
      <c r="T4" s="78">
        <v>31</v>
      </c>
    </row>
    <row r="5" spans="1:20" x14ac:dyDescent="0.2">
      <c r="A5" s="146"/>
      <c r="B5" s="146"/>
      <c r="C5" s="146"/>
      <c r="D5" s="146"/>
      <c r="E5" s="146"/>
      <c r="F5" s="146"/>
      <c r="G5" s="146"/>
      <c r="H5" s="146"/>
      <c r="I5" s="146"/>
      <c r="J5" s="146"/>
    </row>
    <row r="6" spans="1:20" x14ac:dyDescent="0.2">
      <c r="A6" s="192" t="s">
        <v>235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4"/>
      <c r="P6" s="48" t="s">
        <v>109</v>
      </c>
    </row>
    <row r="7" spans="1:20" x14ac:dyDescent="0.2">
      <c r="A7" s="78"/>
      <c r="B7" s="78" t="s">
        <v>3</v>
      </c>
      <c r="C7" s="78" t="s">
        <v>4</v>
      </c>
      <c r="D7" s="78" t="s">
        <v>5</v>
      </c>
      <c r="E7" s="78" t="s">
        <v>6</v>
      </c>
      <c r="F7" s="78" t="s">
        <v>7</v>
      </c>
      <c r="G7" s="78" t="s">
        <v>8</v>
      </c>
      <c r="H7" s="78" t="s">
        <v>9</v>
      </c>
      <c r="I7" s="78" t="s">
        <v>10</v>
      </c>
      <c r="J7" s="78" t="s">
        <v>96</v>
      </c>
      <c r="K7" s="78" t="s">
        <v>12</v>
      </c>
      <c r="L7" s="78" t="s">
        <v>13</v>
      </c>
      <c r="M7" s="78" t="s">
        <v>14</v>
      </c>
      <c r="P7" s="78">
        <v>1.02</v>
      </c>
    </row>
    <row r="8" spans="1:20" x14ac:dyDescent="0.2">
      <c r="A8" s="78" t="s">
        <v>15</v>
      </c>
      <c r="B8" s="78">
        <f>ROUND(Enunciado!C28*1.02,0)</f>
        <v>2060</v>
      </c>
      <c r="C8" s="78">
        <f>ROUND(Enunciado!D28*1.02,0)</f>
        <v>2163</v>
      </c>
      <c r="D8" s="78">
        <f>ROUND(Enunciado!E28*1.02,0)</f>
        <v>2163</v>
      </c>
      <c r="E8" s="78">
        <f>ROUND(Enunciado!F28*1.02,0)</f>
        <v>2343</v>
      </c>
      <c r="F8" s="78">
        <f>ROUND(Enunciado!G28*1.02,0)</f>
        <v>2369</v>
      </c>
      <c r="G8" s="78">
        <f>ROUND(Enunciado!H28*1.02,0)</f>
        <v>2057</v>
      </c>
      <c r="H8" s="78">
        <f>ROUND(Enunciado!I28*1.02,0)</f>
        <v>2812</v>
      </c>
      <c r="I8" s="78">
        <f>ROUND(Enunciado!J28*1.02,0)</f>
        <v>2685</v>
      </c>
      <c r="J8" s="78">
        <f>ROUND(Enunciado!K28*1.02,0)</f>
        <v>2812</v>
      </c>
      <c r="K8" s="78">
        <f>ROUND(Enunciado!L28*1.02,0)</f>
        <v>2369</v>
      </c>
      <c r="L8" s="78">
        <f>ROUND(Enunciado!M28*1.02,0)</f>
        <v>2395</v>
      </c>
      <c r="M8" s="78">
        <f>ROUND(Enunciado!N28*1.02,0)</f>
        <v>1992</v>
      </c>
      <c r="N8">
        <f>ROUND(B8*1.02,0)</f>
        <v>2101</v>
      </c>
    </row>
    <row r="9" spans="1:20" x14ac:dyDescent="0.2">
      <c r="A9" s="78" t="s">
        <v>16</v>
      </c>
      <c r="B9" s="78">
        <f>ROUND(Enunciado!C29*1.02,0)</f>
        <v>515</v>
      </c>
      <c r="C9" s="78">
        <f>ROUND(Enunciado!D29*1.02,0)</f>
        <v>669</v>
      </c>
      <c r="D9" s="78">
        <f>ROUND(Enunciado!E29*1.02,0)</f>
        <v>824</v>
      </c>
      <c r="E9" s="78">
        <f>ROUND(Enunciado!F29*1.02,0)</f>
        <v>618</v>
      </c>
      <c r="F9" s="78">
        <f>ROUND(Enunciado!G29*1.02,0)</f>
        <v>711</v>
      </c>
      <c r="G9" s="78">
        <f>ROUND(Enunciado!H29*1.02,0)</f>
        <v>721</v>
      </c>
      <c r="H9" s="78">
        <f>ROUND(Enunciado!I29*1.02,0)</f>
        <v>566</v>
      </c>
      <c r="I9" s="78">
        <f>ROUND(Enunciado!J29*1.02,0)</f>
        <v>1081</v>
      </c>
      <c r="J9" s="78">
        <f>ROUND(Enunciado!K29*1.02,0)</f>
        <v>1004</v>
      </c>
      <c r="K9" s="78">
        <f>ROUND(Enunciado!L29*1.02,0)</f>
        <v>1056</v>
      </c>
      <c r="L9" s="78">
        <f>ROUND(Enunciado!M29*1.02,0)</f>
        <v>618</v>
      </c>
      <c r="M9" s="78">
        <f>ROUND(Enunciado!N29*1.02,0)</f>
        <v>669</v>
      </c>
      <c r="N9">
        <f>ROUND(B9*1.02,0)</f>
        <v>525</v>
      </c>
      <c r="P9" s="48" t="s">
        <v>218</v>
      </c>
      <c r="Q9" s="48">
        <f>48/5.5</f>
        <v>8.7272727272727266</v>
      </c>
    </row>
    <row r="10" spans="1:2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</row>
    <row r="11" spans="1:2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P11" s="151" t="s">
        <v>105</v>
      </c>
      <c r="Q11" s="151"/>
      <c r="R11" s="151"/>
    </row>
    <row r="12" spans="1:20" x14ac:dyDescent="0.2">
      <c r="P12" s="77"/>
      <c r="Q12" s="77"/>
      <c r="R12" s="13"/>
    </row>
    <row r="13" spans="1:20" x14ac:dyDescent="0.2">
      <c r="A13" s="200" t="s">
        <v>230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4"/>
      <c r="P13" s="78" t="s">
        <v>98</v>
      </c>
      <c r="Q13" s="47">
        <v>10</v>
      </c>
      <c r="S13" s="47">
        <v>9</v>
      </c>
    </row>
    <row r="14" spans="1:20" x14ac:dyDescent="0.2">
      <c r="A14" s="82" t="s">
        <v>231</v>
      </c>
      <c r="B14" s="82">
        <f>B8*Enunciado!M70/100</f>
        <v>412</v>
      </c>
      <c r="C14" s="82">
        <f>B16</f>
        <v>433</v>
      </c>
      <c r="D14" s="82">
        <f t="shared" ref="D14:M14" si="0">C16</f>
        <v>433</v>
      </c>
      <c r="E14" s="82">
        <f t="shared" si="0"/>
        <v>469</v>
      </c>
      <c r="F14" s="82">
        <f t="shared" si="0"/>
        <v>474</v>
      </c>
      <c r="G14" s="82">
        <f t="shared" si="0"/>
        <v>411</v>
      </c>
      <c r="H14" s="82">
        <f t="shared" si="0"/>
        <v>562</v>
      </c>
      <c r="I14" s="82">
        <f t="shared" si="0"/>
        <v>537</v>
      </c>
      <c r="J14" s="82">
        <f t="shared" si="0"/>
        <v>562</v>
      </c>
      <c r="K14" s="82">
        <f t="shared" si="0"/>
        <v>474</v>
      </c>
      <c r="L14" s="82">
        <f t="shared" si="0"/>
        <v>479</v>
      </c>
      <c r="M14" s="82">
        <f t="shared" si="0"/>
        <v>398</v>
      </c>
      <c r="P14" s="78"/>
      <c r="Q14" s="47"/>
      <c r="S14" s="47"/>
    </row>
    <row r="15" spans="1:20" x14ac:dyDescent="0.2">
      <c r="A15" s="82" t="s">
        <v>232</v>
      </c>
      <c r="B15" s="82">
        <f>B8</f>
        <v>2060</v>
      </c>
      <c r="C15" s="82">
        <f>C8</f>
        <v>2163</v>
      </c>
      <c r="D15" s="82">
        <f t="shared" ref="D15:M15" si="1">D8</f>
        <v>2163</v>
      </c>
      <c r="E15" s="82">
        <f t="shared" si="1"/>
        <v>2343</v>
      </c>
      <c r="F15" s="82">
        <f t="shared" si="1"/>
        <v>2369</v>
      </c>
      <c r="G15" s="82">
        <f t="shared" si="1"/>
        <v>2057</v>
      </c>
      <c r="H15" s="82">
        <f t="shared" si="1"/>
        <v>2812</v>
      </c>
      <c r="I15" s="82">
        <f t="shared" si="1"/>
        <v>2685</v>
      </c>
      <c r="J15" s="82">
        <f t="shared" si="1"/>
        <v>2812</v>
      </c>
      <c r="K15" s="82">
        <f t="shared" si="1"/>
        <v>2369</v>
      </c>
      <c r="L15" s="82">
        <f t="shared" si="1"/>
        <v>2395</v>
      </c>
      <c r="M15" s="82">
        <f t="shared" si="1"/>
        <v>1992</v>
      </c>
      <c r="P15" s="78"/>
      <c r="Q15" s="47"/>
      <c r="S15" s="47"/>
    </row>
    <row r="16" spans="1:20" x14ac:dyDescent="0.2">
      <c r="A16" s="82" t="s">
        <v>234</v>
      </c>
      <c r="B16" s="82">
        <f>ROUND(Enunciado!$M$70*Produccion!C8/100,0)</f>
        <v>433</v>
      </c>
      <c r="C16" s="82">
        <f>ROUND(Enunciado!$M$70*Produccion!D8/100,0)</f>
        <v>433</v>
      </c>
      <c r="D16" s="82">
        <f>ROUND(Enunciado!$M$70*Produccion!E8/100,0)</f>
        <v>469</v>
      </c>
      <c r="E16" s="82">
        <f>ROUND(Enunciado!$M$70*Produccion!F8/100,0)</f>
        <v>474</v>
      </c>
      <c r="F16" s="82">
        <f>ROUND(Enunciado!$M$70*Produccion!G8/100,0)</f>
        <v>411</v>
      </c>
      <c r="G16" s="82">
        <f>ROUND(Enunciado!$M$70*Produccion!H8/100,0)</f>
        <v>562</v>
      </c>
      <c r="H16" s="82">
        <f>ROUND(Enunciado!$M$70*Produccion!I8/100,0)</f>
        <v>537</v>
      </c>
      <c r="I16" s="82">
        <f>ROUND(Enunciado!$M$70*Produccion!J8/100,0)</f>
        <v>562</v>
      </c>
      <c r="J16" s="82">
        <f>ROUND(Enunciado!$M$70*Produccion!K8/100,0)</f>
        <v>474</v>
      </c>
      <c r="K16" s="82">
        <f>ROUND(Enunciado!$M$70*Produccion!L8/100,0)</f>
        <v>479</v>
      </c>
      <c r="L16" s="82">
        <f>ROUND(Enunciado!$M$70*Produccion!M8/100,0)</f>
        <v>398</v>
      </c>
      <c r="M16" s="82">
        <f>ROUND(Enunciado!$M$70*Produccion!N8/100,0)</f>
        <v>420</v>
      </c>
      <c r="P16" s="78"/>
      <c r="Q16" s="47"/>
      <c r="S16" s="47"/>
    </row>
    <row r="17" spans="1:19" x14ac:dyDescent="0.2">
      <c r="A17" s="83" t="s">
        <v>233</v>
      </c>
      <c r="B17" s="83">
        <f t="shared" ref="B17:M17" si="2">B15+B16-B14</f>
        <v>2081</v>
      </c>
      <c r="C17" s="83">
        <f t="shared" si="2"/>
        <v>2163</v>
      </c>
      <c r="D17" s="83">
        <f t="shared" si="2"/>
        <v>2199</v>
      </c>
      <c r="E17" s="83">
        <f t="shared" si="2"/>
        <v>2348</v>
      </c>
      <c r="F17" s="83">
        <f t="shared" si="2"/>
        <v>2306</v>
      </c>
      <c r="G17" s="83">
        <f t="shared" si="2"/>
        <v>2208</v>
      </c>
      <c r="H17" s="83">
        <f t="shared" si="2"/>
        <v>2787</v>
      </c>
      <c r="I17" s="83">
        <f t="shared" si="2"/>
        <v>2710</v>
      </c>
      <c r="J17" s="83">
        <f t="shared" si="2"/>
        <v>2724</v>
      </c>
      <c r="K17" s="83">
        <f t="shared" si="2"/>
        <v>2374</v>
      </c>
      <c r="L17" s="83">
        <f t="shared" si="2"/>
        <v>2314</v>
      </c>
      <c r="M17" s="83">
        <f t="shared" si="2"/>
        <v>2014</v>
      </c>
      <c r="P17" s="78"/>
      <c r="Q17" s="47"/>
      <c r="S17" s="47"/>
    </row>
    <row r="18" spans="1:19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P18" s="78" t="s">
        <v>99</v>
      </c>
      <c r="Q18" s="47">
        <v>14</v>
      </c>
      <c r="S18" s="47">
        <v>10</v>
      </c>
    </row>
    <row r="19" spans="1:19" x14ac:dyDescent="0.2">
      <c r="A19" s="82" t="s">
        <v>231</v>
      </c>
      <c r="B19" s="81">
        <f>B9*Enunciado!M70/100</f>
        <v>103</v>
      </c>
      <c r="C19" s="81">
        <f>B21</f>
        <v>134</v>
      </c>
      <c r="D19" s="81">
        <f t="shared" ref="D19:M19" si="3">C21</f>
        <v>165</v>
      </c>
      <c r="E19" s="81">
        <f t="shared" si="3"/>
        <v>124</v>
      </c>
      <c r="F19" s="81">
        <f t="shared" si="3"/>
        <v>142</v>
      </c>
      <c r="G19" s="81">
        <f t="shared" si="3"/>
        <v>144</v>
      </c>
      <c r="H19" s="81">
        <f t="shared" si="3"/>
        <v>113</v>
      </c>
      <c r="I19" s="81">
        <f t="shared" si="3"/>
        <v>216</v>
      </c>
      <c r="J19" s="81">
        <f t="shared" si="3"/>
        <v>201</v>
      </c>
      <c r="K19" s="81">
        <f t="shared" si="3"/>
        <v>211</v>
      </c>
      <c r="L19" s="81">
        <f t="shared" si="3"/>
        <v>124</v>
      </c>
      <c r="M19" s="81">
        <f t="shared" si="3"/>
        <v>134</v>
      </c>
      <c r="P19" s="78" t="s">
        <v>102</v>
      </c>
      <c r="Q19" s="47">
        <v>22</v>
      </c>
      <c r="S19" s="47">
        <v>8</v>
      </c>
    </row>
    <row r="20" spans="1:19" x14ac:dyDescent="0.2">
      <c r="A20" s="82" t="s">
        <v>232</v>
      </c>
      <c r="B20" s="81">
        <f t="shared" ref="B20:M20" si="4">B9</f>
        <v>515</v>
      </c>
      <c r="C20" s="81">
        <f t="shared" si="4"/>
        <v>669</v>
      </c>
      <c r="D20" s="81">
        <f t="shared" si="4"/>
        <v>824</v>
      </c>
      <c r="E20" s="81">
        <f t="shared" si="4"/>
        <v>618</v>
      </c>
      <c r="F20" s="81">
        <f t="shared" si="4"/>
        <v>711</v>
      </c>
      <c r="G20" s="81">
        <f t="shared" si="4"/>
        <v>721</v>
      </c>
      <c r="H20" s="81">
        <f t="shared" si="4"/>
        <v>566</v>
      </c>
      <c r="I20" s="81">
        <f t="shared" si="4"/>
        <v>1081</v>
      </c>
      <c r="J20" s="81">
        <f t="shared" si="4"/>
        <v>1004</v>
      </c>
      <c r="K20" s="81">
        <f t="shared" si="4"/>
        <v>1056</v>
      </c>
      <c r="L20" s="81">
        <f t="shared" si="4"/>
        <v>618</v>
      </c>
      <c r="M20" s="81">
        <f t="shared" si="4"/>
        <v>669</v>
      </c>
      <c r="P20" s="78" t="s">
        <v>103</v>
      </c>
      <c r="Q20" s="47">
        <v>24</v>
      </c>
      <c r="S20" s="47">
        <v>7</v>
      </c>
    </row>
    <row r="21" spans="1:19" x14ac:dyDescent="0.2">
      <c r="A21" s="79" t="s">
        <v>234</v>
      </c>
      <c r="B21" s="81">
        <f>ROUND(Enunciado!$M$70*Produccion!C9/100,0)</f>
        <v>134</v>
      </c>
      <c r="C21" s="81">
        <f>ROUND(Enunciado!$M$70*Produccion!D9/100,0)</f>
        <v>165</v>
      </c>
      <c r="D21" s="81">
        <f>ROUND(Enunciado!$M$70*Produccion!E9/100,0)</f>
        <v>124</v>
      </c>
      <c r="E21" s="81">
        <f>ROUND(Enunciado!$M$70*Produccion!F9/100,0)</f>
        <v>142</v>
      </c>
      <c r="F21" s="81">
        <f>ROUND(Enunciado!$M$70*Produccion!G9/100,0)</f>
        <v>144</v>
      </c>
      <c r="G21" s="81">
        <f>ROUND(Enunciado!$M$70*Produccion!H9/100,0)</f>
        <v>113</v>
      </c>
      <c r="H21" s="81">
        <f>ROUND(Enunciado!$M$70*Produccion!I9/100,0)</f>
        <v>216</v>
      </c>
      <c r="I21" s="81">
        <f>ROUND(Enunciado!$M$70*Produccion!J9/100,0)</f>
        <v>201</v>
      </c>
      <c r="J21" s="81">
        <f>ROUND(Enunciado!$M$70*Produccion!K9/100,0)</f>
        <v>211</v>
      </c>
      <c r="K21" s="81">
        <f>ROUND(Enunciado!$M$70*Produccion!L9/100,0)</f>
        <v>124</v>
      </c>
      <c r="L21" s="81">
        <f>ROUND(Enunciado!$M$70*Produccion!M9/100,0)</f>
        <v>134</v>
      </c>
      <c r="M21" s="81">
        <f>ROUND(Enunciado!$M$70*Produccion!N9/100,0)</f>
        <v>105</v>
      </c>
    </row>
    <row r="22" spans="1:19" x14ac:dyDescent="0.2">
      <c r="A22" s="83" t="s">
        <v>236</v>
      </c>
      <c r="B22" s="83">
        <f t="shared" ref="B22:C22" si="5">B20+B21-B19</f>
        <v>546</v>
      </c>
      <c r="C22" s="83">
        <f t="shared" si="5"/>
        <v>700</v>
      </c>
      <c r="D22" s="83">
        <f t="shared" ref="D22" si="6">D20+D21-D19</f>
        <v>783</v>
      </c>
      <c r="E22" s="83">
        <f t="shared" ref="E22" si="7">E20+E21-E19</f>
        <v>636</v>
      </c>
      <c r="F22" s="83">
        <f t="shared" ref="F22" si="8">F20+F21-F19</f>
        <v>713</v>
      </c>
      <c r="G22" s="83">
        <f t="shared" ref="G22" si="9">G20+G21-G19</f>
        <v>690</v>
      </c>
      <c r="H22" s="83">
        <f t="shared" ref="H22" si="10">H20+H21-H19</f>
        <v>669</v>
      </c>
      <c r="I22" s="83">
        <f t="shared" ref="I22" si="11">I20+I21-I19</f>
        <v>1066</v>
      </c>
      <c r="J22" s="83">
        <f t="shared" ref="J22" si="12">J20+J21-J19</f>
        <v>1014</v>
      </c>
      <c r="K22" s="83">
        <f t="shared" ref="K22" si="13">K20+K21-K19</f>
        <v>969</v>
      </c>
      <c r="L22" s="83">
        <f t="shared" ref="L22" si="14">L20+L21-L19</f>
        <v>628</v>
      </c>
      <c r="M22" s="83">
        <f t="shared" ref="M22" si="15">M20+M21-M19</f>
        <v>640</v>
      </c>
      <c r="P22" s="199" t="s">
        <v>106</v>
      </c>
      <c r="Q22" s="199"/>
      <c r="R22" s="38"/>
    </row>
    <row r="23" spans="1:19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P23" s="48" t="s">
        <v>98</v>
      </c>
      <c r="Q23" s="78">
        <v>100</v>
      </c>
    </row>
    <row r="24" spans="1:19" x14ac:dyDescent="0.2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P24" s="48"/>
      <c r="Q24" s="78"/>
    </row>
    <row r="25" spans="1:19" x14ac:dyDescent="0.2"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P25" s="48"/>
      <c r="Q25" s="78"/>
    </row>
    <row r="26" spans="1:19" x14ac:dyDescent="0.2"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P26" s="48"/>
      <c r="Q26" s="78"/>
    </row>
    <row r="27" spans="1:19" x14ac:dyDescent="0.2"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P27" s="48"/>
      <c r="Q27" s="78"/>
    </row>
    <row r="28" spans="1:19" x14ac:dyDescent="0.2"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P28" s="48"/>
      <c r="Q28" s="78"/>
    </row>
    <row r="29" spans="1:19" x14ac:dyDescent="0.2"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P29" s="48"/>
      <c r="Q29" s="78"/>
    </row>
    <row r="30" spans="1:19" x14ac:dyDescent="0.2"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P30" s="48"/>
      <c r="Q30" s="78"/>
    </row>
    <row r="31" spans="1:19" x14ac:dyDescent="0.2"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P31" s="48"/>
      <c r="Q31" s="78"/>
    </row>
    <row r="32" spans="1:19" x14ac:dyDescent="0.2"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P32" s="48"/>
      <c r="Q32" s="78"/>
    </row>
    <row r="33" spans="1:17" x14ac:dyDescent="0.2"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P33" s="48"/>
      <c r="Q33" s="78"/>
    </row>
    <row r="34" spans="1:17" x14ac:dyDescent="0.2"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P34" s="48"/>
      <c r="Q34" s="78"/>
    </row>
    <row r="35" spans="1:17" x14ac:dyDescent="0.2"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P35" s="48"/>
      <c r="Q35" s="78"/>
    </row>
    <row r="36" spans="1:17" x14ac:dyDescent="0.2"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P36" s="48"/>
      <c r="Q36" s="78"/>
    </row>
    <row r="37" spans="1:17" x14ac:dyDescent="0.2"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P37" s="48"/>
      <c r="Q37" s="78"/>
    </row>
    <row r="38" spans="1:17" x14ac:dyDescent="0.2"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P38" s="48"/>
      <c r="Q38" s="78"/>
    </row>
    <row r="39" spans="1:17" x14ac:dyDescent="0.2"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P39" s="48"/>
      <c r="Q39" s="78"/>
    </row>
    <row r="40" spans="1:17" x14ac:dyDescent="0.2"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P40" s="48"/>
      <c r="Q40" s="78"/>
    </row>
    <row r="41" spans="1:17" x14ac:dyDescent="0.2"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P41" s="48"/>
      <c r="Q41" s="78"/>
    </row>
    <row r="42" spans="1:17" x14ac:dyDescent="0.2">
      <c r="A42" s="46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P42" s="48"/>
      <c r="Q42" s="78"/>
    </row>
    <row r="43" spans="1:17" x14ac:dyDescent="0.2">
      <c r="A43" s="46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P43" s="48"/>
      <c r="Q43" s="78"/>
    </row>
    <row r="44" spans="1:17" x14ac:dyDescent="0.2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P44" s="48"/>
      <c r="Q44" s="78"/>
    </row>
    <row r="45" spans="1:17" x14ac:dyDescent="0.2">
      <c r="A45" s="192" t="s">
        <v>237</v>
      </c>
      <c r="B45" s="201"/>
      <c r="C45" s="201"/>
      <c r="D45" s="201"/>
      <c r="E45" s="201"/>
      <c r="F45" s="201"/>
      <c r="G45" s="201"/>
      <c r="H45" s="201"/>
      <c r="I45" s="201"/>
      <c r="J45" s="201"/>
      <c r="K45" s="201"/>
      <c r="L45" s="201"/>
      <c r="M45" s="202"/>
      <c r="P45" s="48"/>
      <c r="Q45" s="78"/>
    </row>
    <row r="46" spans="1:17" x14ac:dyDescent="0.2">
      <c r="A46" s="102"/>
      <c r="B46" s="111" t="s">
        <v>3</v>
      </c>
      <c r="C46" s="111" t="s">
        <v>4</v>
      </c>
      <c r="D46" s="111" t="s">
        <v>5</v>
      </c>
      <c r="E46" s="111" t="s">
        <v>6</v>
      </c>
      <c r="F46" s="111" t="s">
        <v>7</v>
      </c>
      <c r="G46" s="111" t="s">
        <v>8</v>
      </c>
      <c r="H46" s="111" t="s">
        <v>9</v>
      </c>
      <c r="I46" s="111" t="s">
        <v>10</v>
      </c>
      <c r="J46" s="111" t="s">
        <v>96</v>
      </c>
      <c r="K46" s="111" t="s">
        <v>12</v>
      </c>
      <c r="L46" s="111" t="s">
        <v>13</v>
      </c>
      <c r="M46" s="111" t="s">
        <v>14</v>
      </c>
      <c r="P46" s="48"/>
      <c r="Q46" s="78"/>
    </row>
    <row r="47" spans="1:17" x14ac:dyDescent="0.2">
      <c r="A47" s="112" t="s">
        <v>240</v>
      </c>
      <c r="B47" s="80">
        <f>ROUND(B17/Datos!$C$7,0)</f>
        <v>21</v>
      </c>
      <c r="C47" s="80">
        <f>ROUND(C17/Datos!$C$7,0)</f>
        <v>22</v>
      </c>
      <c r="D47" s="80">
        <f>ROUND(D17/Datos!$C$7,0)</f>
        <v>22</v>
      </c>
      <c r="E47" s="80">
        <f>ROUND(E17/Datos!$C$7,0)</f>
        <v>23</v>
      </c>
      <c r="F47" s="80">
        <f>ROUND(F17/Datos!$C$7,0)</f>
        <v>23</v>
      </c>
      <c r="G47" s="80">
        <f>ROUND(G17/Datos!$C$7,0)</f>
        <v>22</v>
      </c>
      <c r="H47" s="80">
        <f>ROUND(H17/Datos!$C$7,0)</f>
        <v>28</v>
      </c>
      <c r="I47" s="80">
        <f>ROUND(I17/Datos!$C$7,0)</f>
        <v>27</v>
      </c>
      <c r="J47" s="80">
        <f>ROUND(J17/Datos!$C$7,0)</f>
        <v>27</v>
      </c>
      <c r="K47" s="80">
        <f>ROUND(K17/Datos!$C$7,0)</f>
        <v>24</v>
      </c>
      <c r="L47" s="80">
        <f>ROUND(L17/Datos!$C$7,0)</f>
        <v>23</v>
      </c>
      <c r="M47" s="80">
        <f>ROUND(M17/Datos!$C$7,0)</f>
        <v>20</v>
      </c>
      <c r="N47" s="11"/>
      <c r="P47" s="48"/>
      <c r="Q47" s="78"/>
    </row>
    <row r="48" spans="1:17" x14ac:dyDescent="0.2">
      <c r="A48" s="112" t="s">
        <v>238</v>
      </c>
      <c r="B48" s="80">
        <v>1</v>
      </c>
      <c r="C48" s="80">
        <f>B48</f>
        <v>1</v>
      </c>
      <c r="D48" s="101">
        <f t="shared" ref="D48:M48" si="16">C48</f>
        <v>1</v>
      </c>
      <c r="E48" s="101">
        <f t="shared" si="16"/>
        <v>1</v>
      </c>
      <c r="F48" s="101">
        <f t="shared" si="16"/>
        <v>1</v>
      </c>
      <c r="G48" s="101">
        <f t="shared" si="16"/>
        <v>1</v>
      </c>
      <c r="H48" s="101">
        <f t="shared" si="16"/>
        <v>1</v>
      </c>
      <c r="I48" s="101">
        <f t="shared" si="16"/>
        <v>1</v>
      </c>
      <c r="J48" s="101">
        <f t="shared" si="16"/>
        <v>1</v>
      </c>
      <c r="K48" s="101">
        <f t="shared" si="16"/>
        <v>1</v>
      </c>
      <c r="L48" s="101">
        <f t="shared" si="16"/>
        <v>1</v>
      </c>
      <c r="M48" s="101">
        <f t="shared" si="16"/>
        <v>1</v>
      </c>
      <c r="N48" s="11"/>
      <c r="P48" s="48"/>
      <c r="Q48" s="78"/>
    </row>
    <row r="49" spans="1:17" x14ac:dyDescent="0.2">
      <c r="A49" s="112" t="s">
        <v>263</v>
      </c>
      <c r="B49" s="80">
        <f>B48*Datos!$C$6*Datos!$C$2</f>
        <v>88</v>
      </c>
      <c r="C49" s="80">
        <f>C48*Datos!$C$6*Datos!$C$2</f>
        <v>88</v>
      </c>
      <c r="D49" s="80">
        <f>D48*Datos!$C$6*Datos!$C$2</f>
        <v>88</v>
      </c>
      <c r="E49" s="80">
        <f>E48*Datos!$C$6*Datos!$C$2</f>
        <v>88</v>
      </c>
      <c r="F49" s="80">
        <f>F48*Datos!$C$6*Datos!$C$2</f>
        <v>88</v>
      </c>
      <c r="G49" s="80">
        <f>G48*Datos!$C$6*Datos!$C$2</f>
        <v>88</v>
      </c>
      <c r="H49" s="80">
        <f>H48*Datos!$C$6*Datos!$C$2</f>
        <v>88</v>
      </c>
      <c r="I49" s="80">
        <f>I48*Datos!$C$6*Datos!$C$2</f>
        <v>88</v>
      </c>
      <c r="J49" s="80">
        <f>J48*Datos!$C$6*Datos!$C$2</f>
        <v>88</v>
      </c>
      <c r="K49" s="80">
        <f>K48*Datos!$C$6*Datos!$C$2</f>
        <v>88</v>
      </c>
      <c r="L49" s="80">
        <f>L48*Datos!$C$6*Datos!$C$2</f>
        <v>88</v>
      </c>
      <c r="M49" s="80">
        <f>M48*Datos!$C$6*Datos!$C$2</f>
        <v>88</v>
      </c>
      <c r="N49" s="11"/>
      <c r="P49" s="48"/>
      <c r="Q49" s="80"/>
    </row>
    <row r="50" spans="1:17" x14ac:dyDescent="0.2">
      <c r="A50" s="112" t="s">
        <v>264</v>
      </c>
      <c r="B50" s="80">
        <f>B47*Datos!$C$6</f>
        <v>84</v>
      </c>
      <c r="C50" s="80">
        <f>C47*Datos!$C$6</f>
        <v>88</v>
      </c>
      <c r="D50" s="80">
        <f>D47*Datos!$C$6</f>
        <v>88</v>
      </c>
      <c r="E50" s="80">
        <f>E47*Datos!$C$6</f>
        <v>92</v>
      </c>
      <c r="F50" s="80">
        <f>F47*Datos!$C$6</f>
        <v>92</v>
      </c>
      <c r="G50" s="80">
        <f>G47*Datos!$C$6</f>
        <v>88</v>
      </c>
      <c r="H50" s="80">
        <f>H47*Datos!$C$6</f>
        <v>112</v>
      </c>
      <c r="I50" s="80">
        <f>I47*Datos!$C$6</f>
        <v>108</v>
      </c>
      <c r="J50" s="80">
        <f>J47*Datos!$C$6</f>
        <v>108</v>
      </c>
      <c r="K50" s="80">
        <f>K47*Datos!$C$6</f>
        <v>96</v>
      </c>
      <c r="L50" s="80">
        <f>L47*Datos!$C$6</f>
        <v>92</v>
      </c>
      <c r="M50" s="80">
        <f>M47*Datos!$C$6</f>
        <v>80</v>
      </c>
      <c r="N50" s="11"/>
      <c r="P50" s="48"/>
      <c r="Q50" s="80"/>
    </row>
    <row r="51" spans="1:17" x14ac:dyDescent="0.2">
      <c r="A51" s="113" t="s">
        <v>261</v>
      </c>
      <c r="B51" s="81">
        <f>IF(B49-B50&lt;0,B50-B49,0)</f>
        <v>0</v>
      </c>
      <c r="C51" s="81">
        <f t="shared" ref="C51:M51" si="17">IF(C49-C50&lt;0,C50-C49,0)</f>
        <v>0</v>
      </c>
      <c r="D51" s="81">
        <f t="shared" si="17"/>
        <v>0</v>
      </c>
      <c r="E51" s="81">
        <f t="shared" si="17"/>
        <v>4</v>
      </c>
      <c r="F51" s="81">
        <f t="shared" si="17"/>
        <v>4</v>
      </c>
      <c r="G51" s="81">
        <f t="shared" si="17"/>
        <v>0</v>
      </c>
      <c r="H51" s="81">
        <f t="shared" si="17"/>
        <v>24</v>
      </c>
      <c r="I51" s="81">
        <f t="shared" si="17"/>
        <v>20</v>
      </c>
      <c r="J51" s="81">
        <f t="shared" si="17"/>
        <v>20</v>
      </c>
      <c r="K51" s="81">
        <f t="shared" si="17"/>
        <v>8</v>
      </c>
      <c r="L51" s="81">
        <f t="shared" si="17"/>
        <v>4</v>
      </c>
      <c r="M51" s="81">
        <f t="shared" si="17"/>
        <v>0</v>
      </c>
      <c r="N51" s="11"/>
      <c r="P51" s="48"/>
      <c r="Q51" s="78"/>
    </row>
    <row r="52" spans="1:17" x14ac:dyDescent="0.2">
      <c r="A52" s="113" t="s">
        <v>262</v>
      </c>
      <c r="B52" s="81">
        <f>IF(B49-B50&gt;0,B49-B50,0)</f>
        <v>4</v>
      </c>
      <c r="C52" s="81">
        <f t="shared" ref="C52:M52" si="18">IF(C49-C50&gt;0,C49-C50,0)</f>
        <v>0</v>
      </c>
      <c r="D52" s="81">
        <f t="shared" si="18"/>
        <v>0</v>
      </c>
      <c r="E52" s="81">
        <f t="shared" si="18"/>
        <v>0</v>
      </c>
      <c r="F52" s="81">
        <f t="shared" si="18"/>
        <v>0</v>
      </c>
      <c r="G52" s="81">
        <f t="shared" si="18"/>
        <v>0</v>
      </c>
      <c r="H52" s="81">
        <f t="shared" si="18"/>
        <v>0</v>
      </c>
      <c r="I52" s="81">
        <f t="shared" si="18"/>
        <v>0</v>
      </c>
      <c r="J52" s="81">
        <f t="shared" si="18"/>
        <v>0</v>
      </c>
      <c r="K52" s="81">
        <f t="shared" si="18"/>
        <v>0</v>
      </c>
      <c r="L52" s="81">
        <f t="shared" si="18"/>
        <v>0</v>
      </c>
      <c r="M52" s="81">
        <f t="shared" si="18"/>
        <v>8</v>
      </c>
      <c r="P52" s="48"/>
      <c r="Q52" s="80"/>
    </row>
    <row r="53" spans="1:17" x14ac:dyDescent="0.2">
      <c r="A53" s="112" t="s">
        <v>274</v>
      </c>
      <c r="B53" s="229">
        <f>B49*Datos!$C$8</f>
        <v>2992</v>
      </c>
      <c r="C53" s="229">
        <f>C49*Datos!$C$8</f>
        <v>2992</v>
      </c>
      <c r="D53" s="229">
        <f>D49*Datos!$C$8</f>
        <v>2992</v>
      </c>
      <c r="E53" s="229">
        <f>E49*Datos!$C$8</f>
        <v>2992</v>
      </c>
      <c r="F53" s="229">
        <f>F49*Datos!$C$8</f>
        <v>2992</v>
      </c>
      <c r="G53" s="229">
        <f>G49*Datos!$C$8</f>
        <v>2992</v>
      </c>
      <c r="H53" s="229">
        <f>H49*Datos!$C$8</f>
        <v>2992</v>
      </c>
      <c r="I53" s="229">
        <f>I49*Datos!$C$8</f>
        <v>2992</v>
      </c>
      <c r="J53" s="229">
        <f>J49*Datos!$C$8</f>
        <v>2992</v>
      </c>
      <c r="K53" s="229">
        <f>K49*Datos!$C$8</f>
        <v>2992</v>
      </c>
      <c r="L53" s="229">
        <f>L49*Datos!$C$8</f>
        <v>2992</v>
      </c>
      <c r="M53" s="229">
        <f>M49*Datos!$C$8</f>
        <v>2992</v>
      </c>
      <c r="P53" s="48"/>
      <c r="Q53" s="101"/>
    </row>
    <row r="54" spans="1:17" x14ac:dyDescent="0.2">
      <c r="A54" s="113" t="s">
        <v>272</v>
      </c>
      <c r="B54" s="229">
        <f>B51*Datos!$C$8*1.5</f>
        <v>0</v>
      </c>
      <c r="C54" s="229">
        <f>C51*Datos!$C$8*1.5</f>
        <v>0</v>
      </c>
      <c r="D54" s="229">
        <f>D51*Datos!$C$8*1.5</f>
        <v>0</v>
      </c>
      <c r="E54" s="229">
        <f>E51*Datos!$C$8*1.5</f>
        <v>204</v>
      </c>
      <c r="F54" s="229">
        <f>F51*Datos!$C$8*1.5</f>
        <v>204</v>
      </c>
      <c r="G54" s="229">
        <f>G51*Datos!$C$8*1.5</f>
        <v>0</v>
      </c>
      <c r="H54" s="229">
        <f>H51*Datos!$C$8*1.5</f>
        <v>1224</v>
      </c>
      <c r="I54" s="229">
        <f>I51*Datos!$C$8*1.5</f>
        <v>1020</v>
      </c>
      <c r="J54" s="229">
        <f>J51*Datos!$C$8*1.5</f>
        <v>1020</v>
      </c>
      <c r="K54" s="229">
        <f>K51*Datos!$C$8*1.5</f>
        <v>408</v>
      </c>
      <c r="L54" s="229">
        <f>L51*Datos!$C$8*1.5</f>
        <v>204</v>
      </c>
      <c r="M54" s="229">
        <f>M51*Datos!$C$8*1.5</f>
        <v>0</v>
      </c>
      <c r="P54" s="48"/>
      <c r="Q54" s="101"/>
    </row>
    <row r="55" spans="1:17" x14ac:dyDescent="0.2">
      <c r="A55" s="112" t="s">
        <v>273</v>
      </c>
      <c r="B55" s="229">
        <f>B53+B54</f>
        <v>2992</v>
      </c>
      <c r="C55" s="229">
        <f t="shared" ref="C55:M55" si="19">C53+C54</f>
        <v>2992</v>
      </c>
      <c r="D55" s="229">
        <f t="shared" si="19"/>
        <v>2992</v>
      </c>
      <c r="E55" s="229">
        <f t="shared" si="19"/>
        <v>3196</v>
      </c>
      <c r="F55" s="229">
        <f t="shared" si="19"/>
        <v>3196</v>
      </c>
      <c r="G55" s="229">
        <f t="shared" si="19"/>
        <v>2992</v>
      </c>
      <c r="H55" s="229">
        <f t="shared" si="19"/>
        <v>4216</v>
      </c>
      <c r="I55" s="229">
        <f t="shared" si="19"/>
        <v>4012</v>
      </c>
      <c r="J55" s="229">
        <f t="shared" si="19"/>
        <v>4012</v>
      </c>
      <c r="K55" s="229">
        <f t="shared" si="19"/>
        <v>3400</v>
      </c>
      <c r="L55" s="229">
        <f t="shared" si="19"/>
        <v>3196</v>
      </c>
      <c r="M55" s="229">
        <f t="shared" si="19"/>
        <v>2992</v>
      </c>
      <c r="P55" s="48"/>
      <c r="Q55" s="101"/>
    </row>
    <row r="56" spans="1:17" x14ac:dyDescent="0.2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P56" s="48"/>
      <c r="Q56" s="80"/>
    </row>
    <row r="57" spans="1:17" x14ac:dyDescent="0.2">
      <c r="A57" s="112" t="s">
        <v>241</v>
      </c>
      <c r="B57" s="81">
        <f>ROUND(B17/Datos!$C$11,0)</f>
        <v>26</v>
      </c>
      <c r="C57" s="81">
        <f>ROUND(C17/Datos!$C$11,0)</f>
        <v>27</v>
      </c>
      <c r="D57" s="81">
        <f>ROUND(D17/Datos!$C$11,0)</f>
        <v>27</v>
      </c>
      <c r="E57" s="81">
        <f>ROUND(E17/Datos!$C$11,0)</f>
        <v>29</v>
      </c>
      <c r="F57" s="81">
        <f>ROUND(F17/Datos!$C$11,0)</f>
        <v>29</v>
      </c>
      <c r="G57" s="81">
        <f>ROUND(G17/Datos!$C$11,0)</f>
        <v>28</v>
      </c>
      <c r="H57" s="81">
        <f>ROUND(H17/Datos!$C$11,0)</f>
        <v>35</v>
      </c>
      <c r="I57" s="81">
        <f>ROUND(I17/Datos!$C$11,0)</f>
        <v>34</v>
      </c>
      <c r="J57" s="81">
        <f>ROUND(J17/Datos!$C$11,0)</f>
        <v>34</v>
      </c>
      <c r="K57" s="81">
        <f>ROUND(K17/Datos!$C$11,0)</f>
        <v>30</v>
      </c>
      <c r="L57" s="81">
        <f>ROUND(L17/Datos!$C$11,0)</f>
        <v>29</v>
      </c>
      <c r="M57" s="81">
        <f>ROUND(M17/Datos!$C$11,0)</f>
        <v>25</v>
      </c>
      <c r="P57" s="48"/>
      <c r="Q57" s="78"/>
    </row>
    <row r="58" spans="1:17" x14ac:dyDescent="0.2">
      <c r="A58" s="112" t="s">
        <v>239</v>
      </c>
      <c r="B58" s="81">
        <v>1</v>
      </c>
      <c r="C58" s="81">
        <f>B58</f>
        <v>1</v>
      </c>
      <c r="D58" s="81">
        <f t="shared" ref="D58:M58" si="20">C58</f>
        <v>1</v>
      </c>
      <c r="E58" s="81">
        <f t="shared" si="20"/>
        <v>1</v>
      </c>
      <c r="F58" s="81">
        <f t="shared" si="20"/>
        <v>1</v>
      </c>
      <c r="G58" s="81">
        <f t="shared" si="20"/>
        <v>1</v>
      </c>
      <c r="H58" s="81">
        <f t="shared" si="20"/>
        <v>1</v>
      </c>
      <c r="I58" s="81">
        <f t="shared" si="20"/>
        <v>1</v>
      </c>
      <c r="J58" s="81">
        <f t="shared" si="20"/>
        <v>1</v>
      </c>
      <c r="K58" s="81">
        <f t="shared" si="20"/>
        <v>1</v>
      </c>
      <c r="L58" s="81">
        <f t="shared" si="20"/>
        <v>1</v>
      </c>
      <c r="M58" s="81">
        <f t="shared" si="20"/>
        <v>1</v>
      </c>
      <c r="N58" s="64"/>
      <c r="P58" s="48"/>
      <c r="Q58" s="78"/>
    </row>
    <row r="59" spans="1:17" x14ac:dyDescent="0.2">
      <c r="A59" s="112" t="s">
        <v>263</v>
      </c>
      <c r="B59" s="80">
        <f>B58*Datos!$C$10*Datos!$C$2</f>
        <v>88</v>
      </c>
      <c r="C59" s="80">
        <f>C58*Datos!$C$6*Datos!$C$2</f>
        <v>88</v>
      </c>
      <c r="D59" s="80">
        <f>D58*Datos!$C$6*Datos!$C$2</f>
        <v>88</v>
      </c>
      <c r="E59" s="80">
        <f>E58*Datos!$C$6*Datos!$C$2</f>
        <v>88</v>
      </c>
      <c r="F59" s="80">
        <f>F58*Datos!$C$6*Datos!$C$2</f>
        <v>88</v>
      </c>
      <c r="G59" s="80">
        <f>G58*Datos!$C$6*Datos!$C$2</f>
        <v>88</v>
      </c>
      <c r="H59" s="80">
        <f>H58*Datos!$C$6*Datos!$C$2</f>
        <v>88</v>
      </c>
      <c r="I59" s="80">
        <f>I58*Datos!$C$6*Datos!$C$2</f>
        <v>88</v>
      </c>
      <c r="J59" s="80">
        <f>J58*Datos!$C$6*Datos!$C$2</f>
        <v>88</v>
      </c>
      <c r="K59" s="80">
        <f>K58*Datos!$C$6*Datos!$C$2</f>
        <v>88</v>
      </c>
      <c r="L59" s="80">
        <f>L58*Datos!$C$6*Datos!$C$2</f>
        <v>88</v>
      </c>
      <c r="M59" s="80">
        <f>M58*Datos!$C$6*Datos!$C$2</f>
        <v>88</v>
      </c>
      <c r="P59" s="48"/>
      <c r="Q59" s="80"/>
    </row>
    <row r="60" spans="1:17" x14ac:dyDescent="0.2">
      <c r="A60" s="112" t="s">
        <v>264</v>
      </c>
      <c r="B60" s="80">
        <f>B57*Datos!$C$10</f>
        <v>104</v>
      </c>
      <c r="C60" s="80">
        <f>C57*Datos!$C$6</f>
        <v>108</v>
      </c>
      <c r="D60" s="80">
        <f>D57*Datos!$C$6</f>
        <v>108</v>
      </c>
      <c r="E60" s="80">
        <f>E57*Datos!$C$6</f>
        <v>116</v>
      </c>
      <c r="F60" s="80">
        <f>F57*Datos!$C$6</f>
        <v>116</v>
      </c>
      <c r="G60" s="80">
        <f>G57*Datos!$C$6</f>
        <v>112</v>
      </c>
      <c r="H60" s="80">
        <f>H57*Datos!$C$6</f>
        <v>140</v>
      </c>
      <c r="I60" s="80">
        <f>I57*Datos!$C$6</f>
        <v>136</v>
      </c>
      <c r="J60" s="80">
        <f>J57*Datos!$C$6</f>
        <v>136</v>
      </c>
      <c r="K60" s="80">
        <f>K57*Datos!$C$6</f>
        <v>120</v>
      </c>
      <c r="L60" s="80">
        <f>L57*Datos!$C$6</f>
        <v>116</v>
      </c>
      <c r="M60" s="80">
        <f>M57*Datos!$C$6</f>
        <v>100</v>
      </c>
      <c r="P60" s="48"/>
      <c r="Q60" s="80"/>
    </row>
    <row r="61" spans="1:17" x14ac:dyDescent="0.2">
      <c r="A61" s="113" t="s">
        <v>261</v>
      </c>
      <c r="B61" s="81">
        <f>IF(B59-B60&lt;0,B60-B59,0)</f>
        <v>16</v>
      </c>
      <c r="C61" s="81">
        <f t="shared" ref="C61" si="21">IF(C59-C60&lt;0,C60-C59,0)</f>
        <v>20</v>
      </c>
      <c r="D61" s="81">
        <f t="shared" ref="D61" si="22">IF(D59-D60&lt;0,D60-D59,0)</f>
        <v>20</v>
      </c>
      <c r="E61" s="81">
        <f t="shared" ref="E61" si="23">IF(E59-E60&lt;0,E60-E59,0)</f>
        <v>28</v>
      </c>
      <c r="F61" s="81">
        <f t="shared" ref="F61" si="24">IF(F59-F60&lt;0,F60-F59,0)</f>
        <v>28</v>
      </c>
      <c r="G61" s="81">
        <f t="shared" ref="G61" si="25">IF(G59-G60&lt;0,G60-G59,0)</f>
        <v>24</v>
      </c>
      <c r="H61" s="81">
        <f t="shared" ref="H61" si="26">IF(H59-H60&lt;0,H60-H59,0)</f>
        <v>52</v>
      </c>
      <c r="I61" s="81">
        <f t="shared" ref="I61" si="27">IF(I59-I60&lt;0,I60-I59,0)</f>
        <v>48</v>
      </c>
      <c r="J61" s="81">
        <f t="shared" ref="J61" si="28">IF(J59-J60&lt;0,J60-J59,0)</f>
        <v>48</v>
      </c>
      <c r="K61" s="81">
        <f t="shared" ref="K61" si="29">IF(K59-K60&lt;0,K60-K59,0)</f>
        <v>32</v>
      </c>
      <c r="L61" s="81">
        <f t="shared" ref="L61" si="30">IF(L59-L60&lt;0,L60-L59,0)</f>
        <v>28</v>
      </c>
      <c r="M61" s="81">
        <f t="shared" ref="M61" si="31">IF(M59-M60&lt;0,M60-M59,0)</f>
        <v>12</v>
      </c>
      <c r="P61" s="48"/>
      <c r="Q61" s="78"/>
    </row>
    <row r="62" spans="1:17" x14ac:dyDescent="0.2">
      <c r="A62" s="113" t="s">
        <v>262</v>
      </c>
      <c r="B62" s="81">
        <f>IF(B59-B60&gt;0,B59-B60,0)</f>
        <v>0</v>
      </c>
      <c r="C62" s="81">
        <f t="shared" ref="C62:M62" si="32">IF(C59-C60&gt;0,C59-C60,0)</f>
        <v>0</v>
      </c>
      <c r="D62" s="81">
        <f t="shared" si="32"/>
        <v>0</v>
      </c>
      <c r="E62" s="81">
        <f t="shared" si="32"/>
        <v>0</v>
      </c>
      <c r="F62" s="81">
        <f t="shared" si="32"/>
        <v>0</v>
      </c>
      <c r="G62" s="81">
        <f t="shared" si="32"/>
        <v>0</v>
      </c>
      <c r="H62" s="81">
        <f t="shared" si="32"/>
        <v>0</v>
      </c>
      <c r="I62" s="81">
        <f t="shared" si="32"/>
        <v>0</v>
      </c>
      <c r="J62" s="81">
        <f t="shared" si="32"/>
        <v>0</v>
      </c>
      <c r="K62" s="81">
        <f t="shared" si="32"/>
        <v>0</v>
      </c>
      <c r="L62" s="81">
        <f t="shared" si="32"/>
        <v>0</v>
      </c>
      <c r="M62" s="81">
        <f t="shared" si="32"/>
        <v>0</v>
      </c>
      <c r="P62" s="48"/>
      <c r="Q62" s="80"/>
    </row>
    <row r="63" spans="1:17" x14ac:dyDescent="0.2">
      <c r="A63" s="112" t="s">
        <v>274</v>
      </c>
      <c r="B63" s="229">
        <f>B59*Datos!$C$12</f>
        <v>2464</v>
      </c>
      <c r="C63" s="229">
        <f>C59*Datos!$C$12</f>
        <v>2464</v>
      </c>
      <c r="D63" s="229">
        <f>D59*Datos!$C$12</f>
        <v>2464</v>
      </c>
      <c r="E63" s="229">
        <f>E59*Datos!$C$12</f>
        <v>2464</v>
      </c>
      <c r="F63" s="229">
        <f>F59*Datos!$C$12</f>
        <v>2464</v>
      </c>
      <c r="G63" s="229">
        <f>G59*Datos!$C$12</f>
        <v>2464</v>
      </c>
      <c r="H63" s="229">
        <f>H59*Datos!$C$12</f>
        <v>2464</v>
      </c>
      <c r="I63" s="229">
        <f>I59*Datos!$C$12</f>
        <v>2464</v>
      </c>
      <c r="J63" s="229">
        <f>J59*Datos!$C$12</f>
        <v>2464</v>
      </c>
      <c r="K63" s="229">
        <f>K59*Datos!$C$12</f>
        <v>2464</v>
      </c>
      <c r="L63" s="229">
        <f>L59*Datos!$C$12</f>
        <v>2464</v>
      </c>
      <c r="M63" s="229">
        <f>M59*Datos!$C$12</f>
        <v>2464</v>
      </c>
      <c r="P63" s="48"/>
      <c r="Q63" s="101"/>
    </row>
    <row r="64" spans="1:17" x14ac:dyDescent="0.2">
      <c r="A64" s="113" t="s">
        <v>272</v>
      </c>
      <c r="B64" s="229">
        <f>B61*Datos!$C$12*1.5</f>
        <v>672</v>
      </c>
      <c r="C64" s="229">
        <f>C61*Datos!$C$12*1.5</f>
        <v>840</v>
      </c>
      <c r="D64" s="229">
        <f>D61*Datos!$C$12*1.5</f>
        <v>840</v>
      </c>
      <c r="E64" s="229">
        <f>E61*Datos!$C$12*1.5</f>
        <v>1176</v>
      </c>
      <c r="F64" s="229">
        <f>F61*Datos!$C$12*1.5</f>
        <v>1176</v>
      </c>
      <c r="G64" s="229">
        <f>G61*Datos!$C$12*1.5</f>
        <v>1008</v>
      </c>
      <c r="H64" s="229">
        <f>H61*Datos!$C$12*1.5</f>
        <v>2184</v>
      </c>
      <c r="I64" s="229">
        <f>I61*Datos!$C$12*1.5</f>
        <v>2016</v>
      </c>
      <c r="J64" s="229">
        <f>J61*Datos!$C$12*1.5</f>
        <v>2016</v>
      </c>
      <c r="K64" s="229">
        <f>K61*Datos!$C$12*1.5</f>
        <v>1344</v>
      </c>
      <c r="L64" s="229">
        <f>L61*Datos!$C$12*1.5</f>
        <v>1176</v>
      </c>
      <c r="M64" s="229">
        <f>M61*Datos!$C$12*1.5</f>
        <v>504</v>
      </c>
      <c r="P64" s="48"/>
      <c r="Q64" s="101"/>
    </row>
    <row r="65" spans="1:17" x14ac:dyDescent="0.2">
      <c r="A65" s="112" t="s">
        <v>273</v>
      </c>
      <c r="B65" s="229">
        <f>B63+B64</f>
        <v>3136</v>
      </c>
      <c r="C65" s="229">
        <f t="shared" ref="C65" si="33">C63+C64</f>
        <v>3304</v>
      </c>
      <c r="D65" s="229">
        <f t="shared" ref="D65" si="34">D63+D64</f>
        <v>3304</v>
      </c>
      <c r="E65" s="229">
        <f t="shared" ref="E65" si="35">E63+E64</f>
        <v>3640</v>
      </c>
      <c r="F65" s="229">
        <f t="shared" ref="F65" si="36">F63+F64</f>
        <v>3640</v>
      </c>
      <c r="G65" s="229">
        <f t="shared" ref="G65" si="37">G63+G64</f>
        <v>3472</v>
      </c>
      <c r="H65" s="229">
        <f t="shared" ref="H65" si="38">H63+H64</f>
        <v>4648</v>
      </c>
      <c r="I65" s="229">
        <f t="shared" ref="I65" si="39">I63+I64</f>
        <v>4480</v>
      </c>
      <c r="J65" s="229">
        <f t="shared" ref="J65" si="40">J63+J64</f>
        <v>4480</v>
      </c>
      <c r="K65" s="229">
        <f t="shared" ref="K65" si="41">K63+K64</f>
        <v>3808</v>
      </c>
      <c r="L65" s="229">
        <f t="shared" ref="L65" si="42">L63+L64</f>
        <v>3640</v>
      </c>
      <c r="M65" s="229">
        <f t="shared" ref="M65" si="43">M63+M64</f>
        <v>2968</v>
      </c>
      <c r="P65" s="48"/>
      <c r="Q65" s="101"/>
    </row>
    <row r="66" spans="1:17" x14ac:dyDescent="0.2">
      <c r="B66" s="27"/>
      <c r="P66" s="48" t="s">
        <v>100</v>
      </c>
      <c r="Q66" s="78">
        <v>110</v>
      </c>
    </row>
    <row r="67" spans="1:17" x14ac:dyDescent="0.2">
      <c r="B67" s="27"/>
      <c r="P67" s="48" t="s">
        <v>101</v>
      </c>
      <c r="Q67" s="78">
        <v>90</v>
      </c>
    </row>
    <row r="68" spans="1:17" x14ac:dyDescent="0.2">
      <c r="A68" s="112" t="s">
        <v>244</v>
      </c>
      <c r="B68" s="80">
        <f>ROUNDUP(B22/Datos!$C$16,0)</f>
        <v>5</v>
      </c>
      <c r="C68" s="80">
        <f>ROUNDUP(C22/Datos!$C$16,0)</f>
        <v>7</v>
      </c>
      <c r="D68" s="80">
        <f>ROUNDUP(D22/Datos!$C$16,0)</f>
        <v>8</v>
      </c>
      <c r="E68" s="80">
        <f>ROUNDUP(E22/Datos!$C$16,0)</f>
        <v>6</v>
      </c>
      <c r="F68" s="80">
        <f>ROUNDUP(F22/Datos!$C$16,0)</f>
        <v>7</v>
      </c>
      <c r="G68" s="80">
        <f>ROUNDUP(G22/Datos!$C$16,0)</f>
        <v>7</v>
      </c>
      <c r="H68" s="80">
        <f>ROUNDUP(H22/Datos!$C$16,0)</f>
        <v>7</v>
      </c>
      <c r="I68" s="80">
        <f>ROUNDUP(I22/Datos!$C$16,0)</f>
        <v>10</v>
      </c>
      <c r="J68" s="80">
        <f>ROUNDUP(J22/Datos!$C$16,0)</f>
        <v>10</v>
      </c>
      <c r="K68" s="80">
        <f>ROUNDUP(K22/Datos!$C$16,0)</f>
        <v>9</v>
      </c>
      <c r="L68" s="80">
        <f>ROUNDUP(L22/Datos!$C$16,0)</f>
        <v>6</v>
      </c>
      <c r="M68" s="80">
        <f>ROUNDUP(M22/Datos!$C$16,0)</f>
        <v>6</v>
      </c>
    </row>
    <row r="69" spans="1:17" x14ac:dyDescent="0.2">
      <c r="A69" s="112" t="s">
        <v>242</v>
      </c>
      <c r="B69" s="80">
        <v>0</v>
      </c>
      <c r="C69" s="80">
        <f>B69</f>
        <v>0</v>
      </c>
      <c r="D69" s="101">
        <f t="shared" ref="D69:M69" si="44">C69</f>
        <v>0</v>
      </c>
      <c r="E69" s="101">
        <f t="shared" si="44"/>
        <v>0</v>
      </c>
      <c r="F69" s="101">
        <f t="shared" si="44"/>
        <v>0</v>
      </c>
      <c r="G69" s="101">
        <f t="shared" si="44"/>
        <v>0</v>
      </c>
      <c r="H69" s="101">
        <f t="shared" si="44"/>
        <v>0</v>
      </c>
      <c r="I69" s="101">
        <f t="shared" si="44"/>
        <v>0</v>
      </c>
      <c r="J69" s="101">
        <f t="shared" si="44"/>
        <v>0</v>
      </c>
      <c r="K69" s="101">
        <f t="shared" si="44"/>
        <v>0</v>
      </c>
      <c r="L69" s="101">
        <f t="shared" si="44"/>
        <v>0</v>
      </c>
      <c r="M69" s="101">
        <f t="shared" si="44"/>
        <v>0</v>
      </c>
    </row>
    <row r="70" spans="1:17" x14ac:dyDescent="0.2">
      <c r="A70" s="112" t="s">
        <v>263</v>
      </c>
      <c r="B70" s="80">
        <f>B69*Datos!$C$15*Datos!$C$2</f>
        <v>0</v>
      </c>
      <c r="C70" s="80">
        <f>C69*Datos!$C$15*Datos!$C$2</f>
        <v>0</v>
      </c>
      <c r="D70" s="80">
        <f>D69*Datos!$C$15*Datos!$C$2</f>
        <v>0</v>
      </c>
      <c r="E70" s="80">
        <f>E69*Datos!$C$15*Datos!$C$2</f>
        <v>0</v>
      </c>
      <c r="F70" s="80">
        <f>F69*Datos!$C$15*Datos!$C$2</f>
        <v>0</v>
      </c>
      <c r="G70" s="80">
        <f>G69*Datos!$C$15*Datos!$C$2</f>
        <v>0</v>
      </c>
      <c r="H70" s="80">
        <f>H69*Datos!$C$15*Datos!$C$2</f>
        <v>0</v>
      </c>
      <c r="I70" s="80">
        <f>I69*Datos!$C$15*Datos!$C$2</f>
        <v>0</v>
      </c>
      <c r="J70" s="80">
        <f>J69*Datos!$C$15*Datos!$C$2</f>
        <v>0</v>
      </c>
      <c r="K70" s="80">
        <f>K69*Datos!$C$15*Datos!$C$2</f>
        <v>0</v>
      </c>
      <c r="L70" s="80">
        <f>L69*Datos!$C$15*Datos!$C$2</f>
        <v>0</v>
      </c>
      <c r="M70" s="80">
        <f>M69*Datos!$C$15*Datos!$C$2</f>
        <v>0</v>
      </c>
    </row>
    <row r="71" spans="1:17" x14ac:dyDescent="0.2">
      <c r="A71" s="112" t="s">
        <v>264</v>
      </c>
      <c r="B71" s="80">
        <f>B68*Datos!$C$15</f>
        <v>15</v>
      </c>
      <c r="C71" s="80">
        <f>C68*Datos!$C$15</f>
        <v>21</v>
      </c>
      <c r="D71" s="80">
        <f>D68*Datos!$C$15</f>
        <v>24</v>
      </c>
      <c r="E71" s="80">
        <f>E68*Datos!$C$15</f>
        <v>18</v>
      </c>
      <c r="F71" s="80">
        <f>F68*Datos!$C$15</f>
        <v>21</v>
      </c>
      <c r="G71" s="80">
        <f>G68*Datos!$C$15</f>
        <v>21</v>
      </c>
      <c r="H71" s="80">
        <f>H68*Datos!$C$15</f>
        <v>21</v>
      </c>
      <c r="I71" s="80">
        <f>I68*Datos!$C$15</f>
        <v>30</v>
      </c>
      <c r="J71" s="80">
        <f>J68*Datos!$C$15</f>
        <v>30</v>
      </c>
      <c r="K71" s="80">
        <f>K68*Datos!$C$15</f>
        <v>27</v>
      </c>
      <c r="L71" s="80">
        <f>L68*Datos!$C$15</f>
        <v>18</v>
      </c>
      <c r="M71" s="80">
        <f>M68*Datos!$C$15</f>
        <v>18</v>
      </c>
    </row>
    <row r="72" spans="1:17" x14ac:dyDescent="0.2">
      <c r="A72" s="113" t="s">
        <v>261</v>
      </c>
      <c r="B72" s="81">
        <f>IF(B70-B71&lt;0,B71-B70,0)</f>
        <v>15</v>
      </c>
      <c r="C72" s="81">
        <f t="shared" ref="C72" si="45">IF(C70-C71&lt;0,C71-C70,0)</f>
        <v>21</v>
      </c>
      <c r="D72" s="81">
        <f t="shared" ref="D72" si="46">IF(D70-D71&lt;0,D71-D70,0)</f>
        <v>24</v>
      </c>
      <c r="E72" s="81">
        <f t="shared" ref="E72" si="47">IF(E70-E71&lt;0,E71-E70,0)</f>
        <v>18</v>
      </c>
      <c r="F72" s="81">
        <f t="shared" ref="F72" si="48">IF(F70-F71&lt;0,F71-F70,0)</f>
        <v>21</v>
      </c>
      <c r="G72" s="81">
        <f t="shared" ref="G72" si="49">IF(G70-G71&lt;0,G71-G70,0)</f>
        <v>21</v>
      </c>
      <c r="H72" s="81">
        <f t="shared" ref="H72" si="50">IF(H70-H71&lt;0,H71-H70,0)</f>
        <v>21</v>
      </c>
      <c r="I72" s="81">
        <f t="shared" ref="I72" si="51">IF(I70-I71&lt;0,I71-I70,0)</f>
        <v>30</v>
      </c>
      <c r="J72" s="81">
        <f t="shared" ref="J72" si="52">IF(J70-J71&lt;0,J71-J70,0)</f>
        <v>30</v>
      </c>
      <c r="K72" s="81">
        <f t="shared" ref="K72" si="53">IF(K70-K71&lt;0,K71-K70,0)</f>
        <v>27</v>
      </c>
      <c r="L72" s="81">
        <f t="shared" ref="L72" si="54">IF(L70-L71&lt;0,L71-L70,0)</f>
        <v>18</v>
      </c>
      <c r="M72" s="81">
        <f t="shared" ref="M72" si="55">IF(M70-M71&lt;0,M71-M70,0)</f>
        <v>18</v>
      </c>
      <c r="P72" s="11"/>
    </row>
    <row r="73" spans="1:17" x14ac:dyDescent="0.2">
      <c r="A73" s="113" t="s">
        <v>262</v>
      </c>
      <c r="B73" s="81">
        <f>IF(B70-B71&gt;0,B70-B71,0)</f>
        <v>0</v>
      </c>
      <c r="C73" s="81">
        <f>IF(C70-C71&gt;0,C70-C71,0)</f>
        <v>0</v>
      </c>
      <c r="D73" s="81">
        <f>IF(D70-D71&gt;0,D70-D71,0)</f>
        <v>0</v>
      </c>
      <c r="E73" s="81">
        <f>IF(E70-E71&gt;0,E70-E71,0)</f>
        <v>0</v>
      </c>
      <c r="F73" s="81">
        <f>IF(F70-F71&gt;0,F70-F71,0)</f>
        <v>0</v>
      </c>
      <c r="G73" s="81">
        <f>IF(G70-G71&gt;0,G70-G71,0)</f>
        <v>0</v>
      </c>
      <c r="H73" s="81">
        <f>IF(H70-H71&gt;0,H70-H71,0)</f>
        <v>0</v>
      </c>
      <c r="I73" s="81">
        <f>IF(I70-I71&gt;0,I70-I71,0)</f>
        <v>0</v>
      </c>
      <c r="J73" s="81">
        <f>IF(J70-J71&gt;0,J70-J71,0)</f>
        <v>0</v>
      </c>
      <c r="K73" s="81">
        <f>IF(K70-K71&gt;0,K70-K71,0)</f>
        <v>0</v>
      </c>
      <c r="L73" s="81">
        <f>IF(L70-L71&gt;0,L70-L71,0)</f>
        <v>0</v>
      </c>
      <c r="M73" s="81">
        <f>IF(M70-M71&gt;0,M70-M71,0)</f>
        <v>0</v>
      </c>
      <c r="P73" s="43"/>
    </row>
    <row r="74" spans="1:17" x14ac:dyDescent="0.2">
      <c r="A74" s="112" t="s">
        <v>274</v>
      </c>
      <c r="B74" s="229">
        <f>B70*Datos!$C$17</f>
        <v>0</v>
      </c>
      <c r="C74" s="229">
        <f>C70*Datos!$C$17</f>
        <v>0</v>
      </c>
      <c r="D74" s="229">
        <f>D70*Datos!$C$17</f>
        <v>0</v>
      </c>
      <c r="E74" s="229">
        <f>E70*Datos!$C$17</f>
        <v>0</v>
      </c>
      <c r="F74" s="229">
        <f>F70*Datos!$C$17</f>
        <v>0</v>
      </c>
      <c r="G74" s="229">
        <f>G70*Datos!$C$17</f>
        <v>0</v>
      </c>
      <c r="H74" s="229">
        <f>H70*Datos!$C$17</f>
        <v>0</v>
      </c>
      <c r="I74" s="229">
        <f>I70*Datos!$C$17</f>
        <v>0</v>
      </c>
      <c r="J74" s="229">
        <f>J70*Datos!$C$17</f>
        <v>0</v>
      </c>
      <c r="K74" s="229">
        <f>K70*Datos!$C$17</f>
        <v>0</v>
      </c>
      <c r="L74" s="229">
        <f>L70*Datos!$C$17</f>
        <v>0</v>
      </c>
      <c r="M74" s="229">
        <f>M70*Datos!$C$17</f>
        <v>0</v>
      </c>
      <c r="P74" s="43"/>
    </row>
    <row r="75" spans="1:17" x14ac:dyDescent="0.2">
      <c r="A75" s="113" t="s">
        <v>272</v>
      </c>
      <c r="B75" s="229">
        <f>B72*Datos!$C$17*1.5</f>
        <v>945</v>
      </c>
      <c r="C75" s="229">
        <f>C72*Datos!$C$17*1.5</f>
        <v>1323</v>
      </c>
      <c r="D75" s="229">
        <f>D72*Datos!$C$17*1.5</f>
        <v>1512</v>
      </c>
      <c r="E75" s="229">
        <f>E72*Datos!$C$17*1.5</f>
        <v>1134</v>
      </c>
      <c r="F75" s="229">
        <f>F72*Datos!$C$17*1.5</f>
        <v>1323</v>
      </c>
      <c r="G75" s="229">
        <f>G72*Datos!$C$17*1.5</f>
        <v>1323</v>
      </c>
      <c r="H75" s="229">
        <f>H72*Datos!$C$17*1.5</f>
        <v>1323</v>
      </c>
      <c r="I75" s="229">
        <f>I72*Datos!$C$17*1.5</f>
        <v>1890</v>
      </c>
      <c r="J75" s="229">
        <f>J72*Datos!$C$17*1.5</f>
        <v>1890</v>
      </c>
      <c r="K75" s="229">
        <f>K72*Datos!$C$17*1.5</f>
        <v>1701</v>
      </c>
      <c r="L75" s="229">
        <f>L72*Datos!$C$17*1.5</f>
        <v>1134</v>
      </c>
      <c r="M75" s="229">
        <f>M72*Datos!$C$17*1.5</f>
        <v>1134</v>
      </c>
      <c r="P75" s="43"/>
    </row>
    <row r="76" spans="1:17" x14ac:dyDescent="0.2">
      <c r="A76" s="112" t="s">
        <v>273</v>
      </c>
      <c r="B76" s="229">
        <f>B74+B75</f>
        <v>945</v>
      </c>
      <c r="C76" s="229">
        <f t="shared" ref="C76" si="56">C74+C75</f>
        <v>1323</v>
      </c>
      <c r="D76" s="229">
        <f t="shared" ref="D76" si="57">D74+D75</f>
        <v>1512</v>
      </c>
      <c r="E76" s="229">
        <f t="shared" ref="E76" si="58">E74+E75</f>
        <v>1134</v>
      </c>
      <c r="F76" s="229">
        <f t="shared" ref="F76" si="59">F74+F75</f>
        <v>1323</v>
      </c>
      <c r="G76" s="229">
        <f t="shared" ref="G76" si="60">G74+G75</f>
        <v>1323</v>
      </c>
      <c r="H76" s="229">
        <f t="shared" ref="H76" si="61">H74+H75</f>
        <v>1323</v>
      </c>
      <c r="I76" s="229">
        <f t="shared" ref="I76" si="62">I74+I75</f>
        <v>1890</v>
      </c>
      <c r="J76" s="229">
        <f t="shared" ref="J76" si="63">J74+J75</f>
        <v>1890</v>
      </c>
      <c r="K76" s="229">
        <f t="shared" ref="K76" si="64">K74+K75</f>
        <v>1701</v>
      </c>
      <c r="L76" s="229">
        <f t="shared" ref="L76" si="65">L74+L75</f>
        <v>1134</v>
      </c>
      <c r="M76" s="229">
        <f t="shared" ref="M76" si="66">M74+M75</f>
        <v>1134</v>
      </c>
      <c r="P76" s="43"/>
    </row>
    <row r="77" spans="1:17" x14ac:dyDescent="0.2">
      <c r="A77" s="43"/>
      <c r="B77" s="27"/>
      <c r="P77" s="43"/>
    </row>
    <row r="78" spans="1:17" x14ac:dyDescent="0.2">
      <c r="A78" s="112" t="s">
        <v>271</v>
      </c>
      <c r="B78" s="80">
        <f>ROUNDUP(B22/Datos!$C$20,0)</f>
        <v>7</v>
      </c>
      <c r="C78" s="80">
        <f>ROUNDUP(C22/Datos!$C$20,0)</f>
        <v>8</v>
      </c>
      <c r="D78" s="80">
        <f>ROUNDUP(D22/Datos!$C$20,0)</f>
        <v>9</v>
      </c>
      <c r="E78" s="80">
        <f>ROUNDUP(E22/Datos!$C$20,0)</f>
        <v>8</v>
      </c>
      <c r="F78" s="80">
        <f>ROUNDUP(F22/Datos!$C$20,0)</f>
        <v>8</v>
      </c>
      <c r="G78" s="80">
        <f>ROUNDUP(G22/Datos!$C$20,0)</f>
        <v>8</v>
      </c>
      <c r="H78" s="80">
        <f>ROUNDUP(H22/Datos!$C$20,0)</f>
        <v>8</v>
      </c>
      <c r="I78" s="80">
        <f>ROUNDUP(I22/Datos!$C$20,0)</f>
        <v>12</v>
      </c>
      <c r="J78" s="80">
        <f>ROUNDUP(J22/Datos!$C$20,0)</f>
        <v>12</v>
      </c>
      <c r="K78" s="80">
        <f>ROUNDUP(K22/Datos!$C$20,0)</f>
        <v>11</v>
      </c>
      <c r="L78" s="80">
        <f>ROUNDUP(L22/Datos!$C$20,0)</f>
        <v>7</v>
      </c>
      <c r="M78" s="80">
        <f>ROUNDUP(M22/Datos!$C$20,0)</f>
        <v>8</v>
      </c>
      <c r="P78" s="43"/>
    </row>
    <row r="79" spans="1:17" x14ac:dyDescent="0.2">
      <c r="A79" s="112" t="s">
        <v>243</v>
      </c>
      <c r="B79" s="80">
        <v>0</v>
      </c>
      <c r="C79" s="80">
        <f>B79</f>
        <v>0</v>
      </c>
      <c r="D79" s="101">
        <f t="shared" ref="D79:M79" si="67">C79</f>
        <v>0</v>
      </c>
      <c r="E79" s="101">
        <f t="shared" si="67"/>
        <v>0</v>
      </c>
      <c r="F79" s="101">
        <f t="shared" si="67"/>
        <v>0</v>
      </c>
      <c r="G79" s="101">
        <f t="shared" si="67"/>
        <v>0</v>
      </c>
      <c r="H79" s="101">
        <f t="shared" si="67"/>
        <v>0</v>
      </c>
      <c r="I79" s="101">
        <f t="shared" si="67"/>
        <v>0</v>
      </c>
      <c r="J79" s="101">
        <f t="shared" si="67"/>
        <v>0</v>
      </c>
      <c r="K79" s="101">
        <f t="shared" si="67"/>
        <v>0</v>
      </c>
      <c r="L79" s="101">
        <f t="shared" si="67"/>
        <v>0</v>
      </c>
      <c r="M79" s="101">
        <f t="shared" si="67"/>
        <v>0</v>
      </c>
      <c r="P79" s="43"/>
    </row>
    <row r="80" spans="1:17" x14ac:dyDescent="0.2">
      <c r="A80" s="112" t="s">
        <v>263</v>
      </c>
      <c r="B80" s="80">
        <f>B79*Datos!$C$19*Datos!$C$2</f>
        <v>0</v>
      </c>
      <c r="C80" s="80">
        <f>C79*Datos!$C$19*Datos!$C$2</f>
        <v>0</v>
      </c>
      <c r="D80" s="80">
        <f>D79*Datos!$C$19*Datos!$C$2</f>
        <v>0</v>
      </c>
      <c r="E80" s="80">
        <f>E79*Datos!$C$19*Datos!$C$2</f>
        <v>0</v>
      </c>
      <c r="F80" s="80">
        <f>F79*Datos!$C$19*Datos!$C$2</f>
        <v>0</v>
      </c>
      <c r="G80" s="80">
        <f>G79*Datos!$C$19*Datos!$C$2</f>
        <v>0</v>
      </c>
      <c r="H80" s="80">
        <f>H79*Datos!$C$19*Datos!$C$2</f>
        <v>0</v>
      </c>
      <c r="I80" s="80">
        <f>I79*Datos!$C$19*Datos!$C$2</f>
        <v>0</v>
      </c>
      <c r="J80" s="80">
        <f>J79*Datos!$C$19*Datos!$C$2</f>
        <v>0</v>
      </c>
      <c r="K80" s="80">
        <f>K79*Datos!$C$19*Datos!$C$2</f>
        <v>0</v>
      </c>
      <c r="L80" s="80">
        <f>L79*Datos!$C$19*Datos!$C$2</f>
        <v>0</v>
      </c>
      <c r="M80" s="80">
        <f>M79*Datos!$C$19*Datos!$C$2</f>
        <v>0</v>
      </c>
      <c r="P80" s="43"/>
    </row>
    <row r="81" spans="1:19" x14ac:dyDescent="0.2">
      <c r="A81" s="112" t="s">
        <v>264</v>
      </c>
      <c r="B81" s="80">
        <f>B78*Datos!$C$19</f>
        <v>35</v>
      </c>
      <c r="C81" s="80">
        <f>C78*Datos!$C$19</f>
        <v>40</v>
      </c>
      <c r="D81" s="80">
        <f>D78*Datos!$C$19</f>
        <v>45</v>
      </c>
      <c r="E81" s="80">
        <f>E78*Datos!$C$19</f>
        <v>40</v>
      </c>
      <c r="F81" s="80">
        <f>F78*Datos!$C$19</f>
        <v>40</v>
      </c>
      <c r="G81" s="80">
        <f>G78*Datos!$C$19</f>
        <v>40</v>
      </c>
      <c r="H81" s="80">
        <f>H78*Datos!$C$19</f>
        <v>40</v>
      </c>
      <c r="I81" s="80">
        <f>I78*Datos!$C$19</f>
        <v>60</v>
      </c>
      <c r="J81" s="80">
        <f>J78*Datos!$C$19</f>
        <v>60</v>
      </c>
      <c r="K81" s="80">
        <f>K78*Datos!$C$19</f>
        <v>55</v>
      </c>
      <c r="L81" s="80">
        <f>L78*Datos!$C$19</f>
        <v>35</v>
      </c>
      <c r="M81" s="80">
        <f>M78*Datos!$C$19</f>
        <v>40</v>
      </c>
      <c r="P81" s="43"/>
    </row>
    <row r="82" spans="1:19" x14ac:dyDescent="0.2">
      <c r="A82" s="113" t="s">
        <v>261</v>
      </c>
      <c r="B82" s="81">
        <f>IF(B80-B81&lt;0,B81-B80,0)</f>
        <v>35</v>
      </c>
      <c r="C82" s="81">
        <f t="shared" ref="C82" si="68">IF(C80-C81&lt;0,C81-C80,0)</f>
        <v>40</v>
      </c>
      <c r="D82" s="81">
        <f t="shared" ref="D82" si="69">IF(D80-D81&lt;0,D81-D80,0)</f>
        <v>45</v>
      </c>
      <c r="E82" s="81">
        <f t="shared" ref="E82" si="70">IF(E80-E81&lt;0,E81-E80,0)</f>
        <v>40</v>
      </c>
      <c r="F82" s="81">
        <f t="shared" ref="F82" si="71">IF(F80-F81&lt;0,F81-F80,0)</f>
        <v>40</v>
      </c>
      <c r="G82" s="81">
        <f t="shared" ref="G82" si="72">IF(G80-G81&lt;0,G81-G80,0)</f>
        <v>40</v>
      </c>
      <c r="H82" s="81">
        <f t="shared" ref="H82" si="73">IF(H80-H81&lt;0,H81-H80,0)</f>
        <v>40</v>
      </c>
      <c r="I82" s="81">
        <f t="shared" ref="I82" si="74">IF(I80-I81&lt;0,I81-I80,0)</f>
        <v>60</v>
      </c>
      <c r="J82" s="81">
        <f t="shared" ref="J82" si="75">IF(J80-J81&lt;0,J81-J80,0)</f>
        <v>60</v>
      </c>
      <c r="K82" s="81">
        <f t="shared" ref="K82" si="76">IF(K80-K81&lt;0,K81-K80,0)</f>
        <v>55</v>
      </c>
      <c r="L82" s="81">
        <f t="shared" ref="L82" si="77">IF(L80-L81&lt;0,L81-L80,0)</f>
        <v>35</v>
      </c>
      <c r="M82" s="81">
        <f t="shared" ref="M82" si="78">IF(M80-M81&lt;0,M81-M80,0)</f>
        <v>40</v>
      </c>
      <c r="P82" s="43"/>
    </row>
    <row r="83" spans="1:19" x14ac:dyDescent="0.2">
      <c r="A83" s="113" t="s">
        <v>262</v>
      </c>
      <c r="B83" s="81">
        <f>IF(B80-B81&gt;0,B80-B81,0)</f>
        <v>0</v>
      </c>
      <c r="C83" s="81">
        <f t="shared" ref="C83:M83" si="79">IF(C80-C81&gt;0,C80-C81,0)</f>
        <v>0</v>
      </c>
      <c r="D83" s="81">
        <f t="shared" si="79"/>
        <v>0</v>
      </c>
      <c r="E83" s="81">
        <f t="shared" si="79"/>
        <v>0</v>
      </c>
      <c r="F83" s="81">
        <f t="shared" si="79"/>
        <v>0</v>
      </c>
      <c r="G83" s="81">
        <f t="shared" si="79"/>
        <v>0</v>
      </c>
      <c r="H83" s="81">
        <f t="shared" si="79"/>
        <v>0</v>
      </c>
      <c r="I83" s="81">
        <f t="shared" si="79"/>
        <v>0</v>
      </c>
      <c r="J83" s="81">
        <f t="shared" si="79"/>
        <v>0</v>
      </c>
      <c r="K83" s="81">
        <f t="shared" si="79"/>
        <v>0</v>
      </c>
      <c r="L83" s="81">
        <f t="shared" si="79"/>
        <v>0</v>
      </c>
      <c r="M83" s="81">
        <f t="shared" si="79"/>
        <v>0</v>
      </c>
      <c r="P83" s="43"/>
    </row>
    <row r="84" spans="1:19" x14ac:dyDescent="0.2">
      <c r="A84" s="112" t="s">
        <v>274</v>
      </c>
      <c r="B84" s="229">
        <f>B80*Datos!$C$21</f>
        <v>0</v>
      </c>
      <c r="C84" s="229">
        <f>C80*Datos!$C$21</f>
        <v>0</v>
      </c>
      <c r="D84" s="229">
        <f>D80*Datos!$C$21</f>
        <v>0</v>
      </c>
      <c r="E84" s="229">
        <f>E80*Datos!$C$21</f>
        <v>0</v>
      </c>
      <c r="F84" s="229">
        <f>F80*Datos!$C$21</f>
        <v>0</v>
      </c>
      <c r="G84" s="229">
        <f>G80*Datos!$C$21</f>
        <v>0</v>
      </c>
      <c r="H84" s="229">
        <f>H80*Datos!$C$21</f>
        <v>0</v>
      </c>
      <c r="I84" s="229">
        <f>I80*Datos!$C$21</f>
        <v>0</v>
      </c>
      <c r="J84" s="229">
        <f>J80*Datos!$C$21</f>
        <v>0</v>
      </c>
      <c r="K84" s="229">
        <f>K80*Datos!$C$21</f>
        <v>0</v>
      </c>
      <c r="L84" s="229">
        <f>L80*Datos!$C$21</f>
        <v>0</v>
      </c>
      <c r="M84" s="229">
        <f>M80*Datos!$C$21</f>
        <v>0</v>
      </c>
      <c r="P84" s="43"/>
    </row>
    <row r="85" spans="1:19" x14ac:dyDescent="0.2">
      <c r="A85" s="113" t="s">
        <v>272</v>
      </c>
      <c r="B85" s="229">
        <f>B82*Datos!$C$21*1.5</f>
        <v>1627.5</v>
      </c>
      <c r="C85" s="229">
        <f>C82*Datos!$C$21*1.5</f>
        <v>1860</v>
      </c>
      <c r="D85" s="229">
        <f>D82*Datos!$C$21*1.5</f>
        <v>2092.5</v>
      </c>
      <c r="E85" s="229">
        <f>E82*Datos!$C$21*1.5</f>
        <v>1860</v>
      </c>
      <c r="F85" s="229">
        <f>F82*Datos!$C$21*1.5</f>
        <v>1860</v>
      </c>
      <c r="G85" s="229">
        <f>G82*Datos!$C$21*1.5</f>
        <v>1860</v>
      </c>
      <c r="H85" s="229">
        <f>H82*Datos!$C$21*1.5</f>
        <v>1860</v>
      </c>
      <c r="I85" s="229">
        <f>I82*Datos!$C$21*1.5</f>
        <v>2790</v>
      </c>
      <c r="J85" s="229">
        <f>J82*Datos!$C$21*1.5</f>
        <v>2790</v>
      </c>
      <c r="K85" s="229">
        <f>K82*Datos!$C$21*1.5</f>
        <v>2557.5</v>
      </c>
      <c r="L85" s="229">
        <f>L82*Datos!$C$21*1.5</f>
        <v>1627.5</v>
      </c>
      <c r="M85" s="229">
        <f>M82*Datos!$C$21*1.5</f>
        <v>1860</v>
      </c>
      <c r="P85" s="43"/>
    </row>
    <row r="86" spans="1:19" x14ac:dyDescent="0.2">
      <c r="A86" s="112" t="s">
        <v>273</v>
      </c>
      <c r="B86" s="229">
        <f>B84+B85</f>
        <v>1627.5</v>
      </c>
      <c r="C86" s="229">
        <f t="shared" ref="C86" si="80">C84+C85</f>
        <v>1860</v>
      </c>
      <c r="D86" s="229">
        <f t="shared" ref="D86" si="81">D84+D85</f>
        <v>2092.5</v>
      </c>
      <c r="E86" s="229">
        <f t="shared" ref="E86" si="82">E84+E85</f>
        <v>1860</v>
      </c>
      <c r="F86" s="229">
        <f t="shared" ref="F86" si="83">F84+F85</f>
        <v>1860</v>
      </c>
      <c r="G86" s="229">
        <f t="shared" ref="G86" si="84">G84+G85</f>
        <v>1860</v>
      </c>
      <c r="H86" s="229">
        <f t="shared" ref="H86" si="85">H84+H85</f>
        <v>1860</v>
      </c>
      <c r="I86" s="229">
        <f t="shared" ref="I86" si="86">I84+I85</f>
        <v>2790</v>
      </c>
      <c r="J86" s="229">
        <f t="shared" ref="J86" si="87">J84+J85</f>
        <v>2790</v>
      </c>
      <c r="K86" s="229">
        <f t="shared" ref="K86" si="88">K84+K85</f>
        <v>2557.5</v>
      </c>
      <c r="L86" s="229">
        <f t="shared" ref="L86" si="89">L84+L85</f>
        <v>1627.5</v>
      </c>
      <c r="M86" s="229">
        <f t="shared" ref="M86" si="90">M84+M85</f>
        <v>1860</v>
      </c>
      <c r="P86" s="43"/>
    </row>
    <row r="87" spans="1:19" x14ac:dyDescent="0.2">
      <c r="P87" s="43"/>
    </row>
    <row r="88" spans="1:19" x14ac:dyDescent="0.2">
      <c r="P88" s="43"/>
    </row>
    <row r="89" spans="1:19" x14ac:dyDescent="0.2">
      <c r="A89" s="113" t="s">
        <v>125</v>
      </c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P89" s="43"/>
    </row>
    <row r="90" spans="1:19" x14ac:dyDescent="0.2">
      <c r="A90" s="113" t="s">
        <v>266</v>
      </c>
      <c r="B90" s="101">
        <f>(B48*Datos!$C$6+B58*Datos!$C$10+B69*Datos!$C$15+B79*Datos!$C$19)*Datos!$C$3</f>
        <v>80</v>
      </c>
      <c r="C90" s="101">
        <f>(C48*Datos!$C$6+C58*Datos!$C$10+C69*Datos!$C$15+C79*Datos!$C$19)*Datos!$C$3</f>
        <v>80</v>
      </c>
      <c r="D90" s="101">
        <f>(D48*Datos!$C$6+D58*Datos!$C$10+D69*Datos!$C$15+D79*Datos!$C$19)*Datos!$C$3</f>
        <v>80</v>
      </c>
      <c r="E90" s="101">
        <f>(E48*Datos!$C$6+E58*Datos!$C$10+E69*Datos!$C$15+E79*Datos!$C$19)*Datos!$C$3</f>
        <v>80</v>
      </c>
      <c r="F90" s="101">
        <f>(F48*Datos!$C$6+F58*Datos!$C$10+F69*Datos!$C$15+F79*Datos!$C$19)*Datos!$C$3</f>
        <v>80</v>
      </c>
      <c r="G90" s="101">
        <f>(G48*Datos!$C$6+G58*Datos!$C$10+G69*Datos!$C$15+G79*Datos!$C$19)*Datos!$C$3</f>
        <v>80</v>
      </c>
      <c r="H90" s="101">
        <f>(H48*Datos!$C$6+H58*Datos!$C$10+H69*Datos!$C$15+H79*Datos!$C$19)*Datos!$C$3</f>
        <v>80</v>
      </c>
      <c r="I90" s="101">
        <f>(I48*Datos!$C$6+I58*Datos!$C$10+I69*Datos!$C$15+I79*Datos!$C$19)*Datos!$C$3</f>
        <v>80</v>
      </c>
      <c r="J90" s="101">
        <f>(J48*Datos!$C$6+J58*Datos!$C$10+J69*Datos!$C$15+J79*Datos!$C$19)*Datos!$C$3</f>
        <v>80</v>
      </c>
      <c r="K90" s="101">
        <f>(K48*Datos!$C$6+K58*Datos!$C$10+K69*Datos!$C$15+K79*Datos!$C$19)*Datos!$C$3</f>
        <v>80</v>
      </c>
      <c r="L90" s="101">
        <f>(L48*Datos!$C$6+L58*Datos!$C$10+L69*Datos!$C$15+L79*Datos!$C$19)*Datos!$C$3</f>
        <v>80</v>
      </c>
      <c r="M90" s="101">
        <f>(M48*Datos!$C$6+M58*Datos!$C$10+M69*Datos!$C$15+M79*Datos!$C$19)*Datos!$C$3</f>
        <v>80</v>
      </c>
      <c r="O90" s="11"/>
      <c r="P90" s="43"/>
      <c r="Q90" s="11"/>
    </row>
    <row r="91" spans="1:19" x14ac:dyDescent="0.2">
      <c r="A91" s="113" t="s">
        <v>265</v>
      </c>
      <c r="B91" s="81">
        <f>B51+B61+B72+B82</f>
        <v>66</v>
      </c>
      <c r="C91" s="81">
        <f>C51+C61+C72+C82</f>
        <v>81</v>
      </c>
      <c r="D91" s="81">
        <f>D51+D61+D72+D82</f>
        <v>89</v>
      </c>
      <c r="E91" s="81">
        <f>E51+E61+E72+E82</f>
        <v>90</v>
      </c>
      <c r="F91" s="81">
        <f>F51+F61+F72+F82</f>
        <v>93</v>
      </c>
      <c r="G91" s="81">
        <f>G51+G61+G72+G82</f>
        <v>85</v>
      </c>
      <c r="H91" s="81">
        <f>H51+H61+H72+H82</f>
        <v>137</v>
      </c>
      <c r="I91" s="81">
        <f>I51+I61+I72+I82</f>
        <v>158</v>
      </c>
      <c r="J91" s="81">
        <f>J51+J61+J72+J82</f>
        <v>158</v>
      </c>
      <c r="K91" s="81">
        <f>K51+K61+K72+K82</f>
        <v>122</v>
      </c>
      <c r="L91" s="81">
        <f>L51+L61+L72+L82</f>
        <v>85</v>
      </c>
      <c r="M91" s="81">
        <f>M51+M61+M72+M82</f>
        <v>70</v>
      </c>
      <c r="O91" s="11">
        <v>1</v>
      </c>
      <c r="P91" s="43">
        <v>1</v>
      </c>
      <c r="Q91" s="11">
        <v>1</v>
      </c>
      <c r="R91" s="84">
        <v>1</v>
      </c>
      <c r="S91" s="84">
        <v>1</v>
      </c>
    </row>
    <row r="92" spans="1:19" x14ac:dyDescent="0.2">
      <c r="A92" s="113" t="s">
        <v>268</v>
      </c>
      <c r="B92" s="81">
        <f>B52+B62+B73+B83</f>
        <v>4</v>
      </c>
      <c r="C92" s="81">
        <f>C52+C62+C73+C83</f>
        <v>0</v>
      </c>
      <c r="D92" s="81">
        <f>D52+D62+D73+D83</f>
        <v>0</v>
      </c>
      <c r="E92" s="81">
        <f>E52+E62+E73+E83</f>
        <v>0</v>
      </c>
      <c r="F92" s="81">
        <f>F52+F62+F73+F83</f>
        <v>0</v>
      </c>
      <c r="G92" s="81">
        <f>G52+G62+G73+G83</f>
        <v>0</v>
      </c>
      <c r="H92" s="81">
        <f>H52+H62+H73+H83</f>
        <v>0</v>
      </c>
      <c r="I92" s="81">
        <f>I52+I62+I73+I83</f>
        <v>0</v>
      </c>
      <c r="J92" s="81">
        <f>J52+J62+J73+J83</f>
        <v>0</v>
      </c>
      <c r="K92" s="81">
        <f>K52+K62+K73+K83</f>
        <v>0</v>
      </c>
      <c r="L92" s="81">
        <f>L52+L62+L73+L83</f>
        <v>0</v>
      </c>
      <c r="M92" s="81">
        <f>M52+M62+M73+M83</f>
        <v>8</v>
      </c>
      <c r="O92" s="11">
        <v>1</v>
      </c>
      <c r="P92" s="43">
        <v>1</v>
      </c>
      <c r="Q92" s="11">
        <v>2</v>
      </c>
      <c r="R92" s="84">
        <v>1</v>
      </c>
      <c r="S92" s="84">
        <v>2</v>
      </c>
    </row>
    <row r="93" spans="1:19" x14ac:dyDescent="0.2">
      <c r="A93" s="113" t="s">
        <v>270</v>
      </c>
      <c r="B93" s="81">
        <f>IF(B91-B92&gt;0,B91-B92,0)</f>
        <v>62</v>
      </c>
      <c r="C93" s="81">
        <f t="shared" ref="C93:M93" si="91">IF(C91-C92&gt;0,C91-C92,0)</f>
        <v>81</v>
      </c>
      <c r="D93" s="81">
        <f t="shared" si="91"/>
        <v>89</v>
      </c>
      <c r="E93" s="81">
        <f t="shared" si="91"/>
        <v>90</v>
      </c>
      <c r="F93" s="81">
        <f t="shared" si="91"/>
        <v>93</v>
      </c>
      <c r="G93" s="81">
        <f t="shared" si="91"/>
        <v>85</v>
      </c>
      <c r="H93" s="81">
        <f t="shared" si="91"/>
        <v>137</v>
      </c>
      <c r="I93" s="81">
        <f t="shared" si="91"/>
        <v>158</v>
      </c>
      <c r="J93" s="81">
        <f t="shared" si="91"/>
        <v>158</v>
      </c>
      <c r="K93" s="81">
        <f t="shared" si="91"/>
        <v>122</v>
      </c>
      <c r="L93" s="81">
        <f t="shared" si="91"/>
        <v>85</v>
      </c>
      <c r="M93" s="81">
        <f t="shared" si="91"/>
        <v>62</v>
      </c>
      <c r="O93" s="11">
        <v>1</v>
      </c>
      <c r="P93" s="43">
        <v>1</v>
      </c>
      <c r="Q93" s="11">
        <v>1</v>
      </c>
      <c r="R93" s="84">
        <v>0</v>
      </c>
      <c r="S93" s="84">
        <v>0</v>
      </c>
    </row>
    <row r="94" spans="1:19" x14ac:dyDescent="0.2">
      <c r="A94" s="113" t="s">
        <v>269</v>
      </c>
      <c r="B94" s="81">
        <f>IF(B92-B91&gt;0,B92-B91,0)</f>
        <v>0</v>
      </c>
      <c r="C94" s="81">
        <f t="shared" ref="C94:M94" si="92">IF(C92-C91&gt;0,C92-C91,0)</f>
        <v>0</v>
      </c>
      <c r="D94" s="81">
        <f t="shared" si="92"/>
        <v>0</v>
      </c>
      <c r="E94" s="81">
        <f t="shared" si="92"/>
        <v>0</v>
      </c>
      <c r="F94" s="81">
        <f t="shared" si="92"/>
        <v>0</v>
      </c>
      <c r="G94" s="81">
        <f t="shared" si="92"/>
        <v>0</v>
      </c>
      <c r="H94" s="81">
        <f t="shared" si="92"/>
        <v>0</v>
      </c>
      <c r="I94" s="81">
        <f t="shared" si="92"/>
        <v>0</v>
      </c>
      <c r="J94" s="81">
        <f t="shared" si="92"/>
        <v>0</v>
      </c>
      <c r="K94" s="81">
        <f t="shared" si="92"/>
        <v>0</v>
      </c>
      <c r="L94" s="81">
        <f t="shared" si="92"/>
        <v>0</v>
      </c>
      <c r="M94" s="81">
        <f t="shared" si="92"/>
        <v>0</v>
      </c>
      <c r="O94" s="84">
        <v>0</v>
      </c>
      <c r="P94" s="46">
        <v>1</v>
      </c>
      <c r="Q94" s="84">
        <v>1</v>
      </c>
      <c r="R94" s="84">
        <v>1</v>
      </c>
      <c r="S94" s="84">
        <v>0</v>
      </c>
    </row>
    <row r="95" spans="1:19" x14ac:dyDescent="0.2">
      <c r="A95" s="112" t="s">
        <v>273</v>
      </c>
      <c r="B95" s="230">
        <f>B55+B65+B76+B86</f>
        <v>8700.5</v>
      </c>
      <c r="C95" s="230">
        <f t="shared" ref="C95:M95" si="93">C55+C65+C76+C86</f>
        <v>9479</v>
      </c>
      <c r="D95" s="230">
        <f t="shared" si="93"/>
        <v>9900.5</v>
      </c>
      <c r="E95" s="230">
        <f t="shared" si="93"/>
        <v>9830</v>
      </c>
      <c r="F95" s="230">
        <f t="shared" si="93"/>
        <v>10019</v>
      </c>
      <c r="G95" s="230">
        <f t="shared" si="93"/>
        <v>9647</v>
      </c>
      <c r="H95" s="230">
        <f t="shared" si="93"/>
        <v>12047</v>
      </c>
      <c r="I95" s="230">
        <f t="shared" si="93"/>
        <v>13172</v>
      </c>
      <c r="J95" s="230">
        <f t="shared" si="93"/>
        <v>13172</v>
      </c>
      <c r="K95" s="230">
        <f t="shared" si="93"/>
        <v>11466.5</v>
      </c>
      <c r="L95" s="230">
        <f t="shared" si="93"/>
        <v>9597.5</v>
      </c>
      <c r="M95" s="230">
        <f t="shared" si="93"/>
        <v>8954</v>
      </c>
      <c r="N95" s="231">
        <f>SUM(B95:M95)</f>
        <v>125985</v>
      </c>
      <c r="O95" s="232">
        <v>142617</v>
      </c>
      <c r="P95" s="233">
        <v>158892</v>
      </c>
      <c r="Q95" s="232">
        <v>173508</v>
      </c>
      <c r="R95" s="234">
        <v>142260</v>
      </c>
      <c r="S95" s="234">
        <v>140601</v>
      </c>
    </row>
    <row r="96" spans="1:19" x14ac:dyDescent="0.2">
      <c r="A96" s="228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O96" s="11"/>
      <c r="P96" s="43"/>
      <c r="Q96" s="11"/>
    </row>
    <row r="97" spans="1:23" x14ac:dyDescent="0.2">
      <c r="A97" s="228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O97" s="11"/>
      <c r="P97" s="43"/>
      <c r="Q97" s="11"/>
    </row>
    <row r="98" spans="1:23" x14ac:dyDescent="0.2">
      <c r="O98" s="11"/>
      <c r="P98" s="43"/>
      <c r="Q98" s="11"/>
    </row>
    <row r="99" spans="1:23" x14ac:dyDescent="0.2">
      <c r="O99" s="11"/>
      <c r="P99" s="43"/>
      <c r="Q99" s="11"/>
    </row>
    <row r="100" spans="1:23" x14ac:dyDescent="0.2">
      <c r="A100" s="8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O100" s="11"/>
      <c r="P100" s="43"/>
      <c r="Q100" s="11"/>
    </row>
    <row r="101" spans="1:23" x14ac:dyDescent="0.2">
      <c r="O101" s="11"/>
      <c r="P101" s="43"/>
      <c r="Q101" s="11"/>
    </row>
    <row r="102" spans="1:23" x14ac:dyDescent="0.2">
      <c r="O102" s="11"/>
      <c r="P102" s="43"/>
      <c r="Q102" s="11"/>
    </row>
    <row r="103" spans="1:23" x14ac:dyDescent="0.2">
      <c r="A103" s="27" t="s">
        <v>15</v>
      </c>
      <c r="O103" s="11"/>
      <c r="P103" s="43"/>
      <c r="Q103" s="11"/>
    </row>
    <row r="104" spans="1:23" x14ac:dyDescent="0.2">
      <c r="A104" s="27" t="s">
        <v>245</v>
      </c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7"/>
      <c r="P104" s="88"/>
      <c r="Q104" s="87"/>
      <c r="R104" s="86"/>
      <c r="S104" s="86"/>
      <c r="T104" s="86"/>
      <c r="U104" s="86"/>
      <c r="V104" s="86"/>
      <c r="W104" s="99">
        <v>4</v>
      </c>
    </row>
    <row r="105" spans="1:23" x14ac:dyDescent="0.2">
      <c r="A105" s="46" t="s">
        <v>246</v>
      </c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90"/>
      <c r="P105" s="91"/>
      <c r="Q105" s="90"/>
      <c r="R105" s="89"/>
      <c r="S105" s="89"/>
      <c r="T105" s="89"/>
      <c r="U105" s="89"/>
      <c r="V105" s="89"/>
      <c r="W105" s="89"/>
    </row>
    <row r="106" spans="1:23" x14ac:dyDescent="0.2">
      <c r="A106" s="46" t="s">
        <v>247</v>
      </c>
      <c r="B106" s="92"/>
      <c r="C106" s="92"/>
      <c r="D106" s="92"/>
      <c r="E106" s="92"/>
      <c r="F106" s="98">
        <v>1</v>
      </c>
      <c r="G106" s="98">
        <v>1</v>
      </c>
      <c r="H106" s="98">
        <v>1</v>
      </c>
      <c r="I106" s="98">
        <v>1</v>
      </c>
      <c r="J106" s="98">
        <v>1</v>
      </c>
      <c r="O106" s="11"/>
      <c r="P106" s="43"/>
      <c r="Q106" s="11"/>
    </row>
    <row r="107" spans="1:23" s="100" customFormat="1" x14ac:dyDescent="0.2">
      <c r="A107" s="46" t="s">
        <v>16</v>
      </c>
      <c r="O107" s="84"/>
      <c r="P107" s="46"/>
      <c r="Q107" s="84"/>
    </row>
    <row r="108" spans="1:23" x14ac:dyDescent="0.2">
      <c r="A108" s="46" t="s">
        <v>248</v>
      </c>
      <c r="F108" s="92"/>
      <c r="G108" s="92"/>
      <c r="H108" s="92"/>
      <c r="I108" s="92"/>
      <c r="J108" s="92"/>
      <c r="O108" s="11"/>
      <c r="P108" s="43"/>
      <c r="Q108" s="11"/>
    </row>
    <row r="109" spans="1:23" x14ac:dyDescent="0.2">
      <c r="A109" s="46" t="s">
        <v>249</v>
      </c>
      <c r="K109" s="92"/>
      <c r="L109" s="92"/>
      <c r="M109" s="92"/>
      <c r="N109" s="92"/>
      <c r="O109" s="93"/>
      <c r="P109" s="94"/>
      <c r="Q109" s="93"/>
      <c r="R109" s="98">
        <v>4</v>
      </c>
      <c r="S109" s="98">
        <v>4</v>
      </c>
      <c r="T109" s="98">
        <v>4</v>
      </c>
      <c r="U109" s="98">
        <v>4</v>
      </c>
      <c r="V109" s="98">
        <v>4</v>
      </c>
      <c r="W109" s="98">
        <v>4</v>
      </c>
    </row>
    <row r="110" spans="1:23" x14ac:dyDescent="0.2">
      <c r="A110" s="46" t="s">
        <v>250</v>
      </c>
      <c r="B110" s="98">
        <v>1</v>
      </c>
      <c r="C110" s="98">
        <v>1</v>
      </c>
      <c r="D110" s="98">
        <v>1</v>
      </c>
      <c r="E110" s="98">
        <v>1</v>
      </c>
      <c r="F110" s="98">
        <v>1</v>
      </c>
      <c r="G110" s="98">
        <v>1</v>
      </c>
      <c r="H110" s="98">
        <v>1</v>
      </c>
      <c r="I110" s="98">
        <v>1</v>
      </c>
      <c r="J110" s="98">
        <v>1</v>
      </c>
      <c r="K110" s="95"/>
      <c r="L110" s="95"/>
      <c r="M110" s="95"/>
      <c r="N110" s="95"/>
      <c r="O110" s="96"/>
      <c r="P110" s="97"/>
      <c r="Q110" s="96"/>
      <c r="R110" s="98">
        <v>1</v>
      </c>
      <c r="S110" s="98">
        <v>1</v>
      </c>
      <c r="T110" s="98">
        <v>1</v>
      </c>
      <c r="U110" s="98">
        <v>1</v>
      </c>
      <c r="V110" s="98">
        <v>1</v>
      </c>
      <c r="W110" s="98">
        <v>1</v>
      </c>
    </row>
    <row r="111" spans="1:23" x14ac:dyDescent="0.2">
      <c r="O111" s="11"/>
      <c r="P111" s="43"/>
      <c r="Q111" s="11"/>
    </row>
    <row r="112" spans="1:23" x14ac:dyDescent="0.2">
      <c r="O112" s="11"/>
      <c r="P112" s="43"/>
      <c r="Q112" s="11"/>
    </row>
    <row r="113" spans="1:23" x14ac:dyDescent="0.2">
      <c r="A113" s="27" t="s">
        <v>251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18</v>
      </c>
      <c r="T113">
        <v>19</v>
      </c>
      <c r="U113">
        <v>20</v>
      </c>
      <c r="V113">
        <v>21</v>
      </c>
      <c r="W113">
        <v>22</v>
      </c>
    </row>
    <row r="114" spans="1:23" x14ac:dyDescent="0.2">
      <c r="O114" s="11"/>
      <c r="P114" s="43"/>
      <c r="Q114" s="11"/>
    </row>
    <row r="115" spans="1:23" x14ac:dyDescent="0.2">
      <c r="B115" s="27" t="s">
        <v>252</v>
      </c>
      <c r="O115" s="11"/>
      <c r="P115" s="43"/>
      <c r="Q115" s="11"/>
    </row>
    <row r="116" spans="1:23" x14ac:dyDescent="0.2">
      <c r="O116" s="11"/>
      <c r="P116" s="43"/>
      <c r="Q116" s="11"/>
    </row>
    <row r="117" spans="1:23" x14ac:dyDescent="0.2">
      <c r="O117" s="11"/>
      <c r="P117" s="43"/>
      <c r="Q117" s="11"/>
    </row>
    <row r="118" spans="1:23" x14ac:dyDescent="0.2">
      <c r="O118" s="11"/>
      <c r="P118" s="43"/>
      <c r="Q118" s="11"/>
    </row>
    <row r="119" spans="1:23" x14ac:dyDescent="0.2">
      <c r="O119" s="11"/>
      <c r="P119" s="43"/>
      <c r="Q119" s="11"/>
    </row>
    <row r="120" spans="1:23" x14ac:dyDescent="0.2">
      <c r="P120" s="85"/>
    </row>
    <row r="121" spans="1:23" x14ac:dyDescent="0.2">
      <c r="A121" s="192" t="s">
        <v>127</v>
      </c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2"/>
      <c r="P121" s="78">
        <v>0.2</v>
      </c>
    </row>
    <row r="122" spans="1:23" x14ac:dyDescent="0.2">
      <c r="A122" s="78"/>
      <c r="B122" s="78" t="s">
        <v>3</v>
      </c>
      <c r="C122" s="78" t="s">
        <v>4</v>
      </c>
      <c r="D122" s="78" t="s">
        <v>5</v>
      </c>
      <c r="E122" s="78" t="s">
        <v>6</v>
      </c>
      <c r="F122" s="78" t="s">
        <v>7</v>
      </c>
      <c r="G122" s="78" t="s">
        <v>8</v>
      </c>
      <c r="H122" s="78" t="s">
        <v>9</v>
      </c>
      <c r="I122" s="78" t="s">
        <v>10</v>
      </c>
      <c r="J122" s="78" t="s">
        <v>96</v>
      </c>
      <c r="K122" s="78" t="s">
        <v>12</v>
      </c>
      <c r="L122" s="78" t="s">
        <v>13</v>
      </c>
      <c r="M122" s="78" t="s">
        <v>14</v>
      </c>
    </row>
    <row r="123" spans="1:23" x14ac:dyDescent="0.2">
      <c r="A123" s="48">
        <f>B152*$P$124</f>
        <v>515</v>
      </c>
      <c r="B123" s="78">
        <f>B138+B152-A123</f>
        <v>5304</v>
      </c>
      <c r="C123" s="78">
        <f>C152+C138-B138</f>
        <v>6845</v>
      </c>
      <c r="D123" s="78">
        <f t="shared" ref="D123:L126" si="94">D152+D138-C138</f>
        <v>8034</v>
      </c>
      <c r="E123" s="78">
        <f t="shared" si="94"/>
        <v>6273</v>
      </c>
      <c r="F123" s="78">
        <f t="shared" si="94"/>
        <v>7120</v>
      </c>
      <c r="G123" s="78">
        <f t="shared" si="94"/>
        <v>7055</v>
      </c>
      <c r="H123" s="78">
        <f t="shared" si="94"/>
        <v>6175</v>
      </c>
      <c r="I123" s="78">
        <f t="shared" si="94"/>
        <v>10733</v>
      </c>
      <c r="J123" s="78">
        <f t="shared" si="94"/>
        <v>10092</v>
      </c>
      <c r="K123" s="78">
        <f t="shared" si="94"/>
        <v>10122</v>
      </c>
      <c r="L123" s="78">
        <f t="shared" si="94"/>
        <v>6231</v>
      </c>
      <c r="M123" s="3">
        <f>M152+N138-M138</f>
        <v>6363.9915999999994</v>
      </c>
      <c r="P123" s="48" t="s">
        <v>111</v>
      </c>
    </row>
    <row r="124" spans="1:23" x14ac:dyDescent="0.2">
      <c r="A124" s="48">
        <f t="shared" ref="A124:A126" si="95">B153*$P$124</f>
        <v>721</v>
      </c>
      <c r="B124" s="78">
        <f>B139+B153-A124</f>
        <v>7425.6</v>
      </c>
      <c r="C124" s="78">
        <f>C153+C139-B139</f>
        <v>9583</v>
      </c>
      <c r="D124" s="78">
        <f t="shared" si="94"/>
        <v>11247.6</v>
      </c>
      <c r="E124" s="78">
        <f t="shared" si="94"/>
        <v>8782.1999999999989</v>
      </c>
      <c r="F124" s="78">
        <f t="shared" si="94"/>
        <v>9968</v>
      </c>
      <c r="G124" s="78">
        <f t="shared" si="94"/>
        <v>9877</v>
      </c>
      <c r="H124" s="78">
        <f t="shared" si="94"/>
        <v>8645</v>
      </c>
      <c r="I124" s="78">
        <f t="shared" si="94"/>
        <v>15026.199999999999</v>
      </c>
      <c r="J124" s="78">
        <f t="shared" si="94"/>
        <v>14128.8</v>
      </c>
      <c r="K124" s="78">
        <f t="shared" si="94"/>
        <v>14170.800000000001</v>
      </c>
      <c r="L124" s="78">
        <f t="shared" si="94"/>
        <v>8723.4</v>
      </c>
      <c r="M124" s="3">
        <f t="shared" ref="M124:M126" si="96">M153+N139-M139</f>
        <v>8909.1882399999995</v>
      </c>
      <c r="P124" s="78">
        <v>0.1</v>
      </c>
    </row>
    <row r="125" spans="1:23" x14ac:dyDescent="0.2">
      <c r="A125" s="48" t="e">
        <f t="shared" si="95"/>
        <v>#REF!</v>
      </c>
      <c r="B125" s="78" t="e">
        <f>B140+B154-A125</f>
        <v>#REF!</v>
      </c>
      <c r="C125" s="78" t="e">
        <f>C154+C140-B140</f>
        <v>#REF!</v>
      </c>
      <c r="D125" s="78" t="e">
        <f t="shared" si="94"/>
        <v>#REF!</v>
      </c>
      <c r="E125" s="78" t="e">
        <f t="shared" si="94"/>
        <v>#REF!</v>
      </c>
      <c r="F125" s="78" t="e">
        <f t="shared" si="94"/>
        <v>#REF!</v>
      </c>
      <c r="G125" s="78" t="e">
        <f t="shared" si="94"/>
        <v>#REF!</v>
      </c>
      <c r="H125" s="78" t="e">
        <f t="shared" si="94"/>
        <v>#REF!</v>
      </c>
      <c r="I125" s="78" t="e">
        <f t="shared" si="94"/>
        <v>#REF!</v>
      </c>
      <c r="J125" s="78" t="e">
        <f t="shared" si="94"/>
        <v>#REF!</v>
      </c>
      <c r="K125" s="78" t="e">
        <f t="shared" si="94"/>
        <v>#REF!</v>
      </c>
      <c r="L125" s="78" t="e">
        <f t="shared" si="94"/>
        <v>#REF!</v>
      </c>
      <c r="M125" s="3" t="e">
        <f t="shared" si="96"/>
        <v>#REF!</v>
      </c>
      <c r="P125" s="11"/>
    </row>
    <row r="126" spans="1:23" x14ac:dyDescent="0.2">
      <c r="A126" s="48" t="e">
        <f t="shared" si="95"/>
        <v>#REF!</v>
      </c>
      <c r="B126" s="78" t="e">
        <f>B141+B155-A126</f>
        <v>#REF!</v>
      </c>
      <c r="C126" s="78" t="e">
        <f>C155+C141-B141</f>
        <v>#REF!</v>
      </c>
      <c r="D126" s="78" t="e">
        <f t="shared" si="94"/>
        <v>#REF!</v>
      </c>
      <c r="E126" s="78" t="e">
        <f t="shared" si="94"/>
        <v>#REF!</v>
      </c>
      <c r="F126" s="78" t="e">
        <f t="shared" si="94"/>
        <v>#REF!</v>
      </c>
      <c r="G126" s="78" t="e">
        <f t="shared" si="94"/>
        <v>#REF!</v>
      </c>
      <c r="H126" s="78" t="e">
        <f t="shared" si="94"/>
        <v>#REF!</v>
      </c>
      <c r="I126" s="78" t="e">
        <f t="shared" si="94"/>
        <v>#REF!</v>
      </c>
      <c r="J126" s="78" t="e">
        <f t="shared" si="94"/>
        <v>#REF!</v>
      </c>
      <c r="K126" s="78" t="e">
        <f t="shared" si="94"/>
        <v>#REF!</v>
      </c>
      <c r="L126" s="78" t="e">
        <f t="shared" si="94"/>
        <v>#REF!</v>
      </c>
      <c r="M126" s="3" t="e">
        <f t="shared" si="96"/>
        <v>#REF!</v>
      </c>
      <c r="P126" s="78" t="s">
        <v>214</v>
      </c>
      <c r="Q126" s="78">
        <v>1</v>
      </c>
      <c r="R126" s="78">
        <v>2</v>
      </c>
      <c r="S126" s="78">
        <v>3</v>
      </c>
      <c r="T126" s="78">
        <v>4</v>
      </c>
    </row>
    <row r="127" spans="1:23" x14ac:dyDescent="0.2">
      <c r="A127" s="27"/>
      <c r="P127" s="78" t="s">
        <v>19</v>
      </c>
      <c r="Q127" s="78">
        <f>Q13*S13*Q23+Q18*S18*Q23</f>
        <v>23000</v>
      </c>
      <c r="R127" s="78" t="e">
        <f>Q13*S13*#REF!+Q18*S18*#REF!</f>
        <v>#REF!</v>
      </c>
      <c r="S127" s="78">
        <f>Q19*S19*Q66+Q20*S20*Q66</f>
        <v>37840</v>
      </c>
      <c r="T127" s="78">
        <f>Q19*S19*Q67+Q20*S20*Q67</f>
        <v>30960</v>
      </c>
    </row>
    <row r="128" spans="1:23" x14ac:dyDescent="0.2">
      <c r="A128" s="198" t="s">
        <v>201</v>
      </c>
      <c r="B128" s="198"/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  <c r="M128" s="198"/>
      <c r="P128" s="78" t="s">
        <v>21</v>
      </c>
      <c r="Q128" s="78">
        <f>Q3*Q4*Q9*1.8</f>
        <v>2136.4363636363632</v>
      </c>
      <c r="R128" s="78">
        <f>R3*R4*Q9*1.8</f>
        <v>1759.4181818181817</v>
      </c>
      <c r="S128" s="78">
        <f>S3*S4*Q9*1.8</f>
        <v>1979.3454545454545</v>
      </c>
      <c r="T128" s="78">
        <f>T3*T4*Q9*1.8</f>
        <v>2434.9090909090905</v>
      </c>
    </row>
    <row r="129" spans="1:20" x14ac:dyDescent="0.2">
      <c r="A129" s="48"/>
      <c r="B129" s="78" t="s">
        <v>3</v>
      </c>
      <c r="C129" s="78" t="s">
        <v>4</v>
      </c>
      <c r="D129" s="78" t="s">
        <v>5</v>
      </c>
      <c r="E129" s="78" t="s">
        <v>6</v>
      </c>
      <c r="F129" s="78" t="s">
        <v>7</v>
      </c>
      <c r="G129" s="78" t="s">
        <v>8</v>
      </c>
      <c r="H129" s="78" t="s">
        <v>9</v>
      </c>
      <c r="I129" s="78" t="s">
        <v>10</v>
      </c>
      <c r="J129" s="78" t="s">
        <v>96</v>
      </c>
      <c r="K129" s="78" t="s">
        <v>12</v>
      </c>
      <c r="L129" s="78" t="s">
        <v>13</v>
      </c>
      <c r="M129" s="78" t="s">
        <v>14</v>
      </c>
      <c r="N129" s="58" t="s">
        <v>125</v>
      </c>
      <c r="P129" s="78"/>
      <c r="Q129" s="78">
        <f>Q127+Q128</f>
        <v>25136.436363636363</v>
      </c>
      <c r="R129" s="78" t="e">
        <f>R127+R128</f>
        <v>#REF!</v>
      </c>
      <c r="S129" s="78">
        <f>S127+S128</f>
        <v>39819.345454545452</v>
      </c>
      <c r="T129" s="78">
        <f>T127+T128</f>
        <v>33394.909090909088</v>
      </c>
    </row>
    <row r="130" spans="1:20" x14ac:dyDescent="0.2">
      <c r="A130" s="48" t="s">
        <v>98</v>
      </c>
      <c r="B130" s="78">
        <f t="shared" ref="B130:M130" si="97">(B123*$S$13)/1000</f>
        <v>47.735999999999997</v>
      </c>
      <c r="C130" s="78">
        <f t="shared" si="97"/>
        <v>61.604999999999997</v>
      </c>
      <c r="D130" s="78">
        <f t="shared" si="97"/>
        <v>72.305999999999997</v>
      </c>
      <c r="E130" s="78">
        <f t="shared" si="97"/>
        <v>56.457000000000001</v>
      </c>
      <c r="F130" s="78">
        <f t="shared" si="97"/>
        <v>64.08</v>
      </c>
      <c r="G130" s="78">
        <f t="shared" si="97"/>
        <v>63.494999999999997</v>
      </c>
      <c r="H130" s="78">
        <f t="shared" si="97"/>
        <v>55.575000000000003</v>
      </c>
      <c r="I130" s="78">
        <f t="shared" si="97"/>
        <v>96.596999999999994</v>
      </c>
      <c r="J130" s="78">
        <f t="shared" si="97"/>
        <v>90.828000000000003</v>
      </c>
      <c r="K130" s="78">
        <f t="shared" si="97"/>
        <v>91.097999999999999</v>
      </c>
      <c r="L130" s="78">
        <f t="shared" si="97"/>
        <v>56.079000000000001</v>
      </c>
      <c r="M130" s="3">
        <f t="shared" si="97"/>
        <v>57.275924399999994</v>
      </c>
      <c r="N130" s="64">
        <f>SUM(B130:M130)</f>
        <v>813.13192439999989</v>
      </c>
      <c r="P130" s="11"/>
    </row>
    <row r="131" spans="1:20" x14ac:dyDescent="0.2">
      <c r="A131" s="48" t="s">
        <v>99</v>
      </c>
      <c r="B131" s="78">
        <f>(B124*$S18)/1000</f>
        <v>74.256</v>
      </c>
      <c r="C131" s="78">
        <f t="shared" ref="C131:M131" si="98">(C124*$S$18)/1000</f>
        <v>95.83</v>
      </c>
      <c r="D131" s="78">
        <f t="shared" si="98"/>
        <v>112.476</v>
      </c>
      <c r="E131" s="78">
        <f t="shared" si="98"/>
        <v>87.821999999999989</v>
      </c>
      <c r="F131" s="78">
        <f t="shared" si="98"/>
        <v>99.68</v>
      </c>
      <c r="G131" s="78">
        <f t="shared" si="98"/>
        <v>98.77</v>
      </c>
      <c r="H131" s="78">
        <f t="shared" si="98"/>
        <v>86.45</v>
      </c>
      <c r="I131" s="78">
        <f t="shared" si="98"/>
        <v>150.262</v>
      </c>
      <c r="J131" s="78">
        <f t="shared" si="98"/>
        <v>141.28800000000001</v>
      </c>
      <c r="K131" s="78">
        <f t="shared" si="98"/>
        <v>141.708</v>
      </c>
      <c r="L131" s="78">
        <f t="shared" si="98"/>
        <v>87.233999999999995</v>
      </c>
      <c r="M131" s="3">
        <f t="shared" si="98"/>
        <v>89.091882400000003</v>
      </c>
      <c r="N131" s="64">
        <f t="shared" ref="N131:N133" si="99">SUM(B131:M131)</f>
        <v>1264.8678824000001</v>
      </c>
      <c r="P131" s="11"/>
    </row>
    <row r="132" spans="1:20" x14ac:dyDescent="0.2">
      <c r="A132" s="48" t="s">
        <v>102</v>
      </c>
      <c r="B132" s="78" t="e">
        <f>(B125*$S19)/1000</f>
        <v>#REF!</v>
      </c>
      <c r="C132" s="78" t="e">
        <f>(C125*$S19)/1000</f>
        <v>#REF!</v>
      </c>
      <c r="D132" s="78" t="e">
        <f>(D125*$S19)/1000</f>
        <v>#REF!</v>
      </c>
      <c r="E132" s="78" t="e">
        <f>(E125*$S19)/1000</f>
        <v>#REF!</v>
      </c>
      <c r="F132" s="78" t="e">
        <f>(F125*$S19)/1000</f>
        <v>#REF!</v>
      </c>
      <c r="G132" s="78" t="e">
        <f>(G125*$S19)/1000</f>
        <v>#REF!</v>
      </c>
      <c r="H132" s="78" t="e">
        <f>(H125*$S19)/1000</f>
        <v>#REF!</v>
      </c>
      <c r="I132" s="78" t="e">
        <f>(I125*$S19)/1000</f>
        <v>#REF!</v>
      </c>
      <c r="J132" s="78" t="e">
        <f>(J125*$S19)/1000</f>
        <v>#REF!</v>
      </c>
      <c r="K132" s="78" t="e">
        <f>(K125*$S19)/1000</f>
        <v>#REF!</v>
      </c>
      <c r="L132" s="78" t="e">
        <f>(L125*$S19)/1000</f>
        <v>#REF!</v>
      </c>
      <c r="M132" s="3" t="e">
        <f>(M125*$S19)/1000</f>
        <v>#REF!</v>
      </c>
      <c r="N132" s="64" t="e">
        <f t="shared" si="99"/>
        <v>#REF!</v>
      </c>
      <c r="P132" s="11"/>
    </row>
    <row r="133" spans="1:20" x14ac:dyDescent="0.2">
      <c r="A133" s="48" t="s">
        <v>103</v>
      </c>
      <c r="B133" s="78" t="e">
        <f>(B126*$S20)/1000</f>
        <v>#REF!</v>
      </c>
      <c r="C133" s="78" t="e">
        <f>(C126*$S20)/1000</f>
        <v>#REF!</v>
      </c>
      <c r="D133" s="78" t="e">
        <f>(D126*$S20)/1000</f>
        <v>#REF!</v>
      </c>
      <c r="E133" s="78" t="e">
        <f>(E126*$S20)/1000</f>
        <v>#REF!</v>
      </c>
      <c r="F133" s="78" t="e">
        <f>(F126*$S20)/1000</f>
        <v>#REF!</v>
      </c>
      <c r="G133" s="78" t="e">
        <f>(G126*$S20)/1000</f>
        <v>#REF!</v>
      </c>
      <c r="H133" s="78" t="e">
        <f>(H126*$S20)/1000</f>
        <v>#REF!</v>
      </c>
      <c r="I133" s="78" t="e">
        <f>(I126*$S20)/1000</f>
        <v>#REF!</v>
      </c>
      <c r="J133" s="78" t="e">
        <f>(J126*$S20)/1000</f>
        <v>#REF!</v>
      </c>
      <c r="K133" s="78" t="e">
        <f>(K126*$S20)/1000</f>
        <v>#REF!</v>
      </c>
      <c r="L133" s="78" t="e">
        <f>(L126*$S20)/1000</f>
        <v>#REF!</v>
      </c>
      <c r="M133" s="3" t="e">
        <f>(M126*$S20)/1000</f>
        <v>#REF!</v>
      </c>
      <c r="N133" s="64" t="e">
        <f t="shared" si="99"/>
        <v>#REF!</v>
      </c>
      <c r="P133" s="11"/>
    </row>
    <row r="134" spans="1:20" x14ac:dyDescent="0.2">
      <c r="A134" s="48" t="s">
        <v>125</v>
      </c>
      <c r="B134" s="78" t="e">
        <f>SUM(B130:B133)</f>
        <v>#REF!</v>
      </c>
      <c r="C134" s="78" t="e">
        <f t="shared" ref="C134:M134" si="100">SUM(C130:C133)</f>
        <v>#REF!</v>
      </c>
      <c r="D134" s="78" t="e">
        <f t="shared" si="100"/>
        <v>#REF!</v>
      </c>
      <c r="E134" s="78" t="e">
        <f t="shared" si="100"/>
        <v>#REF!</v>
      </c>
      <c r="F134" s="78" t="e">
        <f t="shared" si="100"/>
        <v>#REF!</v>
      </c>
      <c r="G134" s="78" t="e">
        <f t="shared" si="100"/>
        <v>#REF!</v>
      </c>
      <c r="H134" s="78" t="e">
        <f t="shared" si="100"/>
        <v>#REF!</v>
      </c>
      <c r="I134" s="78" t="e">
        <f t="shared" si="100"/>
        <v>#REF!</v>
      </c>
      <c r="J134" s="78" t="e">
        <f t="shared" si="100"/>
        <v>#REF!</v>
      </c>
      <c r="K134" s="78" t="e">
        <f t="shared" si="100"/>
        <v>#REF!</v>
      </c>
      <c r="L134" s="78" t="e">
        <f t="shared" si="100"/>
        <v>#REF!</v>
      </c>
      <c r="M134" s="3" t="e">
        <f t="shared" si="100"/>
        <v>#REF!</v>
      </c>
      <c r="N134" s="64" t="e">
        <f>SUM(B134:M134)</f>
        <v>#REF!</v>
      </c>
      <c r="P134" s="11"/>
    </row>
    <row r="135" spans="1:20" x14ac:dyDescent="0.2">
      <c r="A135" s="68"/>
      <c r="P135" s="11"/>
    </row>
    <row r="136" spans="1:20" x14ac:dyDescent="0.2">
      <c r="A136" s="192" t="s">
        <v>171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2"/>
      <c r="P136" s="11"/>
    </row>
    <row r="137" spans="1:20" x14ac:dyDescent="0.2">
      <c r="A137" s="78"/>
      <c r="B137" s="78" t="s">
        <v>3</v>
      </c>
      <c r="C137" s="78" t="s">
        <v>4</v>
      </c>
      <c r="D137" s="78" t="s">
        <v>5</v>
      </c>
      <c r="E137" s="78" t="s">
        <v>6</v>
      </c>
      <c r="F137" s="78" t="s">
        <v>7</v>
      </c>
      <c r="G137" s="78" t="s">
        <v>8</v>
      </c>
      <c r="H137" s="78" t="s">
        <v>9</v>
      </c>
      <c r="I137" s="78" t="s">
        <v>10</v>
      </c>
      <c r="J137" s="78" t="s">
        <v>96</v>
      </c>
      <c r="K137" s="78" t="s">
        <v>12</v>
      </c>
      <c r="L137" s="78" t="s">
        <v>13</v>
      </c>
      <c r="M137" s="78" t="s">
        <v>14</v>
      </c>
      <c r="N137" s="63" t="s">
        <v>173</v>
      </c>
      <c r="P137" s="11"/>
    </row>
    <row r="138" spans="1:20" x14ac:dyDescent="0.2">
      <c r="A138" s="48" t="s">
        <v>98</v>
      </c>
      <c r="B138" s="78">
        <f>C152*0.1</f>
        <v>669</v>
      </c>
      <c r="C138" s="78">
        <f t="shared" ref="C138:L141" si="101">D152*0.1</f>
        <v>824</v>
      </c>
      <c r="D138" s="78">
        <f t="shared" si="101"/>
        <v>618</v>
      </c>
      <c r="E138" s="78">
        <f t="shared" si="101"/>
        <v>711</v>
      </c>
      <c r="F138" s="78">
        <f t="shared" si="101"/>
        <v>721</v>
      </c>
      <c r="G138" s="78">
        <f t="shared" si="101"/>
        <v>566</v>
      </c>
      <c r="H138" s="78">
        <f t="shared" si="101"/>
        <v>1081</v>
      </c>
      <c r="I138" s="78">
        <f t="shared" si="101"/>
        <v>1004</v>
      </c>
      <c r="J138" s="78">
        <f t="shared" si="101"/>
        <v>1056</v>
      </c>
      <c r="K138" s="78">
        <f t="shared" si="101"/>
        <v>618</v>
      </c>
      <c r="L138" s="78">
        <f t="shared" si="101"/>
        <v>669</v>
      </c>
      <c r="M138" s="78">
        <f>ROUNDUP(N152*P$124,0)</f>
        <v>2489</v>
      </c>
      <c r="N138" s="65">
        <f>$Q$149*Q13*$P$124</f>
        <v>2162.9915999999998</v>
      </c>
      <c r="P138" s="11"/>
    </row>
    <row r="139" spans="1:20" x14ac:dyDescent="0.2">
      <c r="A139" s="48" t="s">
        <v>99</v>
      </c>
      <c r="B139" s="78">
        <f>C153*0.1</f>
        <v>936.6</v>
      </c>
      <c r="C139" s="78">
        <f t="shared" si="101"/>
        <v>1153.6000000000001</v>
      </c>
      <c r="D139" s="78">
        <f t="shared" si="101"/>
        <v>865.2</v>
      </c>
      <c r="E139" s="78">
        <f t="shared" si="101"/>
        <v>995.40000000000009</v>
      </c>
      <c r="F139" s="78">
        <f t="shared" si="101"/>
        <v>1009.4000000000001</v>
      </c>
      <c r="G139" s="78">
        <f t="shared" si="101"/>
        <v>792.40000000000009</v>
      </c>
      <c r="H139" s="78">
        <f t="shared" si="101"/>
        <v>1513.4</v>
      </c>
      <c r="I139" s="78">
        <f t="shared" si="101"/>
        <v>1405.6000000000001</v>
      </c>
      <c r="J139" s="78">
        <f t="shared" si="101"/>
        <v>1478.4</v>
      </c>
      <c r="K139" s="78">
        <f t="shared" si="101"/>
        <v>865.2</v>
      </c>
      <c r="L139" s="78">
        <f t="shared" si="101"/>
        <v>936.6</v>
      </c>
      <c r="M139" s="78">
        <f t="shared" ref="M139:M141" si="102">ROUNDUP(N153*P$124,0)</f>
        <v>3485</v>
      </c>
      <c r="N139" s="65">
        <f>$Q$149*Q18*$P$124</f>
        <v>3028.18824</v>
      </c>
      <c r="P139" s="11"/>
    </row>
    <row r="140" spans="1:20" x14ac:dyDescent="0.2">
      <c r="A140" s="48" t="s">
        <v>102</v>
      </c>
      <c r="B140" s="78" t="e">
        <f>C154*0.1</f>
        <v>#REF!</v>
      </c>
      <c r="C140" s="78" t="e">
        <f t="shared" si="101"/>
        <v>#REF!</v>
      </c>
      <c r="D140" s="78" t="e">
        <f t="shared" si="101"/>
        <v>#REF!</v>
      </c>
      <c r="E140" s="78" t="e">
        <f t="shared" si="101"/>
        <v>#REF!</v>
      </c>
      <c r="F140" s="78" t="e">
        <f t="shared" si="101"/>
        <v>#REF!</v>
      </c>
      <c r="G140" s="78" t="e">
        <f t="shared" si="101"/>
        <v>#REF!</v>
      </c>
      <c r="H140" s="78" t="e">
        <f t="shared" si="101"/>
        <v>#REF!</v>
      </c>
      <c r="I140" s="78" t="e">
        <f t="shared" si="101"/>
        <v>#REF!</v>
      </c>
      <c r="J140" s="78" t="e">
        <f t="shared" si="101"/>
        <v>#REF!</v>
      </c>
      <c r="K140" s="78" t="e">
        <f t="shared" si="101"/>
        <v>#REF!</v>
      </c>
      <c r="L140" s="78" t="e">
        <f>M154*0.1</f>
        <v>#REF!</v>
      </c>
      <c r="M140" s="78">
        <f t="shared" si="102"/>
        <v>1728</v>
      </c>
      <c r="N140" s="65">
        <f>$Q$150*Q19*$P$124</f>
        <v>1472.89428</v>
      </c>
      <c r="P140" s="11"/>
    </row>
    <row r="141" spans="1:20" x14ac:dyDescent="0.2">
      <c r="A141" s="48" t="s">
        <v>103</v>
      </c>
      <c r="B141" s="78" t="e">
        <f>C155*0.1</f>
        <v>#REF!</v>
      </c>
      <c r="C141" s="78" t="e">
        <f t="shared" si="101"/>
        <v>#REF!</v>
      </c>
      <c r="D141" s="78" t="e">
        <f t="shared" si="101"/>
        <v>#REF!</v>
      </c>
      <c r="E141" s="78" t="e">
        <f t="shared" si="101"/>
        <v>#REF!</v>
      </c>
      <c r="F141" s="78" t="e">
        <f t="shared" si="101"/>
        <v>#REF!</v>
      </c>
      <c r="G141" s="78" t="e">
        <f t="shared" si="101"/>
        <v>#REF!</v>
      </c>
      <c r="H141" s="78" t="e">
        <f t="shared" si="101"/>
        <v>#REF!</v>
      </c>
      <c r="I141" s="78" t="e">
        <f t="shared" si="101"/>
        <v>#REF!</v>
      </c>
      <c r="J141" s="78" t="e">
        <f t="shared" si="101"/>
        <v>#REF!</v>
      </c>
      <c r="K141" s="78" t="e">
        <f t="shared" si="101"/>
        <v>#REF!</v>
      </c>
      <c r="L141" s="78" t="e">
        <f t="shared" si="101"/>
        <v>#REF!</v>
      </c>
      <c r="M141" s="78">
        <f t="shared" si="102"/>
        <v>1885</v>
      </c>
      <c r="N141" s="65">
        <f>$Q$150*Q20*$P$124</f>
        <v>1606.79376</v>
      </c>
    </row>
    <row r="142" spans="1:20" x14ac:dyDescent="0.2">
      <c r="A142" s="4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20" x14ac:dyDescent="0.2">
      <c r="A143" s="198" t="s">
        <v>172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</row>
    <row r="144" spans="1:20" x14ac:dyDescent="0.2">
      <c r="A144" s="48"/>
      <c r="B144" s="78" t="s">
        <v>3</v>
      </c>
      <c r="C144" s="78" t="s">
        <v>4</v>
      </c>
      <c r="D144" s="78" t="s">
        <v>5</v>
      </c>
      <c r="E144" s="78" t="s">
        <v>6</v>
      </c>
      <c r="F144" s="78" t="s">
        <v>7</v>
      </c>
      <c r="G144" s="78" t="s">
        <v>8</v>
      </c>
      <c r="H144" s="78" t="s">
        <v>9</v>
      </c>
      <c r="I144" s="78" t="s">
        <v>10</v>
      </c>
      <c r="J144" s="78" t="s">
        <v>96</v>
      </c>
      <c r="K144" s="78" t="s">
        <v>12</v>
      </c>
      <c r="L144" s="78" t="s">
        <v>13</v>
      </c>
      <c r="M144" s="78" t="s">
        <v>14</v>
      </c>
    </row>
    <row r="145" spans="1:19" x14ac:dyDescent="0.2">
      <c r="A145" s="48" t="s">
        <v>98</v>
      </c>
      <c r="B145" s="78">
        <f>A123+B123-$Q13*B20</f>
        <v>669</v>
      </c>
      <c r="C145" s="78">
        <f>B145+C123-C$20*$Q13</f>
        <v>824</v>
      </c>
      <c r="D145" s="78">
        <f>C145+D123-D20*$Q13</f>
        <v>618</v>
      </c>
      <c r="E145" s="78">
        <f>D145+E123-E20*$Q13</f>
        <v>711</v>
      </c>
      <c r="F145" s="78">
        <f>E145+F123-F20*$Q13</f>
        <v>721</v>
      </c>
      <c r="G145" s="78">
        <f>F145+G123-G20*$Q13</f>
        <v>566</v>
      </c>
      <c r="H145" s="78">
        <f>G145+H123-H20*$Q13</f>
        <v>1081</v>
      </c>
      <c r="I145" s="78">
        <f>H145+I123-I20*$Q13</f>
        <v>1004</v>
      </c>
      <c r="J145" s="78">
        <f>I145+J123-J20*$Q13</f>
        <v>1056</v>
      </c>
      <c r="K145" s="78">
        <f>J145+K123-K20*$Q13</f>
        <v>618</v>
      </c>
      <c r="L145" s="78">
        <f>K145+L123-L20*$Q13</f>
        <v>669</v>
      </c>
      <c r="M145" s="3">
        <f>ROUNDUP(L145+M123-M$20*Q13,0)</f>
        <v>343</v>
      </c>
    </row>
    <row r="146" spans="1:19" x14ac:dyDescent="0.2">
      <c r="A146" s="48" t="s">
        <v>99</v>
      </c>
      <c r="B146" s="78">
        <f>A124+B124-$Q18*B20</f>
        <v>936.60000000000036</v>
      </c>
      <c r="C146" s="78">
        <f>B146+C124-C$20*$Q18</f>
        <v>1153.6000000000004</v>
      </c>
      <c r="D146" s="78">
        <f>C146+D124-D$20*$Q18</f>
        <v>865.20000000000073</v>
      </c>
      <c r="E146" s="78">
        <f>D146+E124-E$20*$Q18</f>
        <v>995.39999999999964</v>
      </c>
      <c r="F146" s="78">
        <f>E146+F124-F$20*$Q18</f>
        <v>1009.3999999999996</v>
      </c>
      <c r="G146" s="78">
        <f>F146+G124-G$20*$Q18</f>
        <v>792.39999999999964</v>
      </c>
      <c r="H146" s="78">
        <f>G146+H124-H$20*$Q18</f>
        <v>1513.3999999999996</v>
      </c>
      <c r="I146" s="78">
        <f>H146+I124-I$20*$Q18</f>
        <v>1405.5999999999985</v>
      </c>
      <c r="J146" s="78">
        <f>I146+J124-J$20*$Q18</f>
        <v>1478.3999999999978</v>
      </c>
      <c r="K146" s="78">
        <f>J146+K124-K$20*$Q18</f>
        <v>865.19999999999891</v>
      </c>
      <c r="L146" s="78">
        <f>K146+L124-L$20*$Q18</f>
        <v>936.59999999999854</v>
      </c>
      <c r="M146" s="3">
        <f>ROUNDUP(L146+M124-M$20*Q18,0)</f>
        <v>480</v>
      </c>
    </row>
    <row r="147" spans="1:19" x14ac:dyDescent="0.2">
      <c r="A147" s="48" t="s">
        <v>102</v>
      </c>
      <c r="B147" s="78" t="e">
        <f>A125+B125-$Q19*#REF!</f>
        <v>#REF!</v>
      </c>
      <c r="C147" s="78" t="e">
        <f>B147+C125-#REF!*$Q19</f>
        <v>#REF!</v>
      </c>
      <c r="D147" s="78" t="e">
        <f>C147+D125-#REF!*$Q19</f>
        <v>#REF!</v>
      </c>
      <c r="E147" s="78" t="e">
        <f>D147+E125-#REF!*$Q19</f>
        <v>#REF!</v>
      </c>
      <c r="F147" s="78" t="e">
        <f>E147+F125-#REF!*$Q19</f>
        <v>#REF!</v>
      </c>
      <c r="G147" s="78" t="e">
        <f>F147+G125-#REF!*$Q19</f>
        <v>#REF!</v>
      </c>
      <c r="H147" s="78" t="e">
        <f>G147+H125-#REF!*$Q19</f>
        <v>#REF!</v>
      </c>
      <c r="I147" s="78" t="e">
        <f>H147+I125-#REF!*$Q19</f>
        <v>#REF!</v>
      </c>
      <c r="J147" s="78" t="e">
        <f>I147+J125-#REF!*$Q19</f>
        <v>#REF!</v>
      </c>
      <c r="K147" s="78" t="e">
        <f>J147+K125-#REF!*$Q19</f>
        <v>#REF!</v>
      </c>
      <c r="L147" s="78" t="e">
        <f>K147+L125-#REF!*$Q19</f>
        <v>#REF!</v>
      </c>
      <c r="M147" s="3" t="e">
        <f>ROUNDUP(L147+M125-#REF!*Q19,0)</f>
        <v>#REF!</v>
      </c>
    </row>
    <row r="148" spans="1:19" x14ac:dyDescent="0.2">
      <c r="A148" s="48" t="s">
        <v>103</v>
      </c>
      <c r="B148" s="78" t="e">
        <f>A126+B126-Q20*#REF!</f>
        <v>#REF!</v>
      </c>
      <c r="C148" s="78" t="e">
        <f>B148+C126-#REF!*$Q20</f>
        <v>#REF!</v>
      </c>
      <c r="D148" s="78" t="e">
        <f>C148+D126-#REF!*$Q20</f>
        <v>#REF!</v>
      </c>
      <c r="E148" s="78" t="e">
        <f>D148+E126-#REF!*$Q20</f>
        <v>#REF!</v>
      </c>
      <c r="F148" s="78" t="e">
        <f>E148+F126-#REF!*$Q20</f>
        <v>#REF!</v>
      </c>
      <c r="G148" s="78" t="e">
        <f>F148+G126-#REF!*$Q20</f>
        <v>#REF!</v>
      </c>
      <c r="H148" s="78" t="e">
        <f>G148+H126-#REF!*$Q20</f>
        <v>#REF!</v>
      </c>
      <c r="I148" s="78" t="e">
        <f>H148+I126-#REF!*$Q20</f>
        <v>#REF!</v>
      </c>
      <c r="J148" s="78" t="e">
        <f>I148+J126-#REF!*$Q20</f>
        <v>#REF!</v>
      </c>
      <c r="K148" s="78" t="e">
        <f>J148+K126-#REF!*$Q20</f>
        <v>#REF!</v>
      </c>
      <c r="L148" s="78" t="e">
        <f>K148+L126-#REF!*$Q20</f>
        <v>#REF!</v>
      </c>
      <c r="M148" s="3" t="e">
        <f>ROUNDUP(L148+M126-#REF!*Q20,0)</f>
        <v>#REF!</v>
      </c>
      <c r="P148" s="48" t="s">
        <v>112</v>
      </c>
      <c r="Q148" s="27" t="s">
        <v>174</v>
      </c>
    </row>
    <row r="149" spans="1:19" x14ac:dyDescent="0.2">
      <c r="P149" s="78">
        <v>2061</v>
      </c>
      <c r="Q149" s="3">
        <f>2120.58*1.02</f>
        <v>2162.9915999999998</v>
      </c>
    </row>
    <row r="150" spans="1:19" x14ac:dyDescent="0.2">
      <c r="A150" s="192" t="s">
        <v>115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2"/>
      <c r="N150" s="11"/>
      <c r="P150" s="48">
        <v>670</v>
      </c>
      <c r="Q150" s="3">
        <f>656.37*1.02</f>
        <v>669.49739999999997</v>
      </c>
    </row>
    <row r="151" spans="1:19" x14ac:dyDescent="0.2">
      <c r="A151" s="78"/>
      <c r="B151" s="78" t="s">
        <v>3</v>
      </c>
      <c r="C151" s="78" t="s">
        <v>4</v>
      </c>
      <c r="D151" s="78" t="s">
        <v>5</v>
      </c>
      <c r="E151" s="78" t="s">
        <v>6</v>
      </c>
      <c r="F151" s="78" t="s">
        <v>7</v>
      </c>
      <c r="G151" s="78" t="s">
        <v>8</v>
      </c>
      <c r="H151" s="78" t="s">
        <v>9</v>
      </c>
      <c r="I151" s="78" t="s">
        <v>10</v>
      </c>
      <c r="J151" s="78" t="s">
        <v>96</v>
      </c>
      <c r="K151" s="78" t="s">
        <v>12</v>
      </c>
      <c r="L151" s="78" t="s">
        <v>13</v>
      </c>
      <c r="M151" s="78" t="s">
        <v>14</v>
      </c>
      <c r="N151" s="63" t="s">
        <v>173</v>
      </c>
    </row>
    <row r="152" spans="1:19" x14ac:dyDescent="0.2">
      <c r="A152" s="78" t="s">
        <v>98</v>
      </c>
      <c r="B152" s="78">
        <f t="shared" ref="B152:M152" si="103">B20*$Q$13</f>
        <v>5150</v>
      </c>
      <c r="C152" s="78">
        <f t="shared" si="103"/>
        <v>6690</v>
      </c>
      <c r="D152" s="78">
        <f t="shared" si="103"/>
        <v>8240</v>
      </c>
      <c r="E152" s="78">
        <f t="shared" si="103"/>
        <v>6180</v>
      </c>
      <c r="F152" s="78">
        <f t="shared" si="103"/>
        <v>7110</v>
      </c>
      <c r="G152" s="78">
        <f t="shared" si="103"/>
        <v>7210</v>
      </c>
      <c r="H152" s="78">
        <f t="shared" si="103"/>
        <v>5660</v>
      </c>
      <c r="I152" s="78">
        <f t="shared" si="103"/>
        <v>10810</v>
      </c>
      <c r="J152" s="78">
        <f t="shared" si="103"/>
        <v>10040</v>
      </c>
      <c r="K152" s="78">
        <f t="shared" si="103"/>
        <v>10560</v>
      </c>
      <c r="L152" s="78">
        <f t="shared" si="103"/>
        <v>6180</v>
      </c>
      <c r="M152" s="78">
        <f t="shared" si="103"/>
        <v>6690</v>
      </c>
      <c r="N152" s="64">
        <f>ROUNDUP(Hoja4!B56*1.02,0)</f>
        <v>24888</v>
      </c>
    </row>
    <row r="153" spans="1:19" x14ac:dyDescent="0.2">
      <c r="A153" s="78" t="s">
        <v>99</v>
      </c>
      <c r="B153" s="78">
        <f t="shared" ref="B153:M153" si="104">B20*$Q$18</f>
        <v>7210</v>
      </c>
      <c r="C153" s="78">
        <f t="shared" si="104"/>
        <v>9366</v>
      </c>
      <c r="D153" s="78">
        <f t="shared" si="104"/>
        <v>11536</v>
      </c>
      <c r="E153" s="78">
        <f t="shared" si="104"/>
        <v>8652</v>
      </c>
      <c r="F153" s="78">
        <f t="shared" si="104"/>
        <v>9954</v>
      </c>
      <c r="G153" s="78">
        <f t="shared" si="104"/>
        <v>10094</v>
      </c>
      <c r="H153" s="78">
        <f t="shared" si="104"/>
        <v>7924</v>
      </c>
      <c r="I153" s="78">
        <f t="shared" si="104"/>
        <v>15134</v>
      </c>
      <c r="J153" s="78">
        <f t="shared" si="104"/>
        <v>14056</v>
      </c>
      <c r="K153" s="78">
        <f t="shared" si="104"/>
        <v>14784</v>
      </c>
      <c r="L153" s="78">
        <f t="shared" si="104"/>
        <v>8652</v>
      </c>
      <c r="M153" s="78">
        <f t="shared" si="104"/>
        <v>9366</v>
      </c>
      <c r="N153" s="64">
        <f>ROUNDUP(Hoja4!B57*1.02,0)</f>
        <v>34844</v>
      </c>
      <c r="O153" s="151" t="s">
        <v>116</v>
      </c>
      <c r="P153" s="151"/>
      <c r="Q153" s="151"/>
      <c r="R153" s="151"/>
      <c r="S153" s="151"/>
    </row>
    <row r="154" spans="1:19" x14ac:dyDescent="0.2">
      <c r="A154" s="78" t="s">
        <v>102</v>
      </c>
      <c r="B154" s="78" t="e">
        <f>#REF!*$Q$19</f>
        <v>#REF!</v>
      </c>
      <c r="C154" s="78" t="e">
        <f>#REF!*$Q$19</f>
        <v>#REF!</v>
      </c>
      <c r="D154" s="78" t="e">
        <f>#REF!*$Q$19</f>
        <v>#REF!</v>
      </c>
      <c r="E154" s="78" t="e">
        <f>#REF!*$Q$19</f>
        <v>#REF!</v>
      </c>
      <c r="F154" s="78" t="e">
        <f>#REF!*$Q$19</f>
        <v>#REF!</v>
      </c>
      <c r="G154" s="78" t="e">
        <f>#REF!*$Q$19</f>
        <v>#REF!</v>
      </c>
      <c r="H154" s="78" t="e">
        <f>#REF!*$Q$19</f>
        <v>#REF!</v>
      </c>
      <c r="I154" s="78" t="e">
        <f>#REF!*$Q$19</f>
        <v>#REF!</v>
      </c>
      <c r="J154" s="78" t="e">
        <f>#REF!*$Q$19</f>
        <v>#REF!</v>
      </c>
      <c r="K154" s="78" t="e">
        <f>#REF!*$Q$19</f>
        <v>#REF!</v>
      </c>
      <c r="L154" s="78" t="e">
        <f>#REF!*$Q$19</f>
        <v>#REF!</v>
      </c>
      <c r="M154" s="78" t="e">
        <f>#REF!*$Q$19</f>
        <v>#REF!</v>
      </c>
      <c r="N154" s="64">
        <f>ROUNDUP(Hoja4!B58*1.02,0)</f>
        <v>17279</v>
      </c>
      <c r="O154" s="78"/>
      <c r="P154" s="3" t="s">
        <v>117</v>
      </c>
      <c r="Q154" s="78" t="s">
        <v>118</v>
      </c>
      <c r="R154" s="78" t="s">
        <v>119</v>
      </c>
      <c r="S154" s="78" t="s">
        <v>120</v>
      </c>
    </row>
    <row r="155" spans="1:19" x14ac:dyDescent="0.2">
      <c r="A155" s="78" t="s">
        <v>103</v>
      </c>
      <c r="B155" s="78" t="e">
        <f>#REF!*$Q$20</f>
        <v>#REF!</v>
      </c>
      <c r="C155" s="78" t="e">
        <f>#REF!*$Q$20</f>
        <v>#REF!</v>
      </c>
      <c r="D155" s="78" t="e">
        <f>#REF!*$Q$20</f>
        <v>#REF!</v>
      </c>
      <c r="E155" s="78" t="e">
        <f>#REF!*$Q$20</f>
        <v>#REF!</v>
      </c>
      <c r="F155" s="78" t="e">
        <f>#REF!*$Q$20</f>
        <v>#REF!</v>
      </c>
      <c r="G155" s="78" t="e">
        <f>#REF!*$Q$20</f>
        <v>#REF!</v>
      </c>
      <c r="H155" s="78" t="e">
        <f>#REF!*$Q$20</f>
        <v>#REF!</v>
      </c>
      <c r="I155" s="78" t="e">
        <f>#REF!*$Q$20</f>
        <v>#REF!</v>
      </c>
      <c r="J155" s="78" t="e">
        <f>#REF!*$Q$20</f>
        <v>#REF!</v>
      </c>
      <c r="K155" s="78" t="e">
        <f>#REF!*$Q$20</f>
        <v>#REF!</v>
      </c>
      <c r="L155" s="78" t="e">
        <f>#REF!*$Q$20</f>
        <v>#REF!</v>
      </c>
      <c r="M155" s="78" t="e">
        <f>#REF!*$Q$20</f>
        <v>#REF!</v>
      </c>
      <c r="N155" s="64">
        <f>ROUNDUP(Hoja4!B59*1.02,0)</f>
        <v>18850</v>
      </c>
      <c r="O155" s="52" t="s">
        <v>121</v>
      </c>
      <c r="P155" s="78">
        <f>$Q$13*$Q23*$S$13+$Q$18*$Q23*$S$18</f>
        <v>23000</v>
      </c>
      <c r="Q155" s="78" t="e">
        <f>#REF!*Q13*S13+#REF!*Q18*S18</f>
        <v>#REF!</v>
      </c>
      <c r="R155" s="78">
        <f>Q66*Q19*S19+Q66*Q20*S20</f>
        <v>37840</v>
      </c>
      <c r="S155" s="78">
        <f>Q67*Q19*S19+Q67*Q20*S20</f>
        <v>30960</v>
      </c>
    </row>
    <row r="156" spans="1:19" x14ac:dyDescent="0.2">
      <c r="N156" s="55"/>
      <c r="O156" s="52" t="s">
        <v>122</v>
      </c>
      <c r="P156" s="78">
        <f>Q9*Q3*Q4</f>
        <v>1186.9090909090908</v>
      </c>
      <c r="Q156" s="78">
        <f>Q9*R3*R4</f>
        <v>977.45454545454538</v>
      </c>
      <c r="R156" s="78">
        <f>S3*S4*Q9</f>
        <v>1099.6363636363635</v>
      </c>
      <c r="S156" s="78">
        <f>T3*T4*Q9</f>
        <v>1352.7272727272725</v>
      </c>
    </row>
    <row r="157" spans="1:19" x14ac:dyDescent="0.2">
      <c r="O157" s="48" t="s">
        <v>125</v>
      </c>
      <c r="P157" s="3">
        <f>P155+P156</f>
        <v>24186.909090909092</v>
      </c>
      <c r="Q157" s="3" t="e">
        <f>Q155+Q156</f>
        <v>#REF!</v>
      </c>
      <c r="R157" s="3">
        <f>R155+R156</f>
        <v>38939.63636363636</v>
      </c>
      <c r="S157" s="3">
        <f>S155+S156</f>
        <v>32312.727272727272</v>
      </c>
    </row>
    <row r="158" spans="1:19" x14ac:dyDescent="0.2">
      <c r="A158" s="198" t="s">
        <v>128</v>
      </c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O158" s="50" t="s">
        <v>126</v>
      </c>
      <c r="P158" s="51">
        <f>P155+P156*1.8</f>
        <v>25136.436363636363</v>
      </c>
      <c r="Q158" s="51" t="e">
        <f>Q155+Q156*1.8</f>
        <v>#REF!</v>
      </c>
      <c r="R158" s="51">
        <f>R155+R156*1.8</f>
        <v>39819.345454545452</v>
      </c>
      <c r="S158" s="51">
        <f>S155+S156*1.8</f>
        <v>33394.909090909088</v>
      </c>
    </row>
    <row r="159" spans="1:19" x14ac:dyDescent="0.2">
      <c r="A159" s="78"/>
      <c r="B159" s="78" t="s">
        <v>3</v>
      </c>
      <c r="C159" s="78" t="s">
        <v>4</v>
      </c>
      <c r="D159" s="78" t="s">
        <v>5</v>
      </c>
      <c r="E159" s="78" t="s">
        <v>6</v>
      </c>
      <c r="F159" s="78" t="s">
        <v>7</v>
      </c>
      <c r="G159" s="78" t="s">
        <v>8</v>
      </c>
      <c r="H159" s="78" t="s">
        <v>9</v>
      </c>
      <c r="I159" s="78" t="s">
        <v>10</v>
      </c>
      <c r="J159" s="78" t="s">
        <v>96</v>
      </c>
      <c r="K159" s="78" t="s">
        <v>12</v>
      </c>
      <c r="L159" s="78" t="s">
        <v>13</v>
      </c>
      <c r="M159" s="78" t="s">
        <v>14</v>
      </c>
    </row>
    <row r="160" spans="1:19" x14ac:dyDescent="0.2">
      <c r="A160" s="78"/>
      <c r="B160" s="199" t="s">
        <v>114</v>
      </c>
      <c r="C160" s="199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11"/>
    </row>
    <row r="161" spans="1:16" x14ac:dyDescent="0.2">
      <c r="A161" s="48" t="s">
        <v>15</v>
      </c>
      <c r="B161" s="3">
        <f>Enunciado!C28+Enunciado!D28*Hoja4!$P$25</f>
        <v>2443.7160000000003</v>
      </c>
      <c r="C161" s="3">
        <f>Enunciado!D28+Enunciado!E28*Hoja4!$P$25</f>
        <v>2544.6959999999999</v>
      </c>
      <c r="D161" s="3">
        <f>Enunciado!E28+Enunciado!F28*Hoja4!$P$25</f>
        <v>2580.0389999999998</v>
      </c>
      <c r="E161" s="3">
        <f>Enunciado!F28+Enunciado!G28*Hoja4!$P$25</f>
        <v>2761.8029999999999</v>
      </c>
      <c r="F161" s="3">
        <f>Enunciado!G28+Enunciado!H28*Hoja4!$P$25</f>
        <v>2725.9551000000001</v>
      </c>
      <c r="G161" s="3">
        <f>Enunciado!H28+Enunciado!I28*Hoja4!$P$25</f>
        <v>2568.4263000000001</v>
      </c>
      <c r="H161" s="3">
        <f>Enunciado!I28+Enunciado!J28*Hoja4!$P$25</f>
        <v>3283.1627399999998</v>
      </c>
      <c r="I161" s="3">
        <f>Enunciado!J28+Enunciado!K28*Hoja4!$P$25</f>
        <v>3183.3945000000003</v>
      </c>
      <c r="J161" s="3">
        <f>Enunciado!K28+Enunciado!L28*Hoja4!$P$25</f>
        <v>3221.2619999999997</v>
      </c>
      <c r="K161" s="3">
        <f>Enunciado!L28+Enunciado!M28*Hoja4!$P$25</f>
        <v>2792.0969999999998</v>
      </c>
      <c r="L161" s="3">
        <f>Enunciado!M28+Enunciado!N28*Hoja4!$P$25</f>
        <v>2738.3251499999997</v>
      </c>
      <c r="M161" s="3">
        <f>Enunciado!N28+P149*Hoja4!$P$25</f>
        <v>2364.9007499999998</v>
      </c>
      <c r="N161" s="5"/>
    </row>
    <row r="162" spans="1:16" x14ac:dyDescent="0.2">
      <c r="A162" s="48" t="s">
        <v>16</v>
      </c>
      <c r="B162" s="3">
        <f>Enunciado!C29+Enunciado!D29*Hoja4!$P$25</f>
        <v>636.17399999999998</v>
      </c>
      <c r="C162" s="3">
        <f>Enunciado!D29+Enunciado!E29*Hoja4!$P$25</f>
        <v>817.93799999999999</v>
      </c>
      <c r="D162" s="3">
        <f>Enunciado!E29+Enunciado!F29*Hoja4!$P$25</f>
        <v>929.01600000000008</v>
      </c>
      <c r="E162" s="3">
        <f>Enunciado!F29+Enunciado!G29*Hoja4!$P$25</f>
        <v>745.23239999999998</v>
      </c>
      <c r="F162" s="3">
        <f>Enunciado!G29+Enunciado!H29*Hoja4!$P$25</f>
        <v>838.13400000000001</v>
      </c>
      <c r="G162" s="3">
        <f>Enunciado!H29+Enunciado!I29*Hoja4!$P$25</f>
        <v>817.93799999999999</v>
      </c>
      <c r="H162" s="3">
        <f>Enunciado!I29+Enunciado!J29*Hoja4!$P$25</f>
        <v>767.44799999999998</v>
      </c>
      <c r="I162" s="3">
        <f>Enunciado!J29+Enunciado!K29*Hoja4!$P$25</f>
        <v>1257.201</v>
      </c>
      <c r="J162" s="3">
        <f>Enunciado!K29+Enunciado!L29*Hoja4!$P$25</f>
        <v>1191.5640000000001</v>
      </c>
      <c r="K162" s="3">
        <f>Enunciado!L29+Enunciado!M29*Hoja4!$P$25</f>
        <v>1156.221</v>
      </c>
      <c r="L162" s="3">
        <f>Enunciado!M29+Enunciado!N29*Hoja4!$P$25</f>
        <v>737.154</v>
      </c>
      <c r="M162" s="3">
        <f>Enunciado!N29+P150*Hoja4!$P$25</f>
        <v>790.37</v>
      </c>
      <c r="N162" s="5"/>
    </row>
    <row r="163" spans="1:16" x14ac:dyDescent="0.2">
      <c r="A163" s="4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48" t="s">
        <v>134</v>
      </c>
      <c r="P163" s="78"/>
    </row>
    <row r="164" spans="1:16" x14ac:dyDescent="0.2">
      <c r="A164" s="192" t="s">
        <v>113</v>
      </c>
      <c r="B164" s="193"/>
      <c r="C164" s="193"/>
      <c r="D164" s="193"/>
      <c r="E164" s="193"/>
      <c r="F164" s="193"/>
      <c r="G164" s="193"/>
      <c r="H164" s="193"/>
      <c r="I164" s="193"/>
      <c r="J164" s="193"/>
      <c r="K164" s="193"/>
      <c r="L164" s="193"/>
      <c r="M164" s="194"/>
      <c r="O164" s="48" t="s">
        <v>15</v>
      </c>
      <c r="P164" s="78">
        <v>850</v>
      </c>
    </row>
    <row r="165" spans="1:16" x14ac:dyDescent="0.2">
      <c r="A165" s="63" t="s">
        <v>14</v>
      </c>
      <c r="B165" s="78" t="s">
        <v>3</v>
      </c>
      <c r="C165" s="78" t="s">
        <v>4</v>
      </c>
      <c r="D165" s="78" t="s">
        <v>5</v>
      </c>
      <c r="E165" s="78" t="s">
        <v>6</v>
      </c>
      <c r="F165" s="78" t="s">
        <v>7</v>
      </c>
      <c r="G165" s="78" t="s">
        <v>8</v>
      </c>
      <c r="H165" s="78" t="s">
        <v>9</v>
      </c>
      <c r="I165" s="78" t="s">
        <v>10</v>
      </c>
      <c r="J165" s="78" t="s">
        <v>96</v>
      </c>
      <c r="K165" s="78" t="s">
        <v>12</v>
      </c>
      <c r="L165" s="78" t="s">
        <v>13</v>
      </c>
      <c r="M165" s="78" t="s">
        <v>14</v>
      </c>
      <c r="N165" s="11"/>
      <c r="O165" s="59" t="s">
        <v>16</v>
      </c>
      <c r="P165" s="78">
        <v>1200</v>
      </c>
    </row>
    <row r="166" spans="1:16" x14ac:dyDescent="0.2">
      <c r="A166" s="3">
        <f>Enunciado!C28*0.2</f>
        <v>403.92000000000007</v>
      </c>
      <c r="B166" s="3">
        <f>B20+A166-Enunciado!C28</f>
        <v>-1100.68</v>
      </c>
      <c r="C166" s="3">
        <f>C20+B166-Enunciado!D28</f>
        <v>-2552.2600000000002</v>
      </c>
      <c r="D166" s="3">
        <f>D20+C166-Enunciado!E28</f>
        <v>-3848.84</v>
      </c>
      <c r="E166" s="3">
        <f>E20+D166-Enunciado!F28</f>
        <v>-5528.1350000000002</v>
      </c>
      <c r="F166" s="3">
        <f>F20+E166-Enunciado!G28</f>
        <v>-7139.6750000000002</v>
      </c>
      <c r="G166" s="3">
        <f>G20+F166-Enunciado!H28</f>
        <v>-8435.7505000000001</v>
      </c>
      <c r="H166" s="3">
        <f>H20+G166-Enunciado!I28</f>
        <v>-10626.504499999999</v>
      </c>
      <c r="I166" s="3">
        <f>I20+H166-Enunciado!J28</f>
        <v>-12177.548199999999</v>
      </c>
      <c r="J166" s="3">
        <f>J20+I166-Enunciado!K28</f>
        <v>-13930.302199999998</v>
      </c>
      <c r="K166" s="3">
        <f>K20+J166-Enunciado!L28</f>
        <v>-15196.842199999999</v>
      </c>
      <c r="L166" s="3">
        <f>L20+K166-Enunciado!M28</f>
        <v>-16926.627199999999</v>
      </c>
      <c r="M166" s="3">
        <f>M20+L166-Enunciado!N28</f>
        <v>-18210.327949999999</v>
      </c>
      <c r="N166" s="5"/>
    </row>
    <row r="167" spans="1:16" x14ac:dyDescent="0.2">
      <c r="A167" s="3">
        <f>Enunciado!C29*0.2</f>
        <v>100.98000000000002</v>
      </c>
      <c r="B167" s="3" t="e">
        <f>#REF!+A167-Enunciado!C29</f>
        <v>#REF!</v>
      </c>
      <c r="C167" s="3" t="e">
        <f>#REF!+B167-Enunciado!D29</f>
        <v>#REF!</v>
      </c>
      <c r="D167" s="3" t="e">
        <f>#REF!+C167-Enunciado!E29</f>
        <v>#REF!</v>
      </c>
      <c r="E167" s="3" t="e">
        <f>#REF!+D167-Enunciado!F29</f>
        <v>#REF!</v>
      </c>
      <c r="F167" s="3" t="e">
        <f>#REF!+E167-Enunciado!G29</f>
        <v>#REF!</v>
      </c>
      <c r="G167" s="3" t="e">
        <f>#REF!+F167-Enunciado!H29</f>
        <v>#REF!</v>
      </c>
      <c r="H167" s="3" t="e">
        <f>#REF!+G167-Enunciado!I29</f>
        <v>#REF!</v>
      </c>
      <c r="I167" s="3" t="e">
        <f>#REF!+H167-Enunciado!J29</f>
        <v>#REF!</v>
      </c>
      <c r="J167" s="3" t="e">
        <f>#REF!+I167-Enunciado!K29</f>
        <v>#REF!</v>
      </c>
      <c r="K167" s="3" t="e">
        <f>#REF!+J167-Enunciado!L29</f>
        <v>#REF!</v>
      </c>
      <c r="L167" s="3" t="e">
        <f>#REF!+K167-Enunciado!M29</f>
        <v>#REF!</v>
      </c>
      <c r="M167" s="3" t="e">
        <f>#REF!+L167-Enunciado!N29</f>
        <v>#REF!</v>
      </c>
      <c r="N167" s="11"/>
    </row>
    <row r="168" spans="1:16" x14ac:dyDescent="0.2">
      <c r="O168" s="48" t="s">
        <v>137</v>
      </c>
    </row>
    <row r="169" spans="1:16" x14ac:dyDescent="0.2">
      <c r="B169" s="212" t="s">
        <v>217</v>
      </c>
      <c r="C169" s="213"/>
      <c r="D169" s="213"/>
      <c r="E169" s="213"/>
      <c r="F169" s="213"/>
      <c r="G169" s="213"/>
      <c r="H169" s="213"/>
      <c r="I169" s="213"/>
      <c r="J169" s="213"/>
      <c r="K169" s="213"/>
      <c r="L169" s="213"/>
      <c r="M169" s="213"/>
      <c r="O169" s="78">
        <v>0.9</v>
      </c>
      <c r="P169">
        <v>0.99099999999999999</v>
      </c>
    </row>
    <row r="170" spans="1:16" x14ac:dyDescent="0.2">
      <c r="B170" s="78" t="s">
        <v>3</v>
      </c>
      <c r="C170" s="78" t="s">
        <v>4</v>
      </c>
      <c r="D170" s="78" t="s">
        <v>5</v>
      </c>
      <c r="E170" s="78" t="s">
        <v>6</v>
      </c>
      <c r="F170" s="78" t="s">
        <v>7</v>
      </c>
      <c r="G170" s="78" t="s">
        <v>8</v>
      </c>
      <c r="H170" s="78" t="s">
        <v>9</v>
      </c>
      <c r="I170" s="78" t="s">
        <v>10</v>
      </c>
      <c r="J170" s="78" t="s">
        <v>96</v>
      </c>
      <c r="K170" s="78" t="s">
        <v>12</v>
      </c>
      <c r="L170" s="78" t="s">
        <v>13</v>
      </c>
      <c r="M170" s="78" t="s">
        <v>14</v>
      </c>
      <c r="O170" s="48" t="s">
        <v>138</v>
      </c>
    </row>
    <row r="171" spans="1:16" x14ac:dyDescent="0.2">
      <c r="B171" s="3">
        <f>B161-A166</f>
        <v>2039.7960000000003</v>
      </c>
      <c r="C171" s="3">
        <f t="shared" ref="C171:M172" si="105">C161-B166</f>
        <v>3645.3760000000002</v>
      </c>
      <c r="D171" s="3">
        <f t="shared" si="105"/>
        <v>5132.299</v>
      </c>
      <c r="E171" s="3">
        <f t="shared" si="105"/>
        <v>6610.643</v>
      </c>
      <c r="F171" s="3">
        <f t="shared" si="105"/>
        <v>8254.0901000000013</v>
      </c>
      <c r="G171" s="3">
        <f t="shared" si="105"/>
        <v>9708.1013000000003</v>
      </c>
      <c r="H171" s="3">
        <f t="shared" si="105"/>
        <v>11718.91324</v>
      </c>
      <c r="I171" s="3">
        <f t="shared" si="105"/>
        <v>13809.898999999999</v>
      </c>
      <c r="J171" s="3">
        <f t="shared" si="105"/>
        <v>15398.8102</v>
      </c>
      <c r="K171" s="3">
        <f t="shared" si="105"/>
        <v>16722.3992</v>
      </c>
      <c r="L171" s="3">
        <f t="shared" si="105"/>
        <v>17935.16735</v>
      </c>
      <c r="M171" s="3">
        <f t="shared" si="105"/>
        <v>19291.52795</v>
      </c>
      <c r="N171" s="5"/>
      <c r="O171" s="78">
        <v>0.99</v>
      </c>
    </row>
    <row r="172" spans="1:16" x14ac:dyDescent="0.2">
      <c r="B172" s="3">
        <f>B162-A167</f>
        <v>535.19399999999996</v>
      </c>
      <c r="C172" s="3" t="e">
        <f t="shared" si="105"/>
        <v>#REF!</v>
      </c>
      <c r="D172" s="3" t="e">
        <f t="shared" si="105"/>
        <v>#REF!</v>
      </c>
      <c r="E172" s="3" t="e">
        <f t="shared" si="105"/>
        <v>#REF!</v>
      </c>
      <c r="F172" s="3" t="e">
        <f t="shared" si="105"/>
        <v>#REF!</v>
      </c>
      <c r="G172" s="3" t="e">
        <f t="shared" si="105"/>
        <v>#REF!</v>
      </c>
      <c r="H172" s="3" t="e">
        <f t="shared" si="105"/>
        <v>#REF!</v>
      </c>
      <c r="I172" s="3" t="e">
        <f t="shared" si="105"/>
        <v>#REF!</v>
      </c>
      <c r="J172" s="3" t="e">
        <f t="shared" si="105"/>
        <v>#REF!</v>
      </c>
      <c r="K172" s="3" t="e">
        <f t="shared" si="105"/>
        <v>#REF!</v>
      </c>
      <c r="L172" s="3" t="e">
        <f t="shared" si="105"/>
        <v>#REF!</v>
      </c>
      <c r="M172" s="3" t="e">
        <f t="shared" si="105"/>
        <v>#REF!</v>
      </c>
      <c r="N172" s="5"/>
    </row>
    <row r="175" spans="1:16" x14ac:dyDescent="0.2">
      <c r="A175" s="198" t="s">
        <v>129</v>
      </c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</row>
    <row r="176" spans="1:16" x14ac:dyDescent="0.2">
      <c r="A176" s="78"/>
      <c r="B176" s="78" t="s">
        <v>3</v>
      </c>
      <c r="C176" s="78" t="s">
        <v>4</v>
      </c>
      <c r="D176" s="78" t="s">
        <v>5</v>
      </c>
      <c r="E176" s="78" t="s">
        <v>6</v>
      </c>
      <c r="F176" s="78" t="s">
        <v>7</v>
      </c>
      <c r="G176" s="78" t="s">
        <v>8</v>
      </c>
      <c r="H176" s="78" t="s">
        <v>9</v>
      </c>
      <c r="I176" s="78" t="s">
        <v>10</v>
      </c>
      <c r="J176" s="78" t="s">
        <v>96</v>
      </c>
      <c r="K176" s="78" t="s">
        <v>12</v>
      </c>
      <c r="L176" s="78" t="s">
        <v>13</v>
      </c>
      <c r="M176" s="78" t="s">
        <v>14</v>
      </c>
    </row>
    <row r="177" spans="1:13" x14ac:dyDescent="0.2">
      <c r="A177" s="78"/>
      <c r="B177" s="3">
        <v>0</v>
      </c>
      <c r="C177" s="3">
        <v>0</v>
      </c>
      <c r="D177" s="3">
        <v>0</v>
      </c>
      <c r="E177" s="70">
        <v>190</v>
      </c>
      <c r="F177" s="70">
        <v>190</v>
      </c>
      <c r="G177" s="70">
        <v>190</v>
      </c>
      <c r="H177" s="70">
        <v>190</v>
      </c>
      <c r="I177" s="70">
        <v>190</v>
      </c>
      <c r="J177" s="3">
        <v>0</v>
      </c>
      <c r="K177" s="3">
        <v>0</v>
      </c>
      <c r="L177" s="3">
        <v>0</v>
      </c>
      <c r="M177" s="3">
        <v>0</v>
      </c>
    </row>
    <row r="180" spans="1:13" x14ac:dyDescent="0.2">
      <c r="A180" s="215" t="s">
        <v>216</v>
      </c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</row>
    <row r="181" spans="1:13" x14ac:dyDescent="0.2">
      <c r="A181" s="78"/>
      <c r="B181" s="78" t="s">
        <v>3</v>
      </c>
      <c r="C181" s="78" t="s">
        <v>4</v>
      </c>
      <c r="D181" s="78" t="s">
        <v>5</v>
      </c>
      <c r="E181" s="78" t="s">
        <v>6</v>
      </c>
      <c r="F181" s="78" t="s">
        <v>7</v>
      </c>
      <c r="G181" s="78" t="s">
        <v>8</v>
      </c>
      <c r="H181" s="78" t="s">
        <v>9</v>
      </c>
      <c r="I181" s="78" t="s">
        <v>10</v>
      </c>
      <c r="J181" s="78" t="s">
        <v>96</v>
      </c>
      <c r="K181" s="78" t="s">
        <v>12</v>
      </c>
      <c r="L181" s="78" t="s">
        <v>13</v>
      </c>
      <c r="M181" s="78" t="s">
        <v>14</v>
      </c>
    </row>
    <row r="182" spans="1:13" x14ac:dyDescent="0.2">
      <c r="A182" s="48" t="s">
        <v>130</v>
      </c>
      <c r="B182" s="60">
        <v>107</v>
      </c>
      <c r="C182" s="60">
        <v>107</v>
      </c>
      <c r="D182" s="60">
        <v>107</v>
      </c>
      <c r="E182" s="60">
        <v>97</v>
      </c>
      <c r="F182" s="60">
        <v>97</v>
      </c>
      <c r="G182" s="60">
        <v>97</v>
      </c>
      <c r="H182" s="60">
        <v>97</v>
      </c>
      <c r="I182" s="60">
        <v>97</v>
      </c>
      <c r="J182" s="60">
        <v>97</v>
      </c>
      <c r="K182" s="60">
        <v>97</v>
      </c>
      <c r="L182" s="60">
        <v>97</v>
      </c>
      <c r="M182" s="60">
        <v>97</v>
      </c>
    </row>
    <row r="183" spans="1:13" x14ac:dyDescent="0.2">
      <c r="A183" s="48" t="s">
        <v>131</v>
      </c>
      <c r="B183" s="60">
        <v>145</v>
      </c>
      <c r="C183" s="60">
        <v>145</v>
      </c>
      <c r="D183" s="60">
        <v>145</v>
      </c>
      <c r="E183" s="60">
        <v>145</v>
      </c>
      <c r="F183" s="60">
        <v>145</v>
      </c>
      <c r="G183" s="60">
        <v>145</v>
      </c>
      <c r="H183" s="60">
        <v>145</v>
      </c>
      <c r="I183" s="60">
        <v>145</v>
      </c>
      <c r="J183" s="60">
        <v>145</v>
      </c>
      <c r="K183" s="60">
        <v>145</v>
      </c>
      <c r="L183" s="60">
        <v>145</v>
      </c>
      <c r="M183" s="60">
        <v>145</v>
      </c>
    </row>
    <row r="184" spans="1:13" x14ac:dyDescent="0.2">
      <c r="A184" s="48" t="s">
        <v>132</v>
      </c>
      <c r="B184" s="60">
        <v>120</v>
      </c>
      <c r="C184" s="60">
        <v>120</v>
      </c>
      <c r="D184" s="60">
        <v>120</v>
      </c>
      <c r="E184" s="60">
        <v>120</v>
      </c>
      <c r="F184" s="60">
        <v>120</v>
      </c>
      <c r="G184" s="60">
        <v>120</v>
      </c>
      <c r="H184" s="60">
        <v>120</v>
      </c>
      <c r="I184" s="60">
        <v>120</v>
      </c>
      <c r="J184" s="60">
        <v>120</v>
      </c>
      <c r="K184" s="60">
        <v>120</v>
      </c>
      <c r="L184" s="60">
        <v>120</v>
      </c>
      <c r="M184" s="60">
        <v>120</v>
      </c>
    </row>
    <row r="185" spans="1:13" x14ac:dyDescent="0.2">
      <c r="A185" s="46"/>
    </row>
    <row r="186" spans="1:13" x14ac:dyDescent="0.2">
      <c r="A186" s="215" t="s">
        <v>136</v>
      </c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</row>
    <row r="187" spans="1:13" x14ac:dyDescent="0.2">
      <c r="A187" s="78"/>
      <c r="B187" s="78" t="s">
        <v>3</v>
      </c>
      <c r="C187" s="78" t="s">
        <v>4</v>
      </c>
      <c r="D187" s="78" t="s">
        <v>5</v>
      </c>
      <c r="E187" s="78" t="s">
        <v>6</v>
      </c>
      <c r="F187" s="78" t="s">
        <v>7</v>
      </c>
      <c r="G187" s="78" t="s">
        <v>8</v>
      </c>
      <c r="H187" s="78" t="s">
        <v>9</v>
      </c>
      <c r="I187" s="78" t="s">
        <v>10</v>
      </c>
      <c r="J187" s="78" t="s">
        <v>96</v>
      </c>
      <c r="K187" s="78" t="s">
        <v>12</v>
      </c>
      <c r="L187" s="78" t="s">
        <v>13</v>
      </c>
      <c r="M187" s="78" t="s">
        <v>14</v>
      </c>
    </row>
    <row r="188" spans="1:13" x14ac:dyDescent="0.2">
      <c r="A188" s="49" t="s">
        <v>133</v>
      </c>
      <c r="B188" s="60">
        <f>B193*0.05</f>
        <v>116.12700000000001</v>
      </c>
      <c r="C188" s="60">
        <f t="shared" ref="C188:M188" si="106">C193*0.05</f>
        <v>129.50685000000001</v>
      </c>
      <c r="D188" s="60">
        <f t="shared" si="106"/>
        <v>138.59504999999999</v>
      </c>
      <c r="E188" s="60">
        <f t="shared" si="106"/>
        <v>133.98783750000001</v>
      </c>
      <c r="F188" s="60">
        <f t="shared" si="106"/>
        <v>140.51367000000002</v>
      </c>
      <c r="G188" s="60">
        <f t="shared" si="106"/>
        <v>128.13730874999999</v>
      </c>
      <c r="H188" s="60">
        <f t="shared" si="106"/>
        <v>150.485445</v>
      </c>
      <c r="I188" s="60">
        <f t="shared" si="106"/>
        <v>175.47925725000002</v>
      </c>
      <c r="J188" s="60">
        <f t="shared" si="106"/>
        <v>176.23534500000002</v>
      </c>
      <c r="K188" s="60">
        <f t="shared" si="106"/>
        <v>160.81065000000001</v>
      </c>
      <c r="L188" s="60">
        <f t="shared" si="106"/>
        <v>136.13366249999999</v>
      </c>
      <c r="M188" s="60">
        <f t="shared" si="106"/>
        <v>122.37198187500002</v>
      </c>
    </row>
    <row r="189" spans="1:13" x14ac:dyDescent="0.2">
      <c r="A189" s="46"/>
    </row>
    <row r="191" spans="1:13" x14ac:dyDescent="0.2">
      <c r="A191" s="216" t="s">
        <v>215</v>
      </c>
      <c r="B191" s="216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</row>
    <row r="192" spans="1:13" x14ac:dyDescent="0.2">
      <c r="A192" s="78"/>
      <c r="B192" s="78" t="s">
        <v>3</v>
      </c>
      <c r="C192" s="78" t="s">
        <v>4</v>
      </c>
      <c r="D192" s="78" t="s">
        <v>5</v>
      </c>
      <c r="E192" s="78" t="s">
        <v>6</v>
      </c>
      <c r="F192" s="78" t="s">
        <v>7</v>
      </c>
      <c r="G192" s="78" t="s">
        <v>8</v>
      </c>
      <c r="H192" s="78" t="s">
        <v>9</v>
      </c>
      <c r="I192" s="78" t="s">
        <v>10</v>
      </c>
      <c r="J192" s="78" t="s">
        <v>96</v>
      </c>
      <c r="K192" s="78" t="s">
        <v>12</v>
      </c>
      <c r="L192" s="78" t="s">
        <v>13</v>
      </c>
      <c r="M192" s="78" t="s">
        <v>14</v>
      </c>
    </row>
    <row r="193" spans="1:16" x14ac:dyDescent="0.2">
      <c r="A193" s="78"/>
      <c r="B193" s="60">
        <f>(Enunciado!C28*$P164+Enunciado!C29*$P165)/1000</f>
        <v>2322.54</v>
      </c>
      <c r="C193" s="60">
        <f>(Enunciado!D28*$P164+Enunciado!D29*$P165)/1000</f>
        <v>2590.1370000000002</v>
      </c>
      <c r="D193" s="60">
        <f>(Enunciado!E28*$P164+Enunciado!E29*$P165)/1000</f>
        <v>2771.9009999999998</v>
      </c>
      <c r="E193" s="60">
        <f>(Enunciado!F28*$P164+Enunciado!F29*$P165)/1000</f>
        <v>2679.75675</v>
      </c>
      <c r="F193" s="60">
        <f>(Enunciado!G28*$P164+Enunciado!G29*$P165)/1000</f>
        <v>2810.2734</v>
      </c>
      <c r="G193" s="60">
        <f>(Enunciado!H28*$P164+Enunciado!H29*$P165)/1000</f>
        <v>2562.7461749999998</v>
      </c>
      <c r="H193" s="60">
        <f>(Enunciado!I28*$P164+Enunciado!I29*$P165)/1000</f>
        <v>3009.7089000000001</v>
      </c>
      <c r="I193" s="60">
        <f>(Enunciado!J28*$P164+Enunciado!J29*$P165)/1000</f>
        <v>3509.585145</v>
      </c>
      <c r="J193" s="60">
        <f>(Enunciado!K28*$P164+Enunciado!K29*$P165)/1000</f>
        <v>3524.7069000000001</v>
      </c>
      <c r="K193" s="60">
        <f>(Enunciado!L28*$P164+Enunciado!L29*$P165)/1000</f>
        <v>3216.2130000000002</v>
      </c>
      <c r="L193" s="60">
        <f>(Enunciado!M28*$P164+Enunciado!M29*$P165)/1000</f>
        <v>2722.6732499999998</v>
      </c>
      <c r="M193" s="60">
        <f>(Enunciado!N28*$P164+Enunciado!N29*$P165)/1000</f>
        <v>2447.4396375000001</v>
      </c>
    </row>
    <row r="195" spans="1:16" x14ac:dyDescent="0.2">
      <c r="A195" s="216" t="s">
        <v>135</v>
      </c>
      <c r="B195" s="216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</row>
    <row r="196" spans="1:16" x14ac:dyDescent="0.2">
      <c r="A196" s="78"/>
      <c r="B196" s="78" t="s">
        <v>3</v>
      </c>
      <c r="C196" s="78" t="s">
        <v>4</v>
      </c>
      <c r="D196" s="78" t="s">
        <v>5</v>
      </c>
      <c r="E196" s="78" t="s">
        <v>6</v>
      </c>
      <c r="F196" s="78" t="s">
        <v>7</v>
      </c>
      <c r="G196" s="78" t="s">
        <v>8</v>
      </c>
      <c r="H196" s="78" t="s">
        <v>9</v>
      </c>
      <c r="I196" s="78" t="s">
        <v>10</v>
      </c>
      <c r="J196" s="78" t="s">
        <v>96</v>
      </c>
      <c r="K196" s="78" t="s">
        <v>12</v>
      </c>
      <c r="L196" s="78" t="s">
        <v>13</v>
      </c>
      <c r="M196" s="78" t="s">
        <v>14</v>
      </c>
    </row>
    <row r="197" spans="1:16" x14ac:dyDescent="0.2">
      <c r="A197" s="78"/>
      <c r="B197" s="73">
        <f>B193*0.21</f>
        <v>487.73339999999996</v>
      </c>
      <c r="C197" s="73">
        <f t="shared" ref="C197:M197" si="107">C193*0.21</f>
        <v>543.92876999999999</v>
      </c>
      <c r="D197" s="73">
        <f t="shared" si="107"/>
        <v>582.09920999999997</v>
      </c>
      <c r="E197" s="73">
        <f t="shared" si="107"/>
        <v>562.74891749999995</v>
      </c>
      <c r="F197" s="73">
        <f t="shared" si="107"/>
        <v>590.15741400000002</v>
      </c>
      <c r="G197" s="73">
        <f t="shared" si="107"/>
        <v>538.17669674999991</v>
      </c>
      <c r="H197" s="73">
        <f t="shared" si="107"/>
        <v>632.03886899999998</v>
      </c>
      <c r="I197" s="73">
        <f t="shared" si="107"/>
        <v>737.01288045000001</v>
      </c>
      <c r="J197" s="73">
        <f t="shared" si="107"/>
        <v>740.18844899999999</v>
      </c>
      <c r="K197" s="73">
        <f t="shared" si="107"/>
        <v>675.40472999999997</v>
      </c>
      <c r="L197" s="73">
        <f t="shared" si="107"/>
        <v>571.76138249999997</v>
      </c>
      <c r="M197" s="73">
        <f t="shared" si="107"/>
        <v>513.96232387500004</v>
      </c>
    </row>
    <row r="200" spans="1:16" x14ac:dyDescent="0.2">
      <c r="A200" s="204" t="s">
        <v>140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</row>
    <row r="201" spans="1:16" x14ac:dyDescent="0.2">
      <c r="A201" s="78"/>
      <c r="B201" s="78" t="s">
        <v>3</v>
      </c>
      <c r="C201" s="78" t="s">
        <v>4</v>
      </c>
      <c r="D201" s="78" t="s">
        <v>5</v>
      </c>
      <c r="E201" s="78" t="s">
        <v>6</v>
      </c>
      <c r="F201" s="78" t="s">
        <v>7</v>
      </c>
      <c r="G201" s="78" t="s">
        <v>8</v>
      </c>
      <c r="H201" s="78" t="s">
        <v>9</v>
      </c>
      <c r="I201" s="78" t="s">
        <v>10</v>
      </c>
      <c r="J201" s="78" t="s">
        <v>96</v>
      </c>
      <c r="K201" s="78" t="s">
        <v>12</v>
      </c>
      <c r="L201" s="78" t="s">
        <v>13</v>
      </c>
      <c r="M201" s="78" t="s">
        <v>14</v>
      </c>
      <c r="N201" s="59" t="s">
        <v>125</v>
      </c>
    </row>
    <row r="202" spans="1:16" x14ac:dyDescent="0.2">
      <c r="A202" s="48" t="s">
        <v>141</v>
      </c>
      <c r="B202" s="3">
        <v>2019.6000000000001</v>
      </c>
      <c r="C202" s="3">
        <v>2120.58</v>
      </c>
      <c r="D202" s="3">
        <v>2120.58</v>
      </c>
      <c r="E202" s="3">
        <v>2297.2950000000001</v>
      </c>
      <c r="F202" s="3">
        <v>2322.54</v>
      </c>
      <c r="G202" s="3">
        <v>2017.0755000000001</v>
      </c>
      <c r="H202" s="3">
        <v>2756.7539999999999</v>
      </c>
      <c r="I202" s="3">
        <v>2632.0437000000002</v>
      </c>
      <c r="J202" s="3">
        <v>2756.7539999999999</v>
      </c>
      <c r="K202" s="3">
        <v>2322.54</v>
      </c>
      <c r="L202" s="3">
        <v>2347.7849999999999</v>
      </c>
      <c r="M202" s="3">
        <v>1952.70075</v>
      </c>
      <c r="N202" s="3">
        <v>28219.572909000006</v>
      </c>
    </row>
    <row r="203" spans="1:16" x14ac:dyDescent="0.2">
      <c r="A203" s="48" t="s">
        <v>142</v>
      </c>
      <c r="B203" s="3">
        <v>504.90000000000003</v>
      </c>
      <c r="C203" s="3">
        <v>656.37</v>
      </c>
      <c r="D203" s="3">
        <v>807.84</v>
      </c>
      <c r="E203" s="3">
        <v>605.88</v>
      </c>
      <c r="F203" s="3">
        <v>696.76200000000006</v>
      </c>
      <c r="G203" s="3">
        <v>706.86</v>
      </c>
      <c r="H203" s="3">
        <v>555.39</v>
      </c>
      <c r="I203" s="3">
        <v>1060.29</v>
      </c>
      <c r="J203" s="3">
        <v>984.55500000000006</v>
      </c>
      <c r="K203" s="3">
        <v>1035.0450000000001</v>
      </c>
      <c r="L203" s="3">
        <v>605.88</v>
      </c>
      <c r="M203" s="3">
        <v>656.37</v>
      </c>
      <c r="N203" s="3">
        <v>9053.6648400000013</v>
      </c>
    </row>
    <row r="204" spans="1:16" x14ac:dyDescent="0.2">
      <c r="A204" s="48" t="s">
        <v>125</v>
      </c>
      <c r="B204" s="60">
        <f t="shared" ref="B204:N204" si="108">(B202*$P164+B203*$P165)/1000</f>
        <v>2322.54</v>
      </c>
      <c r="C204" s="60">
        <f t="shared" si="108"/>
        <v>2590.1370000000002</v>
      </c>
      <c r="D204" s="60">
        <f t="shared" si="108"/>
        <v>2771.9009999999998</v>
      </c>
      <c r="E204" s="60">
        <f t="shared" si="108"/>
        <v>2679.75675</v>
      </c>
      <c r="F204" s="60">
        <f t="shared" si="108"/>
        <v>2810.2734</v>
      </c>
      <c r="G204" s="60">
        <f t="shared" si="108"/>
        <v>2562.7461749999998</v>
      </c>
      <c r="H204" s="60">
        <f t="shared" si="108"/>
        <v>3009.7089000000001</v>
      </c>
      <c r="I204" s="60">
        <f t="shared" si="108"/>
        <v>3509.585145</v>
      </c>
      <c r="J204" s="60">
        <f t="shared" si="108"/>
        <v>3524.7069000000001</v>
      </c>
      <c r="K204" s="60">
        <f t="shared" si="108"/>
        <v>3216.2130000000002</v>
      </c>
      <c r="L204" s="60">
        <f t="shared" si="108"/>
        <v>2722.6732499999998</v>
      </c>
      <c r="M204" s="60">
        <f t="shared" si="108"/>
        <v>2447.4396375000001</v>
      </c>
      <c r="N204" s="60">
        <f t="shared" si="108"/>
        <v>34851.034780650007</v>
      </c>
    </row>
    <row r="206" spans="1:16" x14ac:dyDescent="0.2">
      <c r="A206" s="204" t="s">
        <v>139</v>
      </c>
      <c r="B206" s="205"/>
      <c r="C206" s="205"/>
      <c r="D206" s="205"/>
      <c r="E206" s="205"/>
      <c r="F206" s="205"/>
      <c r="G206" s="205"/>
      <c r="H206" s="205"/>
      <c r="I206" s="205"/>
      <c r="J206" s="205"/>
      <c r="K206" s="205"/>
      <c r="L206" s="205"/>
      <c r="M206" s="205"/>
      <c r="N206" s="205"/>
    </row>
    <row r="207" spans="1:16" x14ac:dyDescent="0.2">
      <c r="A207" s="78"/>
      <c r="B207" s="78" t="s">
        <v>3</v>
      </c>
      <c r="C207" s="78" t="s">
        <v>4</v>
      </c>
      <c r="D207" s="78" t="s">
        <v>5</v>
      </c>
      <c r="E207" s="78" t="s">
        <v>6</v>
      </c>
      <c r="F207" s="78" t="s">
        <v>7</v>
      </c>
      <c r="G207" s="78" t="s">
        <v>8</v>
      </c>
      <c r="H207" s="78" t="s">
        <v>9</v>
      </c>
      <c r="I207" s="78" t="s">
        <v>10</v>
      </c>
      <c r="J207" s="78" t="s">
        <v>96</v>
      </c>
      <c r="K207" s="78" t="s">
        <v>12</v>
      </c>
      <c r="L207" s="78" t="s">
        <v>13</v>
      </c>
      <c r="M207" s="78" t="s">
        <v>14</v>
      </c>
      <c r="N207" s="59" t="s">
        <v>125</v>
      </c>
      <c r="O207" s="59" t="s">
        <v>145</v>
      </c>
      <c r="P207" s="78">
        <v>1000</v>
      </c>
    </row>
    <row r="208" spans="1:16" x14ac:dyDescent="0.2">
      <c r="A208" s="48" t="s">
        <v>141</v>
      </c>
      <c r="B208" s="60">
        <f>((B202*$P164*$O$171)/1000)</f>
        <v>1699.4933999999998</v>
      </c>
      <c r="C208" s="60">
        <f t="shared" ref="C208:M209" si="109">((C202*$P164*$O$171)/1000)</f>
        <v>1784.4680700000001</v>
      </c>
      <c r="D208" s="60">
        <f t="shared" si="109"/>
        <v>1784.4680700000001</v>
      </c>
      <c r="E208" s="60">
        <f t="shared" si="109"/>
        <v>1933.1737424999999</v>
      </c>
      <c r="F208" s="60">
        <f t="shared" si="109"/>
        <v>1954.41741</v>
      </c>
      <c r="G208" s="60">
        <f t="shared" si="109"/>
        <v>1697.36903325</v>
      </c>
      <c r="H208" s="60">
        <f t="shared" si="109"/>
        <v>2319.8084909999998</v>
      </c>
      <c r="I208" s="60">
        <f t="shared" si="109"/>
        <v>2214.8647735499999</v>
      </c>
      <c r="J208" s="60">
        <f t="shared" si="109"/>
        <v>2319.8084909999998</v>
      </c>
      <c r="K208" s="60">
        <f t="shared" si="109"/>
        <v>1954.41741</v>
      </c>
      <c r="L208" s="60">
        <f t="shared" si="109"/>
        <v>1975.6610774999997</v>
      </c>
      <c r="M208" s="60">
        <f t="shared" si="109"/>
        <v>1643.1976811249999</v>
      </c>
      <c r="N208" s="60">
        <f>((N202*$P164*$O$171)/1000)</f>
        <v>23746.770602923505</v>
      </c>
      <c r="O208" s="48" t="s">
        <v>146</v>
      </c>
      <c r="P208" s="78">
        <v>100</v>
      </c>
    </row>
    <row r="209" spans="1:18" x14ac:dyDescent="0.2">
      <c r="A209" s="48" t="s">
        <v>142</v>
      </c>
      <c r="B209" s="60">
        <f>((B203*$P165*$O$171)/1000)</f>
        <v>599.82119999999998</v>
      </c>
      <c r="C209" s="60">
        <f t="shared" si="109"/>
        <v>779.76755999999989</v>
      </c>
      <c r="D209" s="60">
        <f t="shared" si="109"/>
        <v>959.71392000000003</v>
      </c>
      <c r="E209" s="60">
        <f t="shared" si="109"/>
        <v>719.78543999999999</v>
      </c>
      <c r="F209" s="60">
        <f t="shared" si="109"/>
        <v>827.75325600000008</v>
      </c>
      <c r="G209" s="60">
        <f t="shared" si="109"/>
        <v>839.7496799999999</v>
      </c>
      <c r="H209" s="60">
        <f t="shared" si="109"/>
        <v>659.80331999999999</v>
      </c>
      <c r="I209" s="60">
        <f t="shared" si="109"/>
        <v>1259.6245200000001</v>
      </c>
      <c r="J209" s="60">
        <f t="shared" si="109"/>
        <v>1169.6513400000001</v>
      </c>
      <c r="K209" s="60">
        <f t="shared" si="109"/>
        <v>1229.63346</v>
      </c>
      <c r="L209" s="60">
        <f t="shared" si="109"/>
        <v>719.78543999999999</v>
      </c>
      <c r="M209" s="60">
        <f t="shared" si="109"/>
        <v>779.76755999999989</v>
      </c>
      <c r="N209" s="60">
        <f>((N203*$P165*$O$171)/1000)</f>
        <v>10755.75382992</v>
      </c>
    </row>
    <row r="210" spans="1:18" x14ac:dyDescent="0.2">
      <c r="A210" s="48" t="s">
        <v>125</v>
      </c>
      <c r="B210" s="60">
        <f>B208+B209</f>
        <v>2299.3145999999997</v>
      </c>
      <c r="C210" s="60">
        <f t="shared" ref="C210:N210" si="110">C208+C209</f>
        <v>2564.2356300000001</v>
      </c>
      <c r="D210" s="60">
        <f t="shared" si="110"/>
        <v>2744.18199</v>
      </c>
      <c r="E210" s="60">
        <f t="shared" si="110"/>
        <v>2652.9591824999998</v>
      </c>
      <c r="F210" s="60">
        <f t="shared" si="110"/>
        <v>2782.170666</v>
      </c>
      <c r="G210" s="60">
        <f t="shared" si="110"/>
        <v>2537.1187132499999</v>
      </c>
      <c r="H210" s="60">
        <f t="shared" si="110"/>
        <v>2979.6118109999998</v>
      </c>
      <c r="I210" s="60">
        <f t="shared" si="110"/>
        <v>3474.4892935500002</v>
      </c>
      <c r="J210" s="60">
        <f t="shared" si="110"/>
        <v>3489.4598310000001</v>
      </c>
      <c r="K210" s="60">
        <f t="shared" si="110"/>
        <v>3184.05087</v>
      </c>
      <c r="L210" s="60">
        <f t="shared" si="110"/>
        <v>2695.4465174999996</v>
      </c>
      <c r="M210" s="60">
        <f t="shared" si="110"/>
        <v>2422.9652411249999</v>
      </c>
      <c r="N210" s="60">
        <f t="shared" si="110"/>
        <v>34502.524432843507</v>
      </c>
    </row>
    <row r="212" spans="1:18" x14ac:dyDescent="0.2">
      <c r="A212" s="206" t="s">
        <v>148</v>
      </c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</row>
    <row r="213" spans="1:18" x14ac:dyDescent="0.2">
      <c r="A213" s="78"/>
      <c r="B213" s="78" t="s">
        <v>3</v>
      </c>
      <c r="C213" s="78" t="s">
        <v>4</v>
      </c>
      <c r="D213" s="78" t="s">
        <v>5</v>
      </c>
      <c r="E213" s="78" t="s">
        <v>6</v>
      </c>
      <c r="F213" s="78" t="s">
        <v>7</v>
      </c>
      <c r="G213" s="78" t="s">
        <v>8</v>
      </c>
      <c r="H213" s="78" t="s">
        <v>9</v>
      </c>
      <c r="I213" s="78" t="s">
        <v>10</v>
      </c>
      <c r="J213" s="78" t="s">
        <v>96</v>
      </c>
      <c r="K213" s="78" t="s">
        <v>12</v>
      </c>
      <c r="L213" s="78" t="s">
        <v>13</v>
      </c>
      <c r="M213" s="78" t="s">
        <v>14</v>
      </c>
      <c r="N213" s="59" t="s">
        <v>125</v>
      </c>
      <c r="P213" s="48" t="s">
        <v>147</v>
      </c>
    </row>
    <row r="214" spans="1:18" x14ac:dyDescent="0.2">
      <c r="A214" s="48" t="s">
        <v>141</v>
      </c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P214" s="78">
        <v>0.5</v>
      </c>
    </row>
    <row r="215" spans="1:18" x14ac:dyDescent="0.2">
      <c r="A215" s="61" t="s">
        <v>143</v>
      </c>
      <c r="B215" s="60">
        <f>Q221*P214*P169</f>
        <v>797.92036197748871</v>
      </c>
      <c r="C215" s="60">
        <f t="shared" ref="C215:M215" si="111">(B208*$P$214)*0.991</f>
        <v>842.09897969999986</v>
      </c>
      <c r="D215" s="60">
        <f t="shared" si="111"/>
        <v>884.20392868500005</v>
      </c>
      <c r="E215" s="60">
        <f t="shared" si="111"/>
        <v>884.20392868500005</v>
      </c>
      <c r="F215" s="60">
        <f t="shared" si="111"/>
        <v>957.88758940874993</v>
      </c>
      <c r="G215" s="60">
        <f t="shared" si="111"/>
        <v>968.41382665499998</v>
      </c>
      <c r="H215" s="60">
        <f t="shared" si="111"/>
        <v>841.04635597537504</v>
      </c>
      <c r="I215" s="60">
        <f t="shared" si="111"/>
        <v>1149.4651072904999</v>
      </c>
      <c r="J215" s="60">
        <f t="shared" si="111"/>
        <v>1097.465495294025</v>
      </c>
      <c r="K215" s="60">
        <f t="shared" si="111"/>
        <v>1149.4651072904999</v>
      </c>
      <c r="L215" s="60">
        <f t="shared" si="111"/>
        <v>968.41382665499998</v>
      </c>
      <c r="M215" s="60">
        <f t="shared" si="111"/>
        <v>978.9400639012498</v>
      </c>
      <c r="N215" s="60">
        <f>SUM(C215:M215)</f>
        <v>10721.604209540399</v>
      </c>
    </row>
    <row r="216" spans="1:18" x14ac:dyDescent="0.2">
      <c r="A216" s="61" t="s">
        <v>144</v>
      </c>
      <c r="B216" s="60">
        <f>B208*P214*P169</f>
        <v>842.09897969999986</v>
      </c>
      <c r="C216" s="60">
        <f t="shared" ref="C216:M216" si="112">(C208*$P$214)*0.991</f>
        <v>884.20392868500005</v>
      </c>
      <c r="D216" s="60">
        <f t="shared" si="112"/>
        <v>884.20392868500005</v>
      </c>
      <c r="E216" s="60">
        <f t="shared" si="112"/>
        <v>957.88758940874993</v>
      </c>
      <c r="F216" s="60">
        <f t="shared" si="112"/>
        <v>968.41382665499998</v>
      </c>
      <c r="G216" s="60">
        <f t="shared" si="112"/>
        <v>841.04635597537504</v>
      </c>
      <c r="H216" s="60">
        <f t="shared" si="112"/>
        <v>1149.4651072904999</v>
      </c>
      <c r="I216" s="60">
        <f t="shared" si="112"/>
        <v>1097.465495294025</v>
      </c>
      <c r="J216" s="60">
        <f t="shared" si="112"/>
        <v>1149.4651072904999</v>
      </c>
      <c r="K216" s="60">
        <f t="shared" si="112"/>
        <v>968.41382665499998</v>
      </c>
      <c r="L216" s="60">
        <f t="shared" si="112"/>
        <v>978.9400639012498</v>
      </c>
      <c r="M216" s="60">
        <f t="shared" si="112"/>
        <v>814.20445099743745</v>
      </c>
      <c r="N216" s="60">
        <f>SUM(C216:M216)</f>
        <v>10693.709680837836</v>
      </c>
    </row>
    <row r="217" spans="1:18" x14ac:dyDescent="0.2">
      <c r="A217" s="61" t="s">
        <v>107</v>
      </c>
      <c r="B217" s="60">
        <f>B215+B216</f>
        <v>1640.0193416774887</v>
      </c>
      <c r="C217" s="60">
        <f>C215+C216</f>
        <v>1726.3029083849999</v>
      </c>
      <c r="D217" s="60">
        <f t="shared" ref="D217:M217" si="113">D215+D216</f>
        <v>1768.4078573700001</v>
      </c>
      <c r="E217" s="60">
        <f t="shared" si="113"/>
        <v>1842.09151809375</v>
      </c>
      <c r="F217" s="60">
        <f t="shared" si="113"/>
        <v>1926.3014160637499</v>
      </c>
      <c r="G217" s="60">
        <f t="shared" si="113"/>
        <v>1809.4601826303751</v>
      </c>
      <c r="H217" s="60">
        <f t="shared" si="113"/>
        <v>1990.5114632658749</v>
      </c>
      <c r="I217" s="60">
        <f t="shared" si="113"/>
        <v>2246.9306025845249</v>
      </c>
      <c r="J217" s="60">
        <f t="shared" si="113"/>
        <v>2246.9306025845249</v>
      </c>
      <c r="K217" s="60">
        <f t="shared" si="113"/>
        <v>2117.8789339454997</v>
      </c>
      <c r="L217" s="60">
        <f t="shared" si="113"/>
        <v>1947.3538905562498</v>
      </c>
      <c r="M217" s="60">
        <f t="shared" si="113"/>
        <v>1793.1445148986872</v>
      </c>
      <c r="N217" s="60">
        <f>N215+N216</f>
        <v>21415.313890378235</v>
      </c>
      <c r="P217" s="48" t="s">
        <v>155</v>
      </c>
    </row>
    <row r="218" spans="1:18" x14ac:dyDescent="0.2">
      <c r="A218" s="48" t="s">
        <v>142</v>
      </c>
      <c r="B218" s="60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P218" s="3">
        <f>M193*0.98/1000</f>
        <v>2.39849084475</v>
      </c>
    </row>
    <row r="219" spans="1:18" x14ac:dyDescent="0.2">
      <c r="A219" s="61" t="s">
        <v>143</v>
      </c>
      <c r="B219" s="60">
        <f>R221*P214*P169</f>
        <v>378.64732946039993</v>
      </c>
      <c r="C219" s="60">
        <f t="shared" ref="C219:M219" si="114">(B209*$P$214)*0.991</f>
        <v>297.21140459999998</v>
      </c>
      <c r="D219" s="60">
        <f t="shared" si="114"/>
        <v>386.37482597999997</v>
      </c>
      <c r="E219" s="60">
        <f t="shared" si="114"/>
        <v>475.53824736000001</v>
      </c>
      <c r="F219" s="60">
        <f t="shared" si="114"/>
        <v>356.65368552000001</v>
      </c>
      <c r="G219" s="60">
        <f t="shared" si="114"/>
        <v>410.15173834800004</v>
      </c>
      <c r="H219" s="60">
        <f t="shared" si="114"/>
        <v>416.09596643999993</v>
      </c>
      <c r="I219" s="60">
        <f t="shared" si="114"/>
        <v>326.93254506</v>
      </c>
      <c r="J219" s="60">
        <f t="shared" si="114"/>
        <v>624.14394965999998</v>
      </c>
      <c r="K219" s="60">
        <f t="shared" si="114"/>
        <v>579.56223897000007</v>
      </c>
      <c r="L219" s="60">
        <f t="shared" si="114"/>
        <v>609.28337942999997</v>
      </c>
      <c r="M219" s="60">
        <f t="shared" si="114"/>
        <v>356.65368552000001</v>
      </c>
      <c r="N219" s="60">
        <f>SUM(C219:M219)</f>
        <v>4838.6016668880002</v>
      </c>
    </row>
    <row r="220" spans="1:18" x14ac:dyDescent="0.2">
      <c r="A220" s="61" t="s">
        <v>144</v>
      </c>
      <c r="B220" s="60">
        <f>B209*P214*P169</f>
        <v>297.21140459999998</v>
      </c>
      <c r="C220" s="60">
        <f t="shared" ref="C220:M220" si="115">(C209*$P$214)*0.991</f>
        <v>386.37482597999997</v>
      </c>
      <c r="D220" s="60">
        <f t="shared" si="115"/>
        <v>475.53824736000001</v>
      </c>
      <c r="E220" s="60">
        <f t="shared" si="115"/>
        <v>356.65368552000001</v>
      </c>
      <c r="F220" s="60">
        <f t="shared" si="115"/>
        <v>410.15173834800004</v>
      </c>
      <c r="G220" s="60">
        <f t="shared" si="115"/>
        <v>416.09596643999993</v>
      </c>
      <c r="H220" s="60">
        <f t="shared" si="115"/>
        <v>326.93254506</v>
      </c>
      <c r="I220" s="60">
        <f t="shared" si="115"/>
        <v>624.14394965999998</v>
      </c>
      <c r="J220" s="60">
        <f t="shared" si="115"/>
        <v>579.56223897000007</v>
      </c>
      <c r="K220" s="60">
        <f t="shared" si="115"/>
        <v>609.28337942999997</v>
      </c>
      <c r="L220" s="60">
        <f t="shared" si="115"/>
        <v>356.65368552000001</v>
      </c>
      <c r="M220" s="60">
        <f t="shared" si="115"/>
        <v>386.37482597999997</v>
      </c>
      <c r="N220" s="60">
        <f>SUM(C220:M220)</f>
        <v>4927.7650882680009</v>
      </c>
      <c r="P220" s="48" t="s">
        <v>156</v>
      </c>
      <c r="Q220" s="48" t="s">
        <v>15</v>
      </c>
      <c r="R220" s="48" t="s">
        <v>16</v>
      </c>
    </row>
    <row r="221" spans="1:18" x14ac:dyDescent="0.2">
      <c r="A221" s="62" t="s">
        <v>108</v>
      </c>
      <c r="B221" s="60">
        <f>B219+B220</f>
        <v>675.85873406039991</v>
      </c>
      <c r="C221" s="60">
        <f>C219+C220</f>
        <v>683.58623057999989</v>
      </c>
      <c r="D221" s="60">
        <f t="shared" ref="D221:M221" si="116">D219+D220</f>
        <v>861.91307333999998</v>
      </c>
      <c r="E221" s="60">
        <f t="shared" si="116"/>
        <v>832.19193287999997</v>
      </c>
      <c r="F221" s="60">
        <f t="shared" si="116"/>
        <v>766.80542386800005</v>
      </c>
      <c r="G221" s="60">
        <f t="shared" si="116"/>
        <v>826.24770478799996</v>
      </c>
      <c r="H221" s="60">
        <f t="shared" si="116"/>
        <v>743.02851149999992</v>
      </c>
      <c r="I221" s="60">
        <f t="shared" si="116"/>
        <v>951.07649472000003</v>
      </c>
      <c r="J221" s="60">
        <f t="shared" si="116"/>
        <v>1203.70618863</v>
      </c>
      <c r="K221" s="60">
        <f t="shared" si="116"/>
        <v>1188.8456184000001</v>
      </c>
      <c r="L221" s="60">
        <f t="shared" si="116"/>
        <v>965.93706494999992</v>
      </c>
      <c r="M221" s="60">
        <f t="shared" si="116"/>
        <v>743.02851149999992</v>
      </c>
      <c r="N221" s="60">
        <f>N219+N220</f>
        <v>9766.3667551560011</v>
      </c>
      <c r="P221" s="3">
        <f>P218*O171*P169</f>
        <v>2.3531353828757777</v>
      </c>
      <c r="Q221" s="60">
        <f>M208*0.98</f>
        <v>1610.3337275024999</v>
      </c>
      <c r="R221" s="60">
        <f>M209*0.98</f>
        <v>764.17220879999991</v>
      </c>
    </row>
    <row r="223" spans="1:18" x14ac:dyDescent="0.2">
      <c r="A223" s="62" t="s">
        <v>149</v>
      </c>
      <c r="B223" s="60">
        <f>B217+B221</f>
        <v>2315.8780757378886</v>
      </c>
      <c r="C223" s="60">
        <f>C217+C221</f>
        <v>2409.8891389649998</v>
      </c>
      <c r="D223" s="60">
        <f t="shared" ref="D223:M223" si="117">D217+D221</f>
        <v>2630.3209307100001</v>
      </c>
      <c r="E223" s="60">
        <f t="shared" si="117"/>
        <v>2674.28345097375</v>
      </c>
      <c r="F223" s="60">
        <f t="shared" si="117"/>
        <v>2693.1068399317501</v>
      </c>
      <c r="G223" s="60">
        <f t="shared" si="117"/>
        <v>2635.7078874183753</v>
      </c>
      <c r="H223" s="60">
        <f t="shared" si="117"/>
        <v>2733.5399747658748</v>
      </c>
      <c r="I223" s="60">
        <f t="shared" si="117"/>
        <v>3198.0070973045249</v>
      </c>
      <c r="J223" s="60">
        <f t="shared" si="117"/>
        <v>3450.6367912145251</v>
      </c>
      <c r="K223" s="60">
        <f t="shared" si="117"/>
        <v>3306.7245523454999</v>
      </c>
      <c r="L223" s="60">
        <f t="shared" si="117"/>
        <v>2913.2909555062497</v>
      </c>
      <c r="M223" s="60">
        <f t="shared" si="117"/>
        <v>2536.1730263986874</v>
      </c>
      <c r="N223" s="60">
        <f>N217+N221</f>
        <v>31181.680645534238</v>
      </c>
    </row>
    <row r="224" spans="1:18" x14ac:dyDescent="0.2">
      <c r="A224" s="62" t="s">
        <v>157</v>
      </c>
      <c r="B224" s="60">
        <f>B223/$P169</f>
        <v>2336.91026815125</v>
      </c>
      <c r="C224" s="60">
        <f t="shared" ref="C224:N224" si="118">C223/$P169</f>
        <v>2431.7751149999999</v>
      </c>
      <c r="D224" s="60">
        <f t="shared" si="118"/>
        <v>2654.2088100000001</v>
      </c>
      <c r="E224" s="60">
        <f t="shared" si="118"/>
        <v>2698.5705862499999</v>
      </c>
      <c r="F224" s="60">
        <f t="shared" si="118"/>
        <v>2717.5649242499999</v>
      </c>
      <c r="G224" s="60">
        <f t="shared" si="118"/>
        <v>2659.6446896250004</v>
      </c>
      <c r="H224" s="60">
        <f t="shared" si="118"/>
        <v>2758.3652621249998</v>
      </c>
      <c r="I224" s="60">
        <f t="shared" si="118"/>
        <v>3227.050552275</v>
      </c>
      <c r="J224" s="60">
        <f t="shared" si="118"/>
        <v>3481.9745622750002</v>
      </c>
      <c r="K224" s="60">
        <f t="shared" si="118"/>
        <v>3336.7553505000001</v>
      </c>
      <c r="L224" s="60">
        <f t="shared" si="118"/>
        <v>2939.7486937499998</v>
      </c>
      <c r="M224" s="60">
        <f t="shared" si="118"/>
        <v>2559.2058793124997</v>
      </c>
      <c r="N224" s="60">
        <f t="shared" si="118"/>
        <v>31464.864425362499</v>
      </c>
    </row>
    <row r="226" spans="1:14" x14ac:dyDescent="0.2">
      <c r="A226" s="208" t="s">
        <v>150</v>
      </c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</row>
    <row r="227" spans="1:14" x14ac:dyDescent="0.2">
      <c r="A227" s="78"/>
      <c r="B227" s="78" t="s">
        <v>3</v>
      </c>
      <c r="C227" s="78" t="s">
        <v>4</v>
      </c>
      <c r="D227" s="78" t="s">
        <v>5</v>
      </c>
      <c r="E227" s="78" t="s">
        <v>6</v>
      </c>
      <c r="F227" s="78" t="s">
        <v>7</v>
      </c>
      <c r="G227" s="78" t="s">
        <v>8</v>
      </c>
      <c r="H227" s="78" t="s">
        <v>9</v>
      </c>
      <c r="I227" s="78" t="s">
        <v>10</v>
      </c>
      <c r="J227" s="78" t="s">
        <v>96</v>
      </c>
      <c r="K227" s="78" t="s">
        <v>12</v>
      </c>
      <c r="L227" s="78" t="s">
        <v>13</v>
      </c>
      <c r="M227" s="78" t="s">
        <v>14</v>
      </c>
      <c r="N227" s="59" t="s">
        <v>125</v>
      </c>
    </row>
    <row r="228" spans="1:14" x14ac:dyDescent="0.2">
      <c r="A228" s="48" t="s">
        <v>141</v>
      </c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</row>
    <row r="229" spans="1:14" x14ac:dyDescent="0.2">
      <c r="A229" s="48" t="s">
        <v>151</v>
      </c>
      <c r="B229" s="3">
        <f>A166</f>
        <v>403.92000000000007</v>
      </c>
      <c r="C229" s="3">
        <f>B231</f>
        <v>-1100.68</v>
      </c>
      <c r="D229" s="3">
        <f t="shared" ref="D229:M229" si="119">C231</f>
        <v>-2552.2600000000002</v>
      </c>
      <c r="E229" s="3">
        <f t="shared" si="119"/>
        <v>-3848.84</v>
      </c>
      <c r="F229" s="3">
        <f t="shared" si="119"/>
        <v>-5528.1350000000002</v>
      </c>
      <c r="G229" s="3">
        <f t="shared" si="119"/>
        <v>-7139.6750000000002</v>
      </c>
      <c r="H229" s="3">
        <f t="shared" si="119"/>
        <v>-8435.7505000000001</v>
      </c>
      <c r="I229" s="3">
        <f t="shared" si="119"/>
        <v>-10626.504499999999</v>
      </c>
      <c r="J229" s="3">
        <f t="shared" si="119"/>
        <v>-12177.548199999999</v>
      </c>
      <c r="K229" s="3">
        <f t="shared" si="119"/>
        <v>-13930.302199999998</v>
      </c>
      <c r="L229" s="3">
        <f t="shared" si="119"/>
        <v>-15196.842199999999</v>
      </c>
      <c r="M229" s="3">
        <f t="shared" si="119"/>
        <v>-16926.627199999999</v>
      </c>
      <c r="N229" s="78"/>
    </row>
    <row r="230" spans="1:14" x14ac:dyDescent="0.2">
      <c r="A230" s="48" t="s">
        <v>152</v>
      </c>
      <c r="B230" s="3">
        <f>Enunciado!C28</f>
        <v>2019.6000000000001</v>
      </c>
      <c r="C230" s="3">
        <f>Enunciado!D28</f>
        <v>2120.58</v>
      </c>
      <c r="D230" s="3">
        <f>Enunciado!E28</f>
        <v>2120.58</v>
      </c>
      <c r="E230" s="3">
        <f>Enunciado!F28</f>
        <v>2297.2950000000001</v>
      </c>
      <c r="F230" s="3">
        <f>Enunciado!G28</f>
        <v>2322.54</v>
      </c>
      <c r="G230" s="3">
        <f>Enunciado!H28</f>
        <v>2017.0755000000001</v>
      </c>
      <c r="H230" s="3">
        <f>Enunciado!I28</f>
        <v>2756.7539999999999</v>
      </c>
      <c r="I230" s="3">
        <f>Enunciado!J28</f>
        <v>2632.0437000000002</v>
      </c>
      <c r="J230" s="3">
        <f>Enunciado!K28</f>
        <v>2756.7539999999999</v>
      </c>
      <c r="K230" s="3">
        <f>Enunciado!L28</f>
        <v>2322.54</v>
      </c>
      <c r="L230" s="3">
        <f>Enunciado!M28</f>
        <v>2347.7849999999999</v>
      </c>
      <c r="M230" s="3">
        <f>Enunciado!N28</f>
        <v>1952.70075</v>
      </c>
      <c r="N230" s="78"/>
    </row>
    <row r="231" spans="1:14" x14ac:dyDescent="0.2">
      <c r="A231" s="49" t="s">
        <v>153</v>
      </c>
      <c r="B231" s="3">
        <f>B166</f>
        <v>-1100.68</v>
      </c>
      <c r="C231" s="3">
        <f t="shared" ref="C231:M231" si="120">C166</f>
        <v>-2552.2600000000002</v>
      </c>
      <c r="D231" s="3">
        <f t="shared" si="120"/>
        <v>-3848.84</v>
      </c>
      <c r="E231" s="3">
        <f t="shared" si="120"/>
        <v>-5528.1350000000002</v>
      </c>
      <c r="F231" s="3">
        <f t="shared" si="120"/>
        <v>-7139.6750000000002</v>
      </c>
      <c r="G231" s="3">
        <f t="shared" si="120"/>
        <v>-8435.7505000000001</v>
      </c>
      <c r="H231" s="3">
        <f t="shared" si="120"/>
        <v>-10626.504499999999</v>
      </c>
      <c r="I231" s="3">
        <f t="shared" si="120"/>
        <v>-12177.548199999999</v>
      </c>
      <c r="J231" s="3">
        <f t="shared" si="120"/>
        <v>-13930.302199999998</v>
      </c>
      <c r="K231" s="3">
        <f t="shared" si="120"/>
        <v>-15196.842199999999</v>
      </c>
      <c r="L231" s="3">
        <f t="shared" si="120"/>
        <v>-16926.627199999999</v>
      </c>
      <c r="M231" s="3">
        <f t="shared" si="120"/>
        <v>-18210.327949999999</v>
      </c>
      <c r="N231" s="78"/>
    </row>
    <row r="232" spans="1:14" x14ac:dyDescent="0.2">
      <c r="A232" s="49" t="s">
        <v>154</v>
      </c>
      <c r="B232" s="3">
        <f>B230+(B231-B229)</f>
        <v>515</v>
      </c>
      <c r="C232" s="3">
        <f t="shared" ref="C232:M232" si="121">C230+(C231-C229)</f>
        <v>668.99999999999977</v>
      </c>
      <c r="D232" s="3">
        <f t="shared" si="121"/>
        <v>824</v>
      </c>
      <c r="E232" s="3">
        <f t="shared" si="121"/>
        <v>618</v>
      </c>
      <c r="F232" s="3">
        <f t="shared" si="121"/>
        <v>711</v>
      </c>
      <c r="G232" s="3">
        <f t="shared" si="121"/>
        <v>721.00000000000023</v>
      </c>
      <c r="H232" s="3">
        <f t="shared" si="121"/>
        <v>566.00000000000091</v>
      </c>
      <c r="I232" s="3">
        <f t="shared" si="121"/>
        <v>1081</v>
      </c>
      <c r="J232" s="3">
        <f t="shared" si="121"/>
        <v>1004.0000000000009</v>
      </c>
      <c r="K232" s="3">
        <f t="shared" si="121"/>
        <v>1055.9999999999991</v>
      </c>
      <c r="L232" s="3">
        <f t="shared" si="121"/>
        <v>618</v>
      </c>
      <c r="M232" s="3">
        <f t="shared" si="121"/>
        <v>669</v>
      </c>
      <c r="N232" s="3">
        <f>SUM(B232:M232)</f>
        <v>9052</v>
      </c>
    </row>
    <row r="233" spans="1:14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</row>
    <row r="234" spans="1:14" x14ac:dyDescent="0.2">
      <c r="A234" s="48" t="s">
        <v>142</v>
      </c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</row>
    <row r="235" spans="1:14" x14ac:dyDescent="0.2">
      <c r="A235" s="48" t="s">
        <v>151</v>
      </c>
      <c r="B235" s="3">
        <f>A167</f>
        <v>100.98000000000002</v>
      </c>
      <c r="C235" s="3" t="e">
        <f>B237</f>
        <v>#REF!</v>
      </c>
      <c r="D235" s="3" t="e">
        <f t="shared" ref="D235:M235" si="122">C237</f>
        <v>#REF!</v>
      </c>
      <c r="E235" s="3" t="e">
        <f t="shared" si="122"/>
        <v>#REF!</v>
      </c>
      <c r="F235" s="3" t="e">
        <f t="shared" si="122"/>
        <v>#REF!</v>
      </c>
      <c r="G235" s="3" t="e">
        <f t="shared" si="122"/>
        <v>#REF!</v>
      </c>
      <c r="H235" s="3" t="e">
        <f t="shared" si="122"/>
        <v>#REF!</v>
      </c>
      <c r="I235" s="3" t="e">
        <f t="shared" si="122"/>
        <v>#REF!</v>
      </c>
      <c r="J235" s="3" t="e">
        <f t="shared" si="122"/>
        <v>#REF!</v>
      </c>
      <c r="K235" s="3" t="e">
        <f t="shared" si="122"/>
        <v>#REF!</v>
      </c>
      <c r="L235" s="3" t="e">
        <f t="shared" si="122"/>
        <v>#REF!</v>
      </c>
      <c r="M235" s="3" t="e">
        <f t="shared" si="122"/>
        <v>#REF!</v>
      </c>
      <c r="N235" s="78"/>
    </row>
    <row r="236" spans="1:14" x14ac:dyDescent="0.2">
      <c r="A236" s="48" t="s">
        <v>152</v>
      </c>
      <c r="B236" s="3">
        <f>Enunciado!C29</f>
        <v>504.90000000000003</v>
      </c>
      <c r="C236" s="3">
        <f>Enunciado!D29</f>
        <v>656.37</v>
      </c>
      <c r="D236" s="3">
        <f>Enunciado!E29</f>
        <v>807.84</v>
      </c>
      <c r="E236" s="3">
        <f>Enunciado!F29</f>
        <v>605.88</v>
      </c>
      <c r="F236" s="3">
        <f>Enunciado!G29</f>
        <v>696.76200000000006</v>
      </c>
      <c r="G236" s="3">
        <f>Enunciado!H29</f>
        <v>706.86</v>
      </c>
      <c r="H236" s="3">
        <f>Enunciado!I29</f>
        <v>555.39</v>
      </c>
      <c r="I236" s="3">
        <f>Enunciado!J29</f>
        <v>1060.29</v>
      </c>
      <c r="J236" s="3">
        <f>Enunciado!K29</f>
        <v>984.55500000000006</v>
      </c>
      <c r="K236" s="3">
        <f>Enunciado!L29</f>
        <v>1035.0450000000001</v>
      </c>
      <c r="L236" s="3">
        <f>Enunciado!M29</f>
        <v>605.88</v>
      </c>
      <c r="M236" s="3">
        <f>Enunciado!N29</f>
        <v>656.37</v>
      </c>
      <c r="N236" s="78"/>
    </row>
    <row r="237" spans="1:14" x14ac:dyDescent="0.2">
      <c r="A237" s="48" t="s">
        <v>153</v>
      </c>
      <c r="B237" s="3" t="e">
        <f>B167</f>
        <v>#REF!</v>
      </c>
      <c r="C237" s="3" t="e">
        <f t="shared" ref="C237:M237" si="123">C167</f>
        <v>#REF!</v>
      </c>
      <c r="D237" s="3" t="e">
        <f t="shared" si="123"/>
        <v>#REF!</v>
      </c>
      <c r="E237" s="3" t="e">
        <f t="shared" si="123"/>
        <v>#REF!</v>
      </c>
      <c r="F237" s="3" t="e">
        <f t="shared" si="123"/>
        <v>#REF!</v>
      </c>
      <c r="G237" s="3" t="e">
        <f t="shared" si="123"/>
        <v>#REF!</v>
      </c>
      <c r="H237" s="3" t="e">
        <f t="shared" si="123"/>
        <v>#REF!</v>
      </c>
      <c r="I237" s="3" t="e">
        <f t="shared" si="123"/>
        <v>#REF!</v>
      </c>
      <c r="J237" s="3" t="e">
        <f t="shared" si="123"/>
        <v>#REF!</v>
      </c>
      <c r="K237" s="3" t="e">
        <f t="shared" si="123"/>
        <v>#REF!</v>
      </c>
      <c r="L237" s="3" t="e">
        <f t="shared" si="123"/>
        <v>#REF!</v>
      </c>
      <c r="M237" s="3" t="e">
        <f t="shared" si="123"/>
        <v>#REF!</v>
      </c>
      <c r="N237" s="78"/>
    </row>
    <row r="238" spans="1:14" x14ac:dyDescent="0.2">
      <c r="A238" s="48" t="s">
        <v>154</v>
      </c>
      <c r="B238" s="3" t="e">
        <f>B236+(B237-B235)</f>
        <v>#REF!</v>
      </c>
      <c r="C238" s="3" t="e">
        <f t="shared" ref="C238:M238" si="124">C236+(C237-C235)</f>
        <v>#REF!</v>
      </c>
      <c r="D238" s="3" t="e">
        <f t="shared" si="124"/>
        <v>#REF!</v>
      </c>
      <c r="E238" s="3" t="e">
        <f t="shared" si="124"/>
        <v>#REF!</v>
      </c>
      <c r="F238" s="3" t="e">
        <f t="shared" si="124"/>
        <v>#REF!</v>
      </c>
      <c r="G238" s="3" t="e">
        <f t="shared" si="124"/>
        <v>#REF!</v>
      </c>
      <c r="H238" s="3" t="e">
        <f t="shared" si="124"/>
        <v>#REF!</v>
      </c>
      <c r="I238" s="3" t="e">
        <f t="shared" si="124"/>
        <v>#REF!</v>
      </c>
      <c r="J238" s="3" t="e">
        <f t="shared" si="124"/>
        <v>#REF!</v>
      </c>
      <c r="K238" s="3" t="e">
        <f t="shared" si="124"/>
        <v>#REF!</v>
      </c>
      <c r="L238" s="3" t="e">
        <f t="shared" si="124"/>
        <v>#REF!</v>
      </c>
      <c r="M238" s="3" t="e">
        <f t="shared" si="124"/>
        <v>#REF!</v>
      </c>
      <c r="N238" s="3" t="e">
        <f>SUM(B238:M238)</f>
        <v>#REF!</v>
      </c>
    </row>
    <row r="240" spans="1:14" x14ac:dyDescent="0.2">
      <c r="A240" s="208" t="s">
        <v>158</v>
      </c>
      <c r="B240" s="208"/>
      <c r="C240" s="208"/>
      <c r="D240" s="208"/>
      <c r="E240" s="208"/>
      <c r="F240" s="208"/>
      <c r="G240" s="208"/>
      <c r="H240" s="208"/>
      <c r="I240" s="208"/>
      <c r="J240" s="208"/>
      <c r="K240" s="208"/>
      <c r="L240" s="208"/>
      <c r="M240" s="208"/>
      <c r="N240" s="208"/>
    </row>
    <row r="241" spans="1:15" x14ac:dyDescent="0.2">
      <c r="A241" s="78"/>
      <c r="B241" s="48" t="s">
        <v>161</v>
      </c>
      <c r="C241" s="78" t="s">
        <v>3</v>
      </c>
      <c r="D241" s="78" t="s">
        <v>4</v>
      </c>
      <c r="E241" s="78" t="s">
        <v>5</v>
      </c>
      <c r="F241" s="78" t="s">
        <v>6</v>
      </c>
      <c r="G241" s="78" t="s">
        <v>7</v>
      </c>
      <c r="H241" s="78" t="s">
        <v>8</v>
      </c>
      <c r="I241" s="78" t="s">
        <v>9</v>
      </c>
      <c r="J241" s="78" t="s">
        <v>10</v>
      </c>
      <c r="K241" s="78" t="s">
        <v>96</v>
      </c>
      <c r="L241" s="78" t="s">
        <v>12</v>
      </c>
      <c r="M241" s="78" t="s">
        <v>13</v>
      </c>
      <c r="N241" s="78" t="s">
        <v>14</v>
      </c>
      <c r="O241" s="66" t="s">
        <v>125</v>
      </c>
    </row>
    <row r="242" spans="1:15" x14ac:dyDescent="0.2">
      <c r="A242" s="48" t="s">
        <v>141</v>
      </c>
      <c r="B242" s="48" t="s">
        <v>162</v>
      </c>
      <c r="C242" s="3">
        <f>B232</f>
        <v>515</v>
      </c>
      <c r="D242" s="3">
        <f t="shared" ref="D242:O242" si="125">C232</f>
        <v>668.99999999999977</v>
      </c>
      <c r="E242" s="3">
        <f t="shared" si="125"/>
        <v>824</v>
      </c>
      <c r="F242" s="3">
        <f t="shared" si="125"/>
        <v>618</v>
      </c>
      <c r="G242" s="3">
        <f t="shared" si="125"/>
        <v>711</v>
      </c>
      <c r="H242" s="3">
        <f t="shared" si="125"/>
        <v>721.00000000000023</v>
      </c>
      <c r="I242" s="3">
        <f t="shared" si="125"/>
        <v>566.00000000000091</v>
      </c>
      <c r="J242" s="3">
        <f t="shared" si="125"/>
        <v>1081</v>
      </c>
      <c r="K242" s="3">
        <f t="shared" si="125"/>
        <v>1004.0000000000009</v>
      </c>
      <c r="L242" s="3">
        <f t="shared" si="125"/>
        <v>1055.9999999999991</v>
      </c>
      <c r="M242" s="3">
        <f t="shared" si="125"/>
        <v>618</v>
      </c>
      <c r="N242" s="3">
        <f t="shared" si="125"/>
        <v>669</v>
      </c>
      <c r="O242" s="37">
        <f t="shared" si="125"/>
        <v>9052</v>
      </c>
    </row>
    <row r="243" spans="1:15" x14ac:dyDescent="0.2">
      <c r="A243" s="210" t="s">
        <v>166</v>
      </c>
      <c r="B243" s="48" t="s">
        <v>151</v>
      </c>
      <c r="C243" s="78">
        <f>A123</f>
        <v>515</v>
      </c>
      <c r="D243" s="78">
        <f>C245</f>
        <v>669</v>
      </c>
      <c r="E243" s="78">
        <f t="shared" ref="E243:N243" si="126">D245</f>
        <v>824</v>
      </c>
      <c r="F243" s="78">
        <f t="shared" si="126"/>
        <v>618</v>
      </c>
      <c r="G243" s="78">
        <f t="shared" si="126"/>
        <v>711</v>
      </c>
      <c r="H243" s="78">
        <f t="shared" si="126"/>
        <v>721</v>
      </c>
      <c r="I243" s="78">
        <f t="shared" si="126"/>
        <v>566</v>
      </c>
      <c r="J243" s="78">
        <f t="shared" si="126"/>
        <v>1081</v>
      </c>
      <c r="K243" s="78">
        <f t="shared" si="126"/>
        <v>1004</v>
      </c>
      <c r="L243" s="78">
        <f t="shared" si="126"/>
        <v>1056</v>
      </c>
      <c r="M243" s="78">
        <f t="shared" si="126"/>
        <v>618</v>
      </c>
      <c r="N243" s="78">
        <f t="shared" si="126"/>
        <v>669</v>
      </c>
    </row>
    <row r="244" spans="1:15" x14ac:dyDescent="0.2">
      <c r="A244" s="150"/>
      <c r="B244" s="48" t="s">
        <v>163</v>
      </c>
      <c r="C244" s="78">
        <f>B152</f>
        <v>5150</v>
      </c>
      <c r="D244" s="78">
        <f t="shared" ref="D244:N244" si="127">C152</f>
        <v>6690</v>
      </c>
      <c r="E244" s="78">
        <f t="shared" si="127"/>
        <v>8240</v>
      </c>
      <c r="F244" s="78">
        <f t="shared" si="127"/>
        <v>6180</v>
      </c>
      <c r="G244" s="78">
        <f t="shared" si="127"/>
        <v>7110</v>
      </c>
      <c r="H244" s="78">
        <f t="shared" si="127"/>
        <v>7210</v>
      </c>
      <c r="I244" s="78">
        <f t="shared" si="127"/>
        <v>5660</v>
      </c>
      <c r="J244" s="78">
        <f t="shared" si="127"/>
        <v>10810</v>
      </c>
      <c r="K244" s="78">
        <f t="shared" si="127"/>
        <v>10040</v>
      </c>
      <c r="L244" s="78">
        <f t="shared" si="127"/>
        <v>10560</v>
      </c>
      <c r="M244" s="78">
        <f t="shared" si="127"/>
        <v>6180</v>
      </c>
      <c r="N244" s="78">
        <f t="shared" si="127"/>
        <v>6690</v>
      </c>
    </row>
    <row r="245" spans="1:15" x14ac:dyDescent="0.2">
      <c r="A245" s="150"/>
      <c r="B245" s="48" t="s">
        <v>153</v>
      </c>
      <c r="C245" s="78">
        <f>B145</f>
        <v>669</v>
      </c>
      <c r="D245" s="78">
        <f t="shared" ref="D245:N245" si="128">C145</f>
        <v>824</v>
      </c>
      <c r="E245" s="78">
        <f t="shared" si="128"/>
        <v>618</v>
      </c>
      <c r="F245" s="78">
        <f t="shared" si="128"/>
        <v>711</v>
      </c>
      <c r="G245" s="78">
        <f t="shared" si="128"/>
        <v>721</v>
      </c>
      <c r="H245" s="78">
        <f t="shared" si="128"/>
        <v>566</v>
      </c>
      <c r="I245" s="78">
        <f t="shared" si="128"/>
        <v>1081</v>
      </c>
      <c r="J245" s="78">
        <f t="shared" si="128"/>
        <v>1004</v>
      </c>
      <c r="K245" s="78">
        <f t="shared" si="128"/>
        <v>1056</v>
      </c>
      <c r="L245" s="78">
        <f t="shared" si="128"/>
        <v>618</v>
      </c>
      <c r="M245" s="78">
        <f t="shared" si="128"/>
        <v>669</v>
      </c>
      <c r="N245" s="78">
        <f t="shared" si="128"/>
        <v>343</v>
      </c>
    </row>
    <row r="246" spans="1:15" x14ac:dyDescent="0.2">
      <c r="A246" s="150"/>
      <c r="B246" s="48" t="s">
        <v>164</v>
      </c>
      <c r="C246" s="78">
        <f>C244+C245-C243</f>
        <v>5304</v>
      </c>
      <c r="D246" s="78">
        <f t="shared" ref="D246:N246" si="129">D244+D245-D243</f>
        <v>6845</v>
      </c>
      <c r="E246" s="78">
        <f t="shared" si="129"/>
        <v>8034</v>
      </c>
      <c r="F246" s="78">
        <f t="shared" si="129"/>
        <v>6273</v>
      </c>
      <c r="G246" s="78">
        <f t="shared" si="129"/>
        <v>7120</v>
      </c>
      <c r="H246" s="78">
        <f t="shared" si="129"/>
        <v>7055</v>
      </c>
      <c r="I246" s="78">
        <f t="shared" si="129"/>
        <v>6175</v>
      </c>
      <c r="J246" s="78">
        <f t="shared" si="129"/>
        <v>10733</v>
      </c>
      <c r="K246" s="78">
        <f t="shared" si="129"/>
        <v>10092</v>
      </c>
      <c r="L246" s="78">
        <f t="shared" si="129"/>
        <v>10122</v>
      </c>
      <c r="M246" s="78">
        <f t="shared" si="129"/>
        <v>6231</v>
      </c>
      <c r="N246" s="78">
        <f t="shared" si="129"/>
        <v>6364</v>
      </c>
    </row>
    <row r="247" spans="1:15" x14ac:dyDescent="0.2">
      <c r="A247" s="150"/>
      <c r="B247" s="48" t="s">
        <v>165</v>
      </c>
      <c r="C247" s="73">
        <f t="shared" ref="C247:N247" si="130">(C246*$S$13)/1000</f>
        <v>47.735999999999997</v>
      </c>
      <c r="D247" s="73">
        <f t="shared" si="130"/>
        <v>61.604999999999997</v>
      </c>
      <c r="E247" s="73">
        <f t="shared" si="130"/>
        <v>72.305999999999997</v>
      </c>
      <c r="F247" s="73">
        <f t="shared" si="130"/>
        <v>56.457000000000001</v>
      </c>
      <c r="G247" s="73">
        <f t="shared" si="130"/>
        <v>64.08</v>
      </c>
      <c r="H247" s="73">
        <f t="shared" si="130"/>
        <v>63.494999999999997</v>
      </c>
      <c r="I247" s="73">
        <f t="shared" si="130"/>
        <v>55.575000000000003</v>
      </c>
      <c r="J247" s="73">
        <f t="shared" si="130"/>
        <v>96.596999999999994</v>
      </c>
      <c r="K247" s="73">
        <f t="shared" si="130"/>
        <v>90.828000000000003</v>
      </c>
      <c r="L247" s="73">
        <f t="shared" si="130"/>
        <v>91.097999999999999</v>
      </c>
      <c r="M247" s="73">
        <f t="shared" si="130"/>
        <v>56.079000000000001</v>
      </c>
      <c r="N247" s="73">
        <f t="shared" si="130"/>
        <v>57.276000000000003</v>
      </c>
    </row>
    <row r="248" spans="1:15" x14ac:dyDescent="0.2">
      <c r="A248" s="210" t="s">
        <v>167</v>
      </c>
      <c r="B248" s="48" t="s">
        <v>151</v>
      </c>
      <c r="C248" s="78">
        <f>A124</f>
        <v>721</v>
      </c>
      <c r="D248" s="78">
        <f>C250</f>
        <v>936.60000000000036</v>
      </c>
      <c r="E248" s="78">
        <f t="shared" ref="E248:N248" si="131">D250</f>
        <v>1153.6000000000004</v>
      </c>
      <c r="F248" s="78">
        <f t="shared" si="131"/>
        <v>865.20000000000073</v>
      </c>
      <c r="G248" s="78">
        <f t="shared" si="131"/>
        <v>995.39999999999964</v>
      </c>
      <c r="H248" s="78">
        <f t="shared" si="131"/>
        <v>1009.3999999999996</v>
      </c>
      <c r="I248" s="78">
        <f t="shared" si="131"/>
        <v>792.39999999999964</v>
      </c>
      <c r="J248" s="78">
        <f t="shared" si="131"/>
        <v>1513.3999999999996</v>
      </c>
      <c r="K248" s="78">
        <f t="shared" si="131"/>
        <v>1405.5999999999985</v>
      </c>
      <c r="L248" s="78">
        <f t="shared" si="131"/>
        <v>1478.3999999999978</v>
      </c>
      <c r="M248" s="78">
        <f t="shared" si="131"/>
        <v>865.19999999999891</v>
      </c>
      <c r="N248" s="78">
        <f t="shared" si="131"/>
        <v>936.59999999999854</v>
      </c>
    </row>
    <row r="249" spans="1:15" x14ac:dyDescent="0.2">
      <c r="A249" s="150"/>
      <c r="B249" s="48" t="s">
        <v>163</v>
      </c>
      <c r="C249" s="78">
        <f>B153</f>
        <v>7210</v>
      </c>
      <c r="D249" s="78">
        <f t="shared" ref="D249:N249" si="132">C153</f>
        <v>9366</v>
      </c>
      <c r="E249" s="78">
        <f t="shared" si="132"/>
        <v>11536</v>
      </c>
      <c r="F249" s="78">
        <f t="shared" si="132"/>
        <v>8652</v>
      </c>
      <c r="G249" s="78">
        <f t="shared" si="132"/>
        <v>9954</v>
      </c>
      <c r="H249" s="78">
        <f t="shared" si="132"/>
        <v>10094</v>
      </c>
      <c r="I249" s="78">
        <f t="shared" si="132"/>
        <v>7924</v>
      </c>
      <c r="J249" s="78">
        <f t="shared" si="132"/>
        <v>15134</v>
      </c>
      <c r="K249" s="78">
        <f t="shared" si="132"/>
        <v>14056</v>
      </c>
      <c r="L249" s="78">
        <f t="shared" si="132"/>
        <v>14784</v>
      </c>
      <c r="M249" s="78">
        <f t="shared" si="132"/>
        <v>8652</v>
      </c>
      <c r="N249" s="78">
        <f t="shared" si="132"/>
        <v>9366</v>
      </c>
    </row>
    <row r="250" spans="1:15" x14ac:dyDescent="0.2">
      <c r="A250" s="150"/>
      <c r="B250" s="48" t="s">
        <v>153</v>
      </c>
      <c r="C250" s="78">
        <f>B146</f>
        <v>936.60000000000036</v>
      </c>
      <c r="D250" s="78">
        <f t="shared" ref="D250:N250" si="133">C146</f>
        <v>1153.6000000000004</v>
      </c>
      <c r="E250" s="78">
        <f t="shared" si="133"/>
        <v>865.20000000000073</v>
      </c>
      <c r="F250" s="78">
        <f t="shared" si="133"/>
        <v>995.39999999999964</v>
      </c>
      <c r="G250" s="78">
        <f t="shared" si="133"/>
        <v>1009.3999999999996</v>
      </c>
      <c r="H250" s="78">
        <f t="shared" si="133"/>
        <v>792.39999999999964</v>
      </c>
      <c r="I250" s="78">
        <f t="shared" si="133"/>
        <v>1513.3999999999996</v>
      </c>
      <c r="J250" s="78">
        <f t="shared" si="133"/>
        <v>1405.5999999999985</v>
      </c>
      <c r="K250" s="78">
        <f t="shared" si="133"/>
        <v>1478.3999999999978</v>
      </c>
      <c r="L250" s="78">
        <f t="shared" si="133"/>
        <v>865.19999999999891</v>
      </c>
      <c r="M250" s="78">
        <f t="shared" si="133"/>
        <v>936.59999999999854</v>
      </c>
      <c r="N250" s="78">
        <f t="shared" si="133"/>
        <v>480</v>
      </c>
    </row>
    <row r="251" spans="1:15" x14ac:dyDescent="0.2">
      <c r="A251" s="150"/>
      <c r="B251" s="48" t="s">
        <v>164</v>
      </c>
      <c r="C251" s="78">
        <f>C249+C250-C248</f>
        <v>7425.6</v>
      </c>
      <c r="D251" s="78">
        <f t="shared" ref="D251:N251" si="134">D249+D250-D248</f>
        <v>9583</v>
      </c>
      <c r="E251" s="78">
        <f t="shared" si="134"/>
        <v>11247.6</v>
      </c>
      <c r="F251" s="78">
        <f t="shared" si="134"/>
        <v>8782.1999999999989</v>
      </c>
      <c r="G251" s="78">
        <f t="shared" si="134"/>
        <v>9968</v>
      </c>
      <c r="H251" s="78">
        <f t="shared" si="134"/>
        <v>9877</v>
      </c>
      <c r="I251" s="78">
        <f t="shared" si="134"/>
        <v>8645</v>
      </c>
      <c r="J251" s="78">
        <f t="shared" si="134"/>
        <v>15026.199999999999</v>
      </c>
      <c r="K251" s="78">
        <f t="shared" si="134"/>
        <v>14128.8</v>
      </c>
      <c r="L251" s="78">
        <f t="shared" si="134"/>
        <v>14170.800000000001</v>
      </c>
      <c r="M251" s="78">
        <f t="shared" si="134"/>
        <v>8723.4</v>
      </c>
      <c r="N251" s="78">
        <f t="shared" si="134"/>
        <v>8909.4000000000015</v>
      </c>
    </row>
    <row r="252" spans="1:15" x14ac:dyDescent="0.2">
      <c r="A252" s="150"/>
      <c r="B252" s="48" t="s">
        <v>165</v>
      </c>
      <c r="C252" s="73">
        <f t="shared" ref="C252:N252" si="135">(C251*$S$18)/1000</f>
        <v>74.256</v>
      </c>
      <c r="D252" s="73">
        <f t="shared" si="135"/>
        <v>95.83</v>
      </c>
      <c r="E252" s="73">
        <f t="shared" si="135"/>
        <v>112.476</v>
      </c>
      <c r="F252" s="73">
        <f t="shared" si="135"/>
        <v>87.821999999999989</v>
      </c>
      <c r="G252" s="73">
        <f t="shared" si="135"/>
        <v>99.68</v>
      </c>
      <c r="H252" s="73">
        <f t="shared" si="135"/>
        <v>98.77</v>
      </c>
      <c r="I252" s="73">
        <f t="shared" si="135"/>
        <v>86.45</v>
      </c>
      <c r="J252" s="73">
        <f t="shared" si="135"/>
        <v>150.262</v>
      </c>
      <c r="K252" s="73">
        <f t="shared" si="135"/>
        <v>141.28800000000001</v>
      </c>
      <c r="L252" s="73">
        <f t="shared" si="135"/>
        <v>141.708</v>
      </c>
      <c r="M252" s="73">
        <f t="shared" si="135"/>
        <v>87.233999999999995</v>
      </c>
      <c r="N252" s="73">
        <f t="shared" si="135"/>
        <v>89.094000000000008</v>
      </c>
    </row>
    <row r="253" spans="1:15" x14ac:dyDescent="0.2">
      <c r="A253" s="48" t="s">
        <v>142</v>
      </c>
      <c r="B253" s="48" t="s">
        <v>162</v>
      </c>
      <c r="C253" s="3" t="e">
        <f>B238</f>
        <v>#REF!</v>
      </c>
      <c r="D253" s="3" t="e">
        <f t="shared" ref="D253:O253" si="136">C238</f>
        <v>#REF!</v>
      </c>
      <c r="E253" s="3" t="e">
        <f t="shared" si="136"/>
        <v>#REF!</v>
      </c>
      <c r="F253" s="3" t="e">
        <f t="shared" si="136"/>
        <v>#REF!</v>
      </c>
      <c r="G253" s="3" t="e">
        <f t="shared" si="136"/>
        <v>#REF!</v>
      </c>
      <c r="H253" s="3" t="e">
        <f t="shared" si="136"/>
        <v>#REF!</v>
      </c>
      <c r="I253" s="3" t="e">
        <f t="shared" si="136"/>
        <v>#REF!</v>
      </c>
      <c r="J253" s="3" t="e">
        <f t="shared" si="136"/>
        <v>#REF!</v>
      </c>
      <c r="K253" s="3" t="e">
        <f t="shared" si="136"/>
        <v>#REF!</v>
      </c>
      <c r="L253" s="3" t="e">
        <f t="shared" si="136"/>
        <v>#REF!</v>
      </c>
      <c r="M253" s="3" t="e">
        <f t="shared" si="136"/>
        <v>#REF!</v>
      </c>
      <c r="N253" s="3" t="e">
        <f t="shared" si="136"/>
        <v>#REF!</v>
      </c>
      <c r="O253" s="37" t="e">
        <f t="shared" si="136"/>
        <v>#REF!</v>
      </c>
    </row>
    <row r="254" spans="1:15" x14ac:dyDescent="0.2">
      <c r="A254" s="210" t="s">
        <v>168</v>
      </c>
      <c r="B254" s="48" t="s">
        <v>151</v>
      </c>
      <c r="C254" s="78" t="e">
        <f>A125</f>
        <v>#REF!</v>
      </c>
      <c r="D254" s="78" t="e">
        <f>C256</f>
        <v>#REF!</v>
      </c>
      <c r="E254" s="78" t="e">
        <f t="shared" ref="E254:N254" si="137">D256</f>
        <v>#REF!</v>
      </c>
      <c r="F254" s="78" t="e">
        <f t="shared" si="137"/>
        <v>#REF!</v>
      </c>
      <c r="G254" s="78" t="e">
        <f t="shared" si="137"/>
        <v>#REF!</v>
      </c>
      <c r="H254" s="78" t="e">
        <f t="shared" si="137"/>
        <v>#REF!</v>
      </c>
      <c r="I254" s="78" t="e">
        <f t="shared" si="137"/>
        <v>#REF!</v>
      </c>
      <c r="J254" s="78" t="e">
        <f t="shared" si="137"/>
        <v>#REF!</v>
      </c>
      <c r="K254" s="78" t="e">
        <f t="shared" si="137"/>
        <v>#REF!</v>
      </c>
      <c r="L254" s="78" t="e">
        <f t="shared" si="137"/>
        <v>#REF!</v>
      </c>
      <c r="M254" s="78" t="e">
        <f t="shared" si="137"/>
        <v>#REF!</v>
      </c>
      <c r="N254" s="78" t="e">
        <f t="shared" si="137"/>
        <v>#REF!</v>
      </c>
    </row>
    <row r="255" spans="1:15" x14ac:dyDescent="0.2">
      <c r="A255" s="150"/>
      <c r="B255" s="48" t="s">
        <v>163</v>
      </c>
      <c r="C255" s="78" t="e">
        <f>B154</f>
        <v>#REF!</v>
      </c>
      <c r="D255" s="78" t="e">
        <f t="shared" ref="D255:M255" si="138">C154</f>
        <v>#REF!</v>
      </c>
      <c r="E255" s="78" t="e">
        <f t="shared" si="138"/>
        <v>#REF!</v>
      </c>
      <c r="F255" s="78" t="e">
        <f t="shared" si="138"/>
        <v>#REF!</v>
      </c>
      <c r="G255" s="78" t="e">
        <f t="shared" si="138"/>
        <v>#REF!</v>
      </c>
      <c r="H255" s="78" t="e">
        <f t="shared" si="138"/>
        <v>#REF!</v>
      </c>
      <c r="I255" s="78" t="e">
        <f t="shared" si="138"/>
        <v>#REF!</v>
      </c>
      <c r="J255" s="78" t="e">
        <f t="shared" si="138"/>
        <v>#REF!</v>
      </c>
      <c r="K255" s="78" t="e">
        <f t="shared" si="138"/>
        <v>#REF!</v>
      </c>
      <c r="L255" s="78" t="e">
        <f t="shared" si="138"/>
        <v>#REF!</v>
      </c>
      <c r="M255" s="78" t="e">
        <f t="shared" si="138"/>
        <v>#REF!</v>
      </c>
      <c r="N255" s="78" t="e">
        <f>M154</f>
        <v>#REF!</v>
      </c>
    </row>
    <row r="256" spans="1:15" x14ac:dyDescent="0.2">
      <c r="A256" s="150"/>
      <c r="B256" s="48" t="s">
        <v>153</v>
      </c>
      <c r="C256" s="78" t="e">
        <f>B147</f>
        <v>#REF!</v>
      </c>
      <c r="D256" s="78" t="e">
        <f t="shared" ref="D256:N256" si="139">C147</f>
        <v>#REF!</v>
      </c>
      <c r="E256" s="78" t="e">
        <f t="shared" si="139"/>
        <v>#REF!</v>
      </c>
      <c r="F256" s="78" t="e">
        <f t="shared" si="139"/>
        <v>#REF!</v>
      </c>
      <c r="G256" s="78" t="e">
        <f t="shared" si="139"/>
        <v>#REF!</v>
      </c>
      <c r="H256" s="78" t="e">
        <f t="shared" si="139"/>
        <v>#REF!</v>
      </c>
      <c r="I256" s="78" t="e">
        <f t="shared" si="139"/>
        <v>#REF!</v>
      </c>
      <c r="J256" s="78" t="e">
        <f t="shared" si="139"/>
        <v>#REF!</v>
      </c>
      <c r="K256" s="78" t="e">
        <f t="shared" si="139"/>
        <v>#REF!</v>
      </c>
      <c r="L256" s="78" t="e">
        <f t="shared" si="139"/>
        <v>#REF!</v>
      </c>
      <c r="M256" s="78" t="e">
        <f t="shared" si="139"/>
        <v>#REF!</v>
      </c>
      <c r="N256" s="78" t="e">
        <f t="shared" si="139"/>
        <v>#REF!</v>
      </c>
    </row>
    <row r="257" spans="1:16" x14ac:dyDescent="0.2">
      <c r="A257" s="150"/>
      <c r="B257" s="48" t="s">
        <v>164</v>
      </c>
      <c r="C257" s="78" t="e">
        <f>C255+C256-C254</f>
        <v>#REF!</v>
      </c>
      <c r="D257" s="78" t="e">
        <f t="shared" ref="D257:N257" si="140">D255+D256-D254</f>
        <v>#REF!</v>
      </c>
      <c r="E257" s="78" t="e">
        <f t="shared" si="140"/>
        <v>#REF!</v>
      </c>
      <c r="F257" s="78" t="e">
        <f t="shared" si="140"/>
        <v>#REF!</v>
      </c>
      <c r="G257" s="78" t="e">
        <f t="shared" si="140"/>
        <v>#REF!</v>
      </c>
      <c r="H257" s="78" t="e">
        <f t="shared" si="140"/>
        <v>#REF!</v>
      </c>
      <c r="I257" s="78" t="e">
        <f t="shared" si="140"/>
        <v>#REF!</v>
      </c>
      <c r="J257" s="78" t="e">
        <f t="shared" si="140"/>
        <v>#REF!</v>
      </c>
      <c r="K257" s="78" t="e">
        <f t="shared" si="140"/>
        <v>#REF!</v>
      </c>
      <c r="L257" s="78" t="e">
        <f t="shared" si="140"/>
        <v>#REF!</v>
      </c>
      <c r="M257" s="78" t="e">
        <f t="shared" si="140"/>
        <v>#REF!</v>
      </c>
      <c r="N257" s="78" t="e">
        <f t="shared" si="140"/>
        <v>#REF!</v>
      </c>
    </row>
    <row r="258" spans="1:16" x14ac:dyDescent="0.2">
      <c r="A258" s="150"/>
      <c r="B258" s="48" t="s">
        <v>165</v>
      </c>
      <c r="C258" s="73" t="e">
        <f t="shared" ref="C258:N258" si="141">(C257*$S$19)/1000</f>
        <v>#REF!</v>
      </c>
      <c r="D258" s="73" t="e">
        <f t="shared" si="141"/>
        <v>#REF!</v>
      </c>
      <c r="E258" s="73" t="e">
        <f t="shared" si="141"/>
        <v>#REF!</v>
      </c>
      <c r="F258" s="73" t="e">
        <f t="shared" si="141"/>
        <v>#REF!</v>
      </c>
      <c r="G258" s="73" t="e">
        <f t="shared" si="141"/>
        <v>#REF!</v>
      </c>
      <c r="H258" s="73" t="e">
        <f t="shared" si="141"/>
        <v>#REF!</v>
      </c>
      <c r="I258" s="73" t="e">
        <f t="shared" si="141"/>
        <v>#REF!</v>
      </c>
      <c r="J258" s="73" t="e">
        <f t="shared" si="141"/>
        <v>#REF!</v>
      </c>
      <c r="K258" s="73" t="e">
        <f t="shared" si="141"/>
        <v>#REF!</v>
      </c>
      <c r="L258" s="73" t="e">
        <f t="shared" si="141"/>
        <v>#REF!</v>
      </c>
      <c r="M258" s="73" t="e">
        <f t="shared" si="141"/>
        <v>#REF!</v>
      </c>
      <c r="N258" s="73" t="e">
        <f t="shared" si="141"/>
        <v>#REF!</v>
      </c>
    </row>
    <row r="259" spans="1:16" x14ac:dyDescent="0.2">
      <c r="A259" s="210" t="s">
        <v>169</v>
      </c>
      <c r="B259" s="48" t="s">
        <v>151</v>
      </c>
      <c r="C259" s="78" t="e">
        <f>A126</f>
        <v>#REF!</v>
      </c>
      <c r="D259" s="78" t="e">
        <f>C261</f>
        <v>#REF!</v>
      </c>
      <c r="E259" s="78" t="e">
        <f t="shared" ref="E259:N259" si="142">D261</f>
        <v>#REF!</v>
      </c>
      <c r="F259" s="78" t="e">
        <f t="shared" si="142"/>
        <v>#REF!</v>
      </c>
      <c r="G259" s="78" t="e">
        <f t="shared" si="142"/>
        <v>#REF!</v>
      </c>
      <c r="H259" s="78" t="e">
        <f t="shared" si="142"/>
        <v>#REF!</v>
      </c>
      <c r="I259" s="78" t="e">
        <f t="shared" si="142"/>
        <v>#REF!</v>
      </c>
      <c r="J259" s="78" t="e">
        <f t="shared" si="142"/>
        <v>#REF!</v>
      </c>
      <c r="K259" s="78" t="e">
        <f t="shared" si="142"/>
        <v>#REF!</v>
      </c>
      <c r="L259" s="78" t="e">
        <f t="shared" si="142"/>
        <v>#REF!</v>
      </c>
      <c r="M259" s="78" t="e">
        <f t="shared" si="142"/>
        <v>#REF!</v>
      </c>
      <c r="N259" s="78" t="e">
        <f t="shared" si="142"/>
        <v>#REF!</v>
      </c>
      <c r="P259">
        <v>1000</v>
      </c>
    </row>
    <row r="260" spans="1:16" x14ac:dyDescent="0.2">
      <c r="A260" s="150"/>
      <c r="B260" s="48" t="s">
        <v>163</v>
      </c>
      <c r="C260" s="78" t="e">
        <f>B155</f>
        <v>#REF!</v>
      </c>
      <c r="D260" s="78" t="e">
        <f t="shared" ref="D260:N260" si="143">C155</f>
        <v>#REF!</v>
      </c>
      <c r="E260" s="78" t="e">
        <f t="shared" si="143"/>
        <v>#REF!</v>
      </c>
      <c r="F260" s="78" t="e">
        <f t="shared" si="143"/>
        <v>#REF!</v>
      </c>
      <c r="G260" s="78" t="e">
        <f t="shared" si="143"/>
        <v>#REF!</v>
      </c>
      <c r="H260" s="78" t="e">
        <f t="shared" si="143"/>
        <v>#REF!</v>
      </c>
      <c r="I260" s="78" t="e">
        <f t="shared" si="143"/>
        <v>#REF!</v>
      </c>
      <c r="J260" s="78" t="e">
        <f t="shared" si="143"/>
        <v>#REF!</v>
      </c>
      <c r="K260" s="78" t="e">
        <f t="shared" si="143"/>
        <v>#REF!</v>
      </c>
      <c r="L260" s="78" t="e">
        <f t="shared" si="143"/>
        <v>#REF!</v>
      </c>
      <c r="M260" s="78" t="e">
        <f t="shared" si="143"/>
        <v>#REF!</v>
      </c>
      <c r="N260" s="78" t="e">
        <f t="shared" si="143"/>
        <v>#REF!</v>
      </c>
    </row>
    <row r="261" spans="1:16" x14ac:dyDescent="0.2">
      <c r="A261" s="150"/>
      <c r="B261" s="48" t="s">
        <v>153</v>
      </c>
      <c r="C261" s="78" t="e">
        <f>B148</f>
        <v>#REF!</v>
      </c>
      <c r="D261" s="78" t="e">
        <f t="shared" ref="D261:N261" si="144">C148</f>
        <v>#REF!</v>
      </c>
      <c r="E261" s="78" t="e">
        <f t="shared" si="144"/>
        <v>#REF!</v>
      </c>
      <c r="F261" s="78" t="e">
        <f t="shared" si="144"/>
        <v>#REF!</v>
      </c>
      <c r="G261" s="78" t="e">
        <f t="shared" si="144"/>
        <v>#REF!</v>
      </c>
      <c r="H261" s="78" t="e">
        <f t="shared" si="144"/>
        <v>#REF!</v>
      </c>
      <c r="I261" s="78" t="e">
        <f t="shared" si="144"/>
        <v>#REF!</v>
      </c>
      <c r="J261" s="78" t="e">
        <f t="shared" si="144"/>
        <v>#REF!</v>
      </c>
      <c r="K261" s="78" t="e">
        <f t="shared" si="144"/>
        <v>#REF!</v>
      </c>
      <c r="L261" s="78" t="e">
        <f t="shared" si="144"/>
        <v>#REF!</v>
      </c>
      <c r="M261" s="78" t="e">
        <f t="shared" si="144"/>
        <v>#REF!</v>
      </c>
      <c r="N261" s="78" t="e">
        <f t="shared" si="144"/>
        <v>#REF!</v>
      </c>
    </row>
    <row r="262" spans="1:16" x14ac:dyDescent="0.2">
      <c r="A262" s="150"/>
      <c r="B262" s="48" t="s">
        <v>164</v>
      </c>
      <c r="C262" s="78" t="e">
        <f>C260+C261-C259</f>
        <v>#REF!</v>
      </c>
      <c r="D262" s="78" t="e">
        <f t="shared" ref="D262:N262" si="145">D260+D261-D259</f>
        <v>#REF!</v>
      </c>
      <c r="E262" s="78" t="e">
        <f t="shared" si="145"/>
        <v>#REF!</v>
      </c>
      <c r="F262" s="78" t="e">
        <f t="shared" si="145"/>
        <v>#REF!</v>
      </c>
      <c r="G262" s="78" t="e">
        <f t="shared" si="145"/>
        <v>#REF!</v>
      </c>
      <c r="H262" s="78" t="e">
        <f t="shared" si="145"/>
        <v>#REF!</v>
      </c>
      <c r="I262" s="78" t="e">
        <f t="shared" si="145"/>
        <v>#REF!</v>
      </c>
      <c r="J262" s="78" t="e">
        <f t="shared" si="145"/>
        <v>#REF!</v>
      </c>
      <c r="K262" s="78" t="e">
        <f t="shared" si="145"/>
        <v>#REF!</v>
      </c>
      <c r="L262" s="78" t="e">
        <f t="shared" si="145"/>
        <v>#REF!</v>
      </c>
      <c r="M262" s="78" t="e">
        <f t="shared" si="145"/>
        <v>#REF!</v>
      </c>
      <c r="N262" s="78" t="e">
        <f t="shared" si="145"/>
        <v>#REF!</v>
      </c>
    </row>
    <row r="263" spans="1:16" x14ac:dyDescent="0.2">
      <c r="A263" s="150"/>
      <c r="B263" s="48" t="s">
        <v>165</v>
      </c>
      <c r="C263" s="73" t="e">
        <f t="shared" ref="C263:N263" si="146">(C262*$S$20)/1000</f>
        <v>#REF!</v>
      </c>
      <c r="D263" s="73" t="e">
        <f t="shared" si="146"/>
        <v>#REF!</v>
      </c>
      <c r="E263" s="73" t="e">
        <f t="shared" si="146"/>
        <v>#REF!</v>
      </c>
      <c r="F263" s="73" t="e">
        <f t="shared" si="146"/>
        <v>#REF!</v>
      </c>
      <c r="G263" s="73" t="e">
        <f t="shared" si="146"/>
        <v>#REF!</v>
      </c>
      <c r="H263" s="73" t="e">
        <f t="shared" si="146"/>
        <v>#REF!</v>
      </c>
      <c r="I263" s="73" t="e">
        <f t="shared" si="146"/>
        <v>#REF!</v>
      </c>
      <c r="J263" s="73" t="e">
        <f t="shared" si="146"/>
        <v>#REF!</v>
      </c>
      <c r="K263" s="73" t="e">
        <f t="shared" si="146"/>
        <v>#REF!</v>
      </c>
      <c r="L263" s="73" t="e">
        <f t="shared" si="146"/>
        <v>#REF!</v>
      </c>
      <c r="M263" s="73" t="e">
        <f t="shared" si="146"/>
        <v>#REF!</v>
      </c>
      <c r="N263" s="73" t="e">
        <f t="shared" si="146"/>
        <v>#REF!</v>
      </c>
    </row>
    <row r="264" spans="1:16" x14ac:dyDescent="0.2">
      <c r="A264" s="48" t="s">
        <v>170</v>
      </c>
      <c r="B264" s="78"/>
      <c r="C264" s="60" t="e">
        <f>C247+C252+C258+C263</f>
        <v>#REF!</v>
      </c>
      <c r="D264" s="60" t="e">
        <f t="shared" ref="D264:N264" si="147">D247+D252+D258+D263</f>
        <v>#REF!</v>
      </c>
      <c r="E264" s="60" t="e">
        <f t="shared" si="147"/>
        <v>#REF!</v>
      </c>
      <c r="F264" s="60" t="e">
        <f t="shared" si="147"/>
        <v>#REF!</v>
      </c>
      <c r="G264" s="60" t="e">
        <f t="shared" si="147"/>
        <v>#REF!</v>
      </c>
      <c r="H264" s="60" t="e">
        <f t="shared" si="147"/>
        <v>#REF!</v>
      </c>
      <c r="I264" s="60" t="e">
        <f t="shared" si="147"/>
        <v>#REF!</v>
      </c>
      <c r="J264" s="60" t="e">
        <f t="shared" si="147"/>
        <v>#REF!</v>
      </c>
      <c r="K264" s="60" t="e">
        <f t="shared" si="147"/>
        <v>#REF!</v>
      </c>
      <c r="L264" s="60" t="e">
        <f t="shared" si="147"/>
        <v>#REF!</v>
      </c>
      <c r="M264" s="60" t="e">
        <f t="shared" si="147"/>
        <v>#REF!</v>
      </c>
      <c r="N264" s="60" t="e">
        <f t="shared" si="147"/>
        <v>#REF!</v>
      </c>
    </row>
    <row r="266" spans="1:16" x14ac:dyDescent="0.2">
      <c r="A266" s="211" t="s">
        <v>175</v>
      </c>
      <c r="B266" s="211"/>
      <c r="C266" s="211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</row>
    <row r="267" spans="1:16" x14ac:dyDescent="0.2">
      <c r="A267" s="78"/>
      <c r="B267" s="78" t="s">
        <v>3</v>
      </c>
      <c r="C267" s="78" t="s">
        <v>4</v>
      </c>
      <c r="D267" s="78" t="s">
        <v>5</v>
      </c>
      <c r="E267" s="78" t="s">
        <v>6</v>
      </c>
      <c r="F267" s="78" t="s">
        <v>7</v>
      </c>
      <c r="G267" s="78" t="s">
        <v>8</v>
      </c>
      <c r="H267" s="78" t="s">
        <v>9</v>
      </c>
      <c r="I267" s="78" t="s">
        <v>10</v>
      </c>
      <c r="J267" s="78" t="s">
        <v>96</v>
      </c>
      <c r="K267" s="78" t="s">
        <v>12</v>
      </c>
      <c r="L267" s="78" t="s">
        <v>13</v>
      </c>
      <c r="M267" s="78" t="s">
        <v>14</v>
      </c>
      <c r="N267" s="66" t="s">
        <v>125</v>
      </c>
    </row>
    <row r="268" spans="1:16" x14ac:dyDescent="0.2">
      <c r="A268" s="67" t="s">
        <v>141</v>
      </c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</row>
    <row r="269" spans="1:16" x14ac:dyDescent="0.2">
      <c r="A269" s="48" t="s">
        <v>176</v>
      </c>
      <c r="B269" s="78">
        <f t="shared" ref="B269:M269" si="148">B8</f>
        <v>2060</v>
      </c>
      <c r="C269" s="78">
        <f t="shared" si="148"/>
        <v>2163</v>
      </c>
      <c r="D269" s="78">
        <f t="shared" si="148"/>
        <v>2163</v>
      </c>
      <c r="E269" s="78">
        <f t="shared" si="148"/>
        <v>2343</v>
      </c>
      <c r="F269" s="78">
        <f t="shared" si="148"/>
        <v>2369</v>
      </c>
      <c r="G269" s="78">
        <f t="shared" si="148"/>
        <v>2057</v>
      </c>
      <c r="H269" s="78">
        <f t="shared" si="148"/>
        <v>2812</v>
      </c>
      <c r="I269" s="78">
        <f t="shared" si="148"/>
        <v>2685</v>
      </c>
      <c r="J269" s="78">
        <f t="shared" si="148"/>
        <v>2812</v>
      </c>
      <c r="K269" s="78">
        <f t="shared" si="148"/>
        <v>2369</v>
      </c>
      <c r="L269" s="78">
        <f t="shared" si="148"/>
        <v>2395</v>
      </c>
      <c r="M269" s="78">
        <f t="shared" si="148"/>
        <v>1992</v>
      </c>
      <c r="N269" s="78"/>
    </row>
    <row r="270" spans="1:16" x14ac:dyDescent="0.2">
      <c r="A270" s="48" t="s">
        <v>177</v>
      </c>
      <c r="B270" s="78">
        <f t="shared" ref="B270:M270" si="149">B8*$Q$3</f>
        <v>8240</v>
      </c>
      <c r="C270" s="78">
        <f t="shared" si="149"/>
        <v>8652</v>
      </c>
      <c r="D270" s="78">
        <f t="shared" si="149"/>
        <v>8652</v>
      </c>
      <c r="E270" s="78">
        <f t="shared" si="149"/>
        <v>9372</v>
      </c>
      <c r="F270" s="78">
        <f t="shared" si="149"/>
        <v>9476</v>
      </c>
      <c r="G270" s="78">
        <f t="shared" si="149"/>
        <v>8228</v>
      </c>
      <c r="H270" s="78">
        <f t="shared" si="149"/>
        <v>11248</v>
      </c>
      <c r="I270" s="78">
        <f t="shared" si="149"/>
        <v>10740</v>
      </c>
      <c r="J270" s="78">
        <f t="shared" si="149"/>
        <v>11248</v>
      </c>
      <c r="K270" s="78">
        <f t="shared" si="149"/>
        <v>9476</v>
      </c>
      <c r="L270" s="78">
        <f t="shared" si="149"/>
        <v>9580</v>
      </c>
      <c r="M270" s="78">
        <f t="shared" si="149"/>
        <v>7968</v>
      </c>
      <c r="N270" s="78"/>
    </row>
    <row r="271" spans="1:16" x14ac:dyDescent="0.2">
      <c r="A271" s="49" t="s">
        <v>178</v>
      </c>
      <c r="B271" s="78">
        <f t="shared" ref="B271:M271" si="150">B10</f>
        <v>0</v>
      </c>
      <c r="C271" s="78">
        <f t="shared" si="150"/>
        <v>0</v>
      </c>
      <c r="D271" s="78">
        <f t="shared" si="150"/>
        <v>0</v>
      </c>
      <c r="E271" s="78">
        <f t="shared" si="150"/>
        <v>0</v>
      </c>
      <c r="F271" s="78">
        <f t="shared" si="150"/>
        <v>0</v>
      </c>
      <c r="G271" s="78">
        <f t="shared" si="150"/>
        <v>0</v>
      </c>
      <c r="H271" s="78">
        <f t="shared" si="150"/>
        <v>0</v>
      </c>
      <c r="I271" s="78">
        <f t="shared" si="150"/>
        <v>0</v>
      </c>
      <c r="J271" s="78">
        <f t="shared" si="150"/>
        <v>0</v>
      </c>
      <c r="K271" s="78">
        <f t="shared" si="150"/>
        <v>0</v>
      </c>
      <c r="L271" s="78">
        <f t="shared" si="150"/>
        <v>0</v>
      </c>
      <c r="M271" s="78">
        <f t="shared" si="150"/>
        <v>0</v>
      </c>
      <c r="N271" s="78"/>
    </row>
    <row r="272" spans="1:16" x14ac:dyDescent="0.2">
      <c r="A272" s="49" t="s">
        <v>179</v>
      </c>
      <c r="B272" s="78">
        <f t="shared" ref="B272:M272" si="151">B10*$R$3</f>
        <v>0</v>
      </c>
      <c r="C272" s="78">
        <f t="shared" si="151"/>
        <v>0</v>
      </c>
      <c r="D272" s="78">
        <f t="shared" si="151"/>
        <v>0</v>
      </c>
      <c r="E272" s="78">
        <f t="shared" si="151"/>
        <v>0</v>
      </c>
      <c r="F272" s="78">
        <f t="shared" si="151"/>
        <v>0</v>
      </c>
      <c r="G272" s="78">
        <f t="shared" si="151"/>
        <v>0</v>
      </c>
      <c r="H272" s="78">
        <f t="shared" si="151"/>
        <v>0</v>
      </c>
      <c r="I272" s="78">
        <f t="shared" si="151"/>
        <v>0</v>
      </c>
      <c r="J272" s="78">
        <f t="shared" si="151"/>
        <v>0</v>
      </c>
      <c r="K272" s="78">
        <f t="shared" si="151"/>
        <v>0</v>
      </c>
      <c r="L272" s="78">
        <f t="shared" si="151"/>
        <v>0</v>
      </c>
      <c r="M272" s="78">
        <f t="shared" si="151"/>
        <v>0</v>
      </c>
      <c r="N272" s="78"/>
    </row>
    <row r="273" spans="1:16" x14ac:dyDescent="0.2">
      <c r="A273" s="67" t="s">
        <v>142</v>
      </c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</row>
    <row r="274" spans="1:16" x14ac:dyDescent="0.2">
      <c r="A274" s="48" t="s">
        <v>176</v>
      </c>
      <c r="B274" s="78">
        <f t="shared" ref="B274:M274" si="152">B10</f>
        <v>0</v>
      </c>
      <c r="C274" s="78">
        <f t="shared" si="152"/>
        <v>0</v>
      </c>
      <c r="D274" s="78">
        <f t="shared" si="152"/>
        <v>0</v>
      </c>
      <c r="E274" s="78">
        <f t="shared" si="152"/>
        <v>0</v>
      </c>
      <c r="F274" s="78">
        <f t="shared" si="152"/>
        <v>0</v>
      </c>
      <c r="G274" s="78">
        <f t="shared" si="152"/>
        <v>0</v>
      </c>
      <c r="H274" s="78">
        <f t="shared" si="152"/>
        <v>0</v>
      </c>
      <c r="I274" s="78">
        <f t="shared" si="152"/>
        <v>0</v>
      </c>
      <c r="J274" s="78">
        <f t="shared" si="152"/>
        <v>0</v>
      </c>
      <c r="K274" s="78">
        <f t="shared" si="152"/>
        <v>0</v>
      </c>
      <c r="L274" s="78">
        <f t="shared" si="152"/>
        <v>0</v>
      </c>
      <c r="M274" s="78">
        <f t="shared" si="152"/>
        <v>0</v>
      </c>
      <c r="N274" s="78"/>
    </row>
    <row r="275" spans="1:16" x14ac:dyDescent="0.2">
      <c r="A275" s="48" t="s">
        <v>177</v>
      </c>
      <c r="B275" s="78">
        <f t="shared" ref="B275:M275" si="153">B10*$S$3</f>
        <v>0</v>
      </c>
      <c r="C275" s="78">
        <f t="shared" si="153"/>
        <v>0</v>
      </c>
      <c r="D275" s="78">
        <f t="shared" si="153"/>
        <v>0</v>
      </c>
      <c r="E275" s="78">
        <f t="shared" si="153"/>
        <v>0</v>
      </c>
      <c r="F275" s="78">
        <f t="shared" si="153"/>
        <v>0</v>
      </c>
      <c r="G275" s="78">
        <f t="shared" si="153"/>
        <v>0</v>
      </c>
      <c r="H275" s="78">
        <f t="shared" si="153"/>
        <v>0</v>
      </c>
      <c r="I275" s="78">
        <f t="shared" si="153"/>
        <v>0</v>
      </c>
      <c r="J275" s="78">
        <f t="shared" si="153"/>
        <v>0</v>
      </c>
      <c r="K275" s="78">
        <f t="shared" si="153"/>
        <v>0</v>
      </c>
      <c r="L275" s="78">
        <f t="shared" si="153"/>
        <v>0</v>
      </c>
      <c r="M275" s="78">
        <f t="shared" si="153"/>
        <v>0</v>
      </c>
      <c r="N275" s="78"/>
    </row>
    <row r="276" spans="1:16" x14ac:dyDescent="0.2">
      <c r="A276" s="49" t="s">
        <v>178</v>
      </c>
      <c r="B276" s="78">
        <v>0</v>
      </c>
      <c r="C276" s="78">
        <v>0</v>
      </c>
      <c r="D276" s="78">
        <v>0</v>
      </c>
      <c r="E276" s="78">
        <v>0</v>
      </c>
      <c r="F276" s="78">
        <v>0</v>
      </c>
      <c r="G276" s="78">
        <v>0</v>
      </c>
      <c r="H276" s="78">
        <v>0</v>
      </c>
      <c r="I276" s="78">
        <v>0</v>
      </c>
      <c r="J276" s="78">
        <v>0</v>
      </c>
      <c r="K276" s="78">
        <v>0</v>
      </c>
      <c r="L276" s="78">
        <v>0</v>
      </c>
      <c r="M276" s="78">
        <v>0</v>
      </c>
      <c r="N276" s="78"/>
    </row>
    <row r="277" spans="1:16" x14ac:dyDescent="0.2">
      <c r="A277" s="49" t="s">
        <v>179</v>
      </c>
      <c r="B277" s="78">
        <v>0</v>
      </c>
      <c r="C277" s="78">
        <v>0</v>
      </c>
      <c r="D277" s="78">
        <v>0</v>
      </c>
      <c r="E277" s="78">
        <v>0</v>
      </c>
      <c r="F277" s="78">
        <v>0</v>
      </c>
      <c r="G277" s="78">
        <v>0</v>
      </c>
      <c r="H277" s="78">
        <v>0</v>
      </c>
      <c r="I277" s="78">
        <v>0</v>
      </c>
      <c r="J277" s="78">
        <v>0</v>
      </c>
      <c r="K277" s="78">
        <v>0</v>
      </c>
      <c r="L277" s="78">
        <v>0</v>
      </c>
      <c r="M277" s="78">
        <v>0</v>
      </c>
      <c r="N277" s="78"/>
    </row>
    <row r="278" spans="1:16" x14ac:dyDescent="0.2">
      <c r="A278" s="49" t="s">
        <v>180</v>
      </c>
      <c r="B278" s="78">
        <f>B269+B271+B274+B276</f>
        <v>2060</v>
      </c>
      <c r="C278" s="78">
        <f t="shared" ref="C278:M279" si="154">C269+C271+C274+C276</f>
        <v>2163</v>
      </c>
      <c r="D278" s="78">
        <f t="shared" si="154"/>
        <v>2163</v>
      </c>
      <c r="E278" s="78">
        <f t="shared" si="154"/>
        <v>2343</v>
      </c>
      <c r="F278" s="78">
        <f t="shared" si="154"/>
        <v>2369</v>
      </c>
      <c r="G278" s="78">
        <f t="shared" si="154"/>
        <v>2057</v>
      </c>
      <c r="H278" s="78">
        <f t="shared" si="154"/>
        <v>2812</v>
      </c>
      <c r="I278" s="78">
        <f t="shared" si="154"/>
        <v>2685</v>
      </c>
      <c r="J278" s="78">
        <f t="shared" si="154"/>
        <v>2812</v>
      </c>
      <c r="K278" s="78">
        <f t="shared" si="154"/>
        <v>2369</v>
      </c>
      <c r="L278" s="78">
        <f t="shared" si="154"/>
        <v>2395</v>
      </c>
      <c r="M278" s="78">
        <f t="shared" si="154"/>
        <v>1992</v>
      </c>
      <c r="N278" s="78"/>
    </row>
    <row r="279" spans="1:16" x14ac:dyDescent="0.2">
      <c r="A279" s="49" t="s">
        <v>181</v>
      </c>
      <c r="B279" s="78">
        <f>B270+B272+B275+B277</f>
        <v>8240</v>
      </c>
      <c r="C279" s="78">
        <f t="shared" si="154"/>
        <v>8652</v>
      </c>
      <c r="D279" s="78">
        <f t="shared" si="154"/>
        <v>8652</v>
      </c>
      <c r="E279" s="78">
        <f t="shared" si="154"/>
        <v>9372</v>
      </c>
      <c r="F279" s="78">
        <f t="shared" si="154"/>
        <v>9476</v>
      </c>
      <c r="G279" s="78">
        <f t="shared" si="154"/>
        <v>8228</v>
      </c>
      <c r="H279" s="78">
        <f t="shared" si="154"/>
        <v>11248</v>
      </c>
      <c r="I279" s="78">
        <f t="shared" si="154"/>
        <v>10740</v>
      </c>
      <c r="J279" s="78">
        <f t="shared" si="154"/>
        <v>11248</v>
      </c>
      <c r="K279" s="78">
        <f t="shared" si="154"/>
        <v>9476</v>
      </c>
      <c r="L279" s="78">
        <f t="shared" si="154"/>
        <v>9580</v>
      </c>
      <c r="M279" s="78">
        <f t="shared" si="154"/>
        <v>7968</v>
      </c>
      <c r="N279" s="78"/>
    </row>
    <row r="280" spans="1:16" x14ac:dyDescent="0.2">
      <c r="A280" s="49" t="s">
        <v>182</v>
      </c>
      <c r="B280" s="73">
        <f>(B270*$Q4*$Q9+B272*$R4*$Q9+B275*$S4*$Q9+B277*$T4*$Q9)/1000</f>
        <v>2445.0327272727272</v>
      </c>
      <c r="C280" s="73">
        <f>(C270*$Q4*$Q9+C272*$R4*$Q9+C275*$S4*$Q9+C277*$T4*$Q9)/1000</f>
        <v>2567.2843636363632</v>
      </c>
      <c r="D280" s="73">
        <f>(D270*$Q4*$Q9+D272*$R4*$Q9+D275*$S4*$Q9+D277*$T4*$Q9)/1000</f>
        <v>2567.2843636363632</v>
      </c>
      <c r="E280" s="73">
        <f>(E270*$Q4*$Q9+E272*$R4*$Q9+E275*$S4*$Q9+E277*$T4*$Q9)/1000</f>
        <v>2780.9279999999999</v>
      </c>
      <c r="F280" s="73">
        <f>(F270*$Q4*$Q9+F272*$R4*$Q9+F275*$S4*$Q9+F277*$T4*$Q9)/1000</f>
        <v>2811.787636363636</v>
      </c>
      <c r="G280" s="73">
        <f>(G270*$Q4*$Q9+G272*$R4*$Q9+G275*$S4*$Q9+G277*$T4*$Q9)/1000</f>
        <v>2441.4720000000002</v>
      </c>
      <c r="H280" s="73">
        <f>(H270*$Q4*$Q9+H272*$R4*$Q9+H275*$S4*$Q9+H277*$T4*$Q9)/1000</f>
        <v>3337.5883636363633</v>
      </c>
      <c r="I280" s="73">
        <f>(I270*$Q4*$Q9+I272*$R4*$Q9+I275*$S4*$Q9+I277*$T4*$Q9)/1000</f>
        <v>3186.8509090909088</v>
      </c>
      <c r="J280" s="73">
        <f>(J270*$Q4*$Q9+J272*$R4*$Q9+J275*$S4*$Q9+J277*$T4*$Q9)/1000</f>
        <v>3337.5883636363633</v>
      </c>
      <c r="K280" s="73">
        <f>(K270*$Q4*$Q9+K272*$R4*$Q9+K275*$S4*$Q9+K277*$T4*$Q9)/1000</f>
        <v>2811.787636363636</v>
      </c>
      <c r="L280" s="73">
        <f>(L270*$Q4*$Q9+L272*$R4*$Q9+L275*$S4*$Q9+L277*$T4*$Q9)/1000</f>
        <v>2842.6472727272726</v>
      </c>
      <c r="M280" s="73">
        <f>(M270*$Q4*$Q9+M272*$R4*$Q9+M275*$S4*$Q9+M277*$T4*$Q9)/1000</f>
        <v>2364.3229090909085</v>
      </c>
      <c r="N280" s="78"/>
      <c r="P280">
        <v>1000</v>
      </c>
    </row>
    <row r="281" spans="1:16" x14ac:dyDescent="0.2">
      <c r="A281" s="49" t="s">
        <v>183</v>
      </c>
      <c r="B281" s="73">
        <v>0</v>
      </c>
      <c r="C281" s="73">
        <v>0</v>
      </c>
      <c r="D281" s="73">
        <v>0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8"/>
    </row>
    <row r="282" spans="1:16" x14ac:dyDescent="0.2">
      <c r="A282" s="49" t="s">
        <v>184</v>
      </c>
      <c r="B282" s="73">
        <f>B280</f>
        <v>2445.0327272727272</v>
      </c>
      <c r="C282" s="73">
        <f t="shared" ref="C282:M282" si="155">C280</f>
        <v>2567.2843636363632</v>
      </c>
      <c r="D282" s="73">
        <f t="shared" si="155"/>
        <v>2567.2843636363632</v>
      </c>
      <c r="E282" s="73">
        <f t="shared" si="155"/>
        <v>2780.9279999999999</v>
      </c>
      <c r="F282" s="73">
        <f t="shared" si="155"/>
        <v>2811.787636363636</v>
      </c>
      <c r="G282" s="73">
        <f t="shared" si="155"/>
        <v>2441.4720000000002</v>
      </c>
      <c r="H282" s="73">
        <f t="shared" si="155"/>
        <v>3337.5883636363633</v>
      </c>
      <c r="I282" s="73">
        <f t="shared" si="155"/>
        <v>3186.8509090909088</v>
      </c>
      <c r="J282" s="73">
        <f t="shared" si="155"/>
        <v>3337.5883636363633</v>
      </c>
      <c r="K282" s="73">
        <f t="shared" si="155"/>
        <v>2811.787636363636</v>
      </c>
      <c r="L282" s="73">
        <f t="shared" si="155"/>
        <v>2842.6472727272726</v>
      </c>
      <c r="M282" s="73">
        <f t="shared" si="155"/>
        <v>2364.3229090909085</v>
      </c>
      <c r="N282" s="78"/>
    </row>
    <row r="283" spans="1:16" x14ac:dyDescent="0.2">
      <c r="A283" s="49" t="s">
        <v>185</v>
      </c>
      <c r="B283" s="73">
        <f>B282*0.8</f>
        <v>1956.0261818181818</v>
      </c>
      <c r="C283" s="73">
        <f t="shared" ref="C283:M283" si="156">C282*0.8</f>
        <v>2053.8274909090906</v>
      </c>
      <c r="D283" s="73">
        <f t="shared" si="156"/>
        <v>2053.8274909090906</v>
      </c>
      <c r="E283" s="73">
        <f t="shared" si="156"/>
        <v>2224.7424000000001</v>
      </c>
      <c r="F283" s="73">
        <f t="shared" si="156"/>
        <v>2249.4301090909089</v>
      </c>
      <c r="G283" s="73">
        <f t="shared" si="156"/>
        <v>1953.1776000000002</v>
      </c>
      <c r="H283" s="73">
        <f t="shared" si="156"/>
        <v>2670.0706909090909</v>
      </c>
      <c r="I283" s="73">
        <f t="shared" si="156"/>
        <v>2549.4807272727271</v>
      </c>
      <c r="J283" s="73">
        <f t="shared" si="156"/>
        <v>2670.0706909090909</v>
      </c>
      <c r="K283" s="73">
        <f t="shared" si="156"/>
        <v>2249.4301090909089</v>
      </c>
      <c r="L283" s="73">
        <f t="shared" si="156"/>
        <v>2274.1178181818182</v>
      </c>
      <c r="M283" s="73">
        <f t="shared" si="156"/>
        <v>1891.4583272727268</v>
      </c>
      <c r="N283" s="78"/>
    </row>
    <row r="284" spans="1:16" x14ac:dyDescent="0.2">
      <c r="A284" s="49" t="s">
        <v>186</v>
      </c>
      <c r="B284" s="73">
        <f>B282+B283</f>
        <v>4401.0589090909089</v>
      </c>
      <c r="C284" s="73">
        <f t="shared" ref="C284:M284" si="157">C282+C283</f>
        <v>4621.1118545454538</v>
      </c>
      <c r="D284" s="73">
        <f t="shared" si="157"/>
        <v>4621.1118545454538</v>
      </c>
      <c r="E284" s="73">
        <f t="shared" si="157"/>
        <v>5005.6704</v>
      </c>
      <c r="F284" s="73">
        <f t="shared" si="157"/>
        <v>5061.2177454545454</v>
      </c>
      <c r="G284" s="73">
        <f t="shared" si="157"/>
        <v>4394.6496000000006</v>
      </c>
      <c r="H284" s="73">
        <f t="shared" si="157"/>
        <v>6007.6590545454546</v>
      </c>
      <c r="I284" s="73">
        <f t="shared" si="157"/>
        <v>5736.3316363636359</v>
      </c>
      <c r="J284" s="73">
        <f t="shared" si="157"/>
        <v>6007.6590545454546</v>
      </c>
      <c r="K284" s="73">
        <f t="shared" si="157"/>
        <v>5061.2177454545454</v>
      </c>
      <c r="L284" s="73">
        <f t="shared" si="157"/>
        <v>5116.7650909090908</v>
      </c>
      <c r="M284" s="73">
        <f t="shared" si="157"/>
        <v>4255.7812363636349</v>
      </c>
      <c r="N284" s="78"/>
    </row>
    <row r="285" spans="1:16" x14ac:dyDescent="0.2">
      <c r="A285" s="46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11"/>
    </row>
    <row r="286" spans="1:16" x14ac:dyDescent="0.2">
      <c r="B286" s="203" t="s">
        <v>226</v>
      </c>
      <c r="C286" s="203"/>
      <c r="D286" s="203"/>
      <c r="E286" s="203"/>
      <c r="F286" s="76"/>
      <c r="G286" s="203" t="s">
        <v>227</v>
      </c>
      <c r="H286" s="203"/>
      <c r="I286" s="203"/>
      <c r="J286" s="203"/>
      <c r="K286" s="76"/>
      <c r="L286" s="203" t="s">
        <v>228</v>
      </c>
      <c r="M286" s="203"/>
      <c r="N286" s="203"/>
      <c r="O286" s="203"/>
    </row>
    <row r="287" spans="1:16" x14ac:dyDescent="0.2">
      <c r="A287" s="46"/>
      <c r="B287" s="73" t="s">
        <v>222</v>
      </c>
      <c r="C287" s="73" t="s">
        <v>223</v>
      </c>
      <c r="D287" s="73" t="s">
        <v>224</v>
      </c>
      <c r="E287" s="73" t="s">
        <v>225</v>
      </c>
      <c r="F287" s="75"/>
      <c r="G287" s="73" t="s">
        <v>222</v>
      </c>
      <c r="H287" s="73" t="s">
        <v>223</v>
      </c>
      <c r="I287" s="73" t="s">
        <v>224</v>
      </c>
      <c r="J287" s="73" t="s">
        <v>225</v>
      </c>
      <c r="K287" s="75"/>
      <c r="L287" s="73" t="s">
        <v>222</v>
      </c>
      <c r="M287" s="73" t="s">
        <v>223</v>
      </c>
      <c r="N287" s="73" t="s">
        <v>224</v>
      </c>
      <c r="O287" s="73" t="s">
        <v>225</v>
      </c>
    </row>
    <row r="288" spans="1:16" x14ac:dyDescent="0.2">
      <c r="A288" s="46"/>
      <c r="B288" s="73">
        <f>($Q13*$Q23*S13+$Q18*$Q23*S18)/$Q23</f>
        <v>230</v>
      </c>
      <c r="C288" s="73" t="e">
        <f>(Q13*#REF!*S13+Q18*#REF!*S18)/#REF!</f>
        <v>#REF!</v>
      </c>
      <c r="D288" s="73">
        <f>(Q19*Q66*S19+Q20*Q67*S20)/100</f>
        <v>344.8</v>
      </c>
      <c r="E288" s="73">
        <f>(Q19*Q67*S19+Q20*Q67*S20)/100</f>
        <v>309.60000000000002</v>
      </c>
      <c r="F288" s="75"/>
      <c r="G288" s="73">
        <f>Q3*Q4*Q9/Q23</f>
        <v>11.869090909090907</v>
      </c>
      <c r="H288" s="73" t="e">
        <f>R3*R4*Q9/#REF!</f>
        <v>#REF!</v>
      </c>
      <c r="I288" s="73">
        <f>S3*S4*Q9/Q66</f>
        <v>9.9966942148760314</v>
      </c>
      <c r="J288" s="73">
        <f>T3*T4*Q9/Q67</f>
        <v>15.030303030303028</v>
      </c>
      <c r="K288" s="75"/>
      <c r="L288" s="73">
        <f>B288+G288</f>
        <v>241.86909090909091</v>
      </c>
      <c r="M288" s="73" t="e">
        <f t="shared" ref="M288:O288" si="158">C288+H288</f>
        <v>#REF!</v>
      </c>
      <c r="N288" s="73">
        <f t="shared" si="158"/>
        <v>354.79669421487603</v>
      </c>
      <c r="O288" s="73">
        <f t="shared" si="158"/>
        <v>324.63030303030303</v>
      </c>
    </row>
    <row r="289" spans="1:14" x14ac:dyDescent="0.2">
      <c r="A289" s="46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11"/>
    </row>
    <row r="290" spans="1:14" x14ac:dyDescent="0.2">
      <c r="A290" s="46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11"/>
    </row>
    <row r="292" spans="1:14" x14ac:dyDescent="0.2">
      <c r="A292" s="217" t="s">
        <v>129</v>
      </c>
      <c r="B292" s="218"/>
      <c r="C292" s="218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9"/>
    </row>
    <row r="293" spans="1:14" x14ac:dyDescent="0.2">
      <c r="A293" s="78"/>
      <c r="B293" s="78" t="s">
        <v>3</v>
      </c>
      <c r="C293" s="78" t="s">
        <v>4</v>
      </c>
      <c r="D293" s="78" t="s">
        <v>5</v>
      </c>
      <c r="E293" s="78" t="s">
        <v>6</v>
      </c>
      <c r="F293" s="78" t="s">
        <v>7</v>
      </c>
      <c r="G293" s="78" t="s">
        <v>8</v>
      </c>
      <c r="H293" s="78" t="s">
        <v>9</v>
      </c>
      <c r="I293" s="78" t="s">
        <v>10</v>
      </c>
      <c r="J293" s="78" t="s">
        <v>96</v>
      </c>
      <c r="K293" s="78" t="s">
        <v>12</v>
      </c>
      <c r="L293" s="78" t="s">
        <v>13</v>
      </c>
      <c r="M293" s="78" t="s">
        <v>14</v>
      </c>
      <c r="N293" s="59" t="s">
        <v>125</v>
      </c>
    </row>
    <row r="294" spans="1:14" x14ac:dyDescent="0.2">
      <c r="A294" s="48" t="s">
        <v>129</v>
      </c>
      <c r="B294" s="3">
        <f t="shared" ref="B294:M294" si="159">(B177)</f>
        <v>0</v>
      </c>
      <c r="C294" s="3">
        <f t="shared" si="159"/>
        <v>0</v>
      </c>
      <c r="D294" s="3">
        <f t="shared" si="159"/>
        <v>0</v>
      </c>
      <c r="E294" s="3">
        <f t="shared" si="159"/>
        <v>190</v>
      </c>
      <c r="F294" s="3">
        <f t="shared" si="159"/>
        <v>190</v>
      </c>
      <c r="G294" s="3">
        <f t="shared" si="159"/>
        <v>190</v>
      </c>
      <c r="H294" s="3">
        <f t="shared" si="159"/>
        <v>190</v>
      </c>
      <c r="I294" s="3">
        <f t="shared" si="159"/>
        <v>190</v>
      </c>
      <c r="J294" s="3">
        <f t="shared" si="159"/>
        <v>0</v>
      </c>
      <c r="K294" s="3">
        <f t="shared" si="159"/>
        <v>0</v>
      </c>
      <c r="L294" s="3">
        <f t="shared" si="159"/>
        <v>0</v>
      </c>
      <c r="M294" s="3">
        <f t="shared" si="159"/>
        <v>0</v>
      </c>
      <c r="N294" s="78">
        <f>SUM(E294:I294)</f>
        <v>950</v>
      </c>
    </row>
    <row r="296" spans="1:14" x14ac:dyDescent="0.2">
      <c r="A296" s="217" t="s">
        <v>187</v>
      </c>
      <c r="B296" s="220"/>
      <c r="C296" s="220"/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1"/>
    </row>
    <row r="297" spans="1:14" x14ac:dyDescent="0.2">
      <c r="A297" s="78"/>
      <c r="B297" s="78" t="s">
        <v>3</v>
      </c>
      <c r="C297" s="78" t="s">
        <v>4</v>
      </c>
      <c r="D297" s="78" t="s">
        <v>5</v>
      </c>
      <c r="E297" s="78" t="s">
        <v>6</v>
      </c>
      <c r="F297" s="78" t="s">
        <v>7</v>
      </c>
      <c r="G297" s="78" t="s">
        <v>8</v>
      </c>
      <c r="H297" s="78" t="s">
        <v>9</v>
      </c>
      <c r="I297" s="78" t="s">
        <v>10</v>
      </c>
      <c r="J297" s="78" t="s">
        <v>96</v>
      </c>
      <c r="K297" s="78" t="s">
        <v>12</v>
      </c>
      <c r="L297" s="78" t="s">
        <v>13</v>
      </c>
      <c r="M297" s="78" t="s">
        <v>14</v>
      </c>
      <c r="N297" s="59" t="s">
        <v>125</v>
      </c>
    </row>
    <row r="298" spans="1:14" x14ac:dyDescent="0.2">
      <c r="A298" s="48" t="s">
        <v>130</v>
      </c>
      <c r="B298" s="73">
        <f t="shared" ref="B298:M299" si="160">((B182)/1000)*1000</f>
        <v>107</v>
      </c>
      <c r="C298" s="73">
        <f t="shared" si="160"/>
        <v>107</v>
      </c>
      <c r="D298" s="73">
        <f t="shared" si="160"/>
        <v>107</v>
      </c>
      <c r="E298" s="73">
        <f t="shared" si="160"/>
        <v>97</v>
      </c>
      <c r="F298" s="73">
        <f t="shared" si="160"/>
        <v>97</v>
      </c>
      <c r="G298" s="73">
        <f t="shared" si="160"/>
        <v>97</v>
      </c>
      <c r="H298" s="73">
        <f t="shared" si="160"/>
        <v>97</v>
      </c>
      <c r="I298" s="73">
        <f t="shared" si="160"/>
        <v>97</v>
      </c>
      <c r="J298" s="73">
        <f t="shared" si="160"/>
        <v>97</v>
      </c>
      <c r="K298" s="73">
        <f t="shared" si="160"/>
        <v>97</v>
      </c>
      <c r="L298" s="73">
        <f t="shared" si="160"/>
        <v>97</v>
      </c>
      <c r="M298" s="73">
        <f t="shared" si="160"/>
        <v>97</v>
      </c>
      <c r="N298" s="73">
        <f>(SUM(B298:M298))/1000</f>
        <v>1.194</v>
      </c>
    </row>
    <row r="299" spans="1:14" x14ac:dyDescent="0.2">
      <c r="A299" s="48" t="s">
        <v>131</v>
      </c>
      <c r="B299" s="73">
        <f t="shared" si="160"/>
        <v>145</v>
      </c>
      <c r="C299" s="73">
        <f t="shared" si="160"/>
        <v>145</v>
      </c>
      <c r="D299" s="73">
        <f t="shared" si="160"/>
        <v>145</v>
      </c>
      <c r="E299" s="73">
        <f t="shared" si="160"/>
        <v>145</v>
      </c>
      <c r="F299" s="73">
        <f t="shared" si="160"/>
        <v>145</v>
      </c>
      <c r="G299" s="73">
        <f t="shared" si="160"/>
        <v>145</v>
      </c>
      <c r="H299" s="73">
        <f t="shared" si="160"/>
        <v>145</v>
      </c>
      <c r="I299" s="73">
        <f t="shared" si="160"/>
        <v>145</v>
      </c>
      <c r="J299" s="73">
        <f t="shared" si="160"/>
        <v>145</v>
      </c>
      <c r="K299" s="73">
        <f t="shared" si="160"/>
        <v>145</v>
      </c>
      <c r="L299" s="73">
        <f t="shared" si="160"/>
        <v>145</v>
      </c>
      <c r="M299" s="73">
        <f t="shared" si="160"/>
        <v>145</v>
      </c>
      <c r="N299" s="73">
        <f>(SUM(B299:M299))/1000</f>
        <v>1.74</v>
      </c>
    </row>
    <row r="300" spans="1:14" x14ac:dyDescent="0.2">
      <c r="A300" s="48" t="s">
        <v>125</v>
      </c>
      <c r="B300" s="73">
        <f>B298+B299</f>
        <v>252</v>
      </c>
      <c r="C300" s="73">
        <f t="shared" ref="C300:M300" si="161">C298+C299</f>
        <v>252</v>
      </c>
      <c r="D300" s="73">
        <f t="shared" si="161"/>
        <v>252</v>
      </c>
      <c r="E300" s="73">
        <f t="shared" si="161"/>
        <v>242</v>
      </c>
      <c r="F300" s="73">
        <f t="shared" si="161"/>
        <v>242</v>
      </c>
      <c r="G300" s="73">
        <f t="shared" si="161"/>
        <v>242</v>
      </c>
      <c r="H300" s="73">
        <f t="shared" si="161"/>
        <v>242</v>
      </c>
      <c r="I300" s="73">
        <f t="shared" si="161"/>
        <v>242</v>
      </c>
      <c r="J300" s="73">
        <f t="shared" si="161"/>
        <v>242</v>
      </c>
      <c r="K300" s="73">
        <f t="shared" si="161"/>
        <v>242</v>
      </c>
      <c r="L300" s="73">
        <f t="shared" si="161"/>
        <v>242</v>
      </c>
      <c r="M300" s="73">
        <f t="shared" si="161"/>
        <v>242</v>
      </c>
      <c r="N300" s="73">
        <f>SUM(B300:M300)</f>
        <v>2934</v>
      </c>
    </row>
    <row r="302" spans="1:14" x14ac:dyDescent="0.2">
      <c r="A302" s="222" t="s">
        <v>188</v>
      </c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</row>
    <row r="303" spans="1:14" x14ac:dyDescent="0.2">
      <c r="A303" s="78"/>
      <c r="B303" s="78" t="s">
        <v>3</v>
      </c>
      <c r="C303" s="78" t="s">
        <v>4</v>
      </c>
      <c r="D303" s="78" t="s">
        <v>5</v>
      </c>
      <c r="E303" s="78" t="s">
        <v>6</v>
      </c>
      <c r="F303" s="78" t="s">
        <v>7</v>
      </c>
      <c r="G303" s="78" t="s">
        <v>8</v>
      </c>
      <c r="H303" s="78" t="s">
        <v>9</v>
      </c>
      <c r="I303" s="78" t="s">
        <v>10</v>
      </c>
      <c r="J303" s="78" t="s">
        <v>96</v>
      </c>
      <c r="K303" s="78" t="s">
        <v>12</v>
      </c>
      <c r="L303" s="78" t="s">
        <v>13</v>
      </c>
      <c r="M303" s="78" t="s">
        <v>14</v>
      </c>
      <c r="N303" s="59" t="s">
        <v>125</v>
      </c>
    </row>
    <row r="304" spans="1:14" x14ac:dyDescent="0.2">
      <c r="A304" s="48" t="s">
        <v>132</v>
      </c>
      <c r="B304" s="73">
        <f t="shared" ref="B304:M304" si="162">((B184)/1000)*1000</f>
        <v>120</v>
      </c>
      <c r="C304" s="73">
        <f t="shared" si="162"/>
        <v>120</v>
      </c>
      <c r="D304" s="73">
        <f t="shared" si="162"/>
        <v>120</v>
      </c>
      <c r="E304" s="73">
        <f t="shared" si="162"/>
        <v>120</v>
      </c>
      <c r="F304" s="73">
        <f t="shared" si="162"/>
        <v>120</v>
      </c>
      <c r="G304" s="73">
        <f t="shared" si="162"/>
        <v>120</v>
      </c>
      <c r="H304" s="73">
        <f t="shared" si="162"/>
        <v>120</v>
      </c>
      <c r="I304" s="73">
        <f t="shared" si="162"/>
        <v>120</v>
      </c>
      <c r="J304" s="73">
        <f t="shared" si="162"/>
        <v>120</v>
      </c>
      <c r="K304" s="73">
        <f t="shared" si="162"/>
        <v>120</v>
      </c>
      <c r="L304" s="73">
        <f t="shared" si="162"/>
        <v>120</v>
      </c>
      <c r="M304" s="73">
        <f t="shared" si="162"/>
        <v>120</v>
      </c>
      <c r="N304" s="73">
        <f>(SUM(B304:M304))/1000</f>
        <v>1.44</v>
      </c>
    </row>
    <row r="305" spans="1:20" x14ac:dyDescent="0.2">
      <c r="A305" s="48" t="s">
        <v>133</v>
      </c>
      <c r="B305" s="73">
        <f t="shared" ref="B305:M305" si="163">((B188)/1000)*1000</f>
        <v>116.12700000000001</v>
      </c>
      <c r="C305" s="73">
        <f t="shared" si="163"/>
        <v>129.50685000000001</v>
      </c>
      <c r="D305" s="73">
        <f t="shared" si="163"/>
        <v>138.59504999999999</v>
      </c>
      <c r="E305" s="73">
        <f t="shared" si="163"/>
        <v>133.98783750000001</v>
      </c>
      <c r="F305" s="73">
        <f t="shared" si="163"/>
        <v>140.51367000000002</v>
      </c>
      <c r="G305" s="73">
        <f t="shared" si="163"/>
        <v>128.13730874999999</v>
      </c>
      <c r="H305" s="73">
        <f t="shared" si="163"/>
        <v>150.485445</v>
      </c>
      <c r="I305" s="73">
        <f t="shared" si="163"/>
        <v>175.47925725000002</v>
      </c>
      <c r="J305" s="73">
        <f t="shared" si="163"/>
        <v>176.23534500000002</v>
      </c>
      <c r="K305" s="73">
        <f t="shared" si="163"/>
        <v>160.81065000000001</v>
      </c>
      <c r="L305" s="73">
        <f t="shared" si="163"/>
        <v>136.13366249999999</v>
      </c>
      <c r="M305" s="73">
        <f t="shared" si="163"/>
        <v>122.37198187500002</v>
      </c>
      <c r="N305" s="73">
        <f>(SUM(B305:M305))/1000</f>
        <v>1.708384057875</v>
      </c>
      <c r="O305" s="27" t="s">
        <v>229</v>
      </c>
    </row>
    <row r="306" spans="1:20" x14ac:dyDescent="0.2">
      <c r="A306" s="48" t="s">
        <v>125</v>
      </c>
      <c r="B306" s="73">
        <f>B304+B305</f>
        <v>236.12700000000001</v>
      </c>
      <c r="C306" s="73">
        <f t="shared" ref="C306:N306" si="164">C304+C305</f>
        <v>249.50685000000001</v>
      </c>
      <c r="D306" s="73">
        <f t="shared" si="164"/>
        <v>258.59505000000001</v>
      </c>
      <c r="E306" s="73">
        <f t="shared" si="164"/>
        <v>253.98783750000001</v>
      </c>
      <c r="F306" s="73">
        <f t="shared" si="164"/>
        <v>260.51367000000005</v>
      </c>
      <c r="G306" s="73">
        <f t="shared" si="164"/>
        <v>248.13730874999999</v>
      </c>
      <c r="H306" s="73">
        <f t="shared" si="164"/>
        <v>270.48544500000003</v>
      </c>
      <c r="I306" s="73">
        <f t="shared" si="164"/>
        <v>295.47925725000005</v>
      </c>
      <c r="J306" s="73">
        <f t="shared" si="164"/>
        <v>296.23534500000005</v>
      </c>
      <c r="K306" s="73">
        <f t="shared" si="164"/>
        <v>280.81065000000001</v>
      </c>
      <c r="L306" s="73">
        <f t="shared" si="164"/>
        <v>256.13366250000001</v>
      </c>
      <c r="M306" s="73">
        <f t="shared" si="164"/>
        <v>242.37198187500002</v>
      </c>
      <c r="N306" s="73">
        <f t="shared" si="164"/>
        <v>3.148384057875</v>
      </c>
    </row>
    <row r="308" spans="1:20" x14ac:dyDescent="0.2">
      <c r="A308" s="224" t="s">
        <v>203</v>
      </c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</row>
    <row r="309" spans="1:20" x14ac:dyDescent="0.2">
      <c r="A309" s="78"/>
      <c r="B309" s="78" t="s">
        <v>3</v>
      </c>
      <c r="C309" s="78" t="s">
        <v>4</v>
      </c>
      <c r="D309" s="78" t="s">
        <v>5</v>
      </c>
      <c r="E309" s="78" t="s">
        <v>6</v>
      </c>
      <c r="F309" s="78" t="s">
        <v>7</v>
      </c>
      <c r="G309" s="78" t="s">
        <v>8</v>
      </c>
      <c r="H309" s="78" t="s">
        <v>9</v>
      </c>
      <c r="I309" s="78" t="s">
        <v>10</v>
      </c>
      <c r="J309" s="78" t="s">
        <v>96</v>
      </c>
      <c r="K309" s="78" t="s">
        <v>12</v>
      </c>
      <c r="L309" s="78" t="s">
        <v>13</v>
      </c>
      <c r="M309" s="78" t="s">
        <v>14</v>
      </c>
      <c r="N309" s="59" t="s">
        <v>125</v>
      </c>
      <c r="Q309" s="27" t="s">
        <v>193</v>
      </c>
      <c r="R309" s="46" t="s">
        <v>198</v>
      </c>
      <c r="S309" s="46" t="s">
        <v>199</v>
      </c>
      <c r="T309" s="46" t="s">
        <v>200</v>
      </c>
    </row>
    <row r="310" spans="1:20" x14ac:dyDescent="0.2">
      <c r="A310" s="69" t="s">
        <v>152</v>
      </c>
      <c r="B310" s="73">
        <f>B224</f>
        <v>2336.91026815125</v>
      </c>
      <c r="C310" s="73">
        <f t="shared" ref="C310:M310" si="165">C224</f>
        <v>2431.7751149999999</v>
      </c>
      <c r="D310" s="73">
        <f t="shared" si="165"/>
        <v>2654.2088100000001</v>
      </c>
      <c r="E310" s="73">
        <f t="shared" si="165"/>
        <v>2698.5705862499999</v>
      </c>
      <c r="F310" s="73">
        <f t="shared" si="165"/>
        <v>2717.5649242499999</v>
      </c>
      <c r="G310" s="73">
        <f t="shared" si="165"/>
        <v>2659.6446896250004</v>
      </c>
      <c r="H310" s="73">
        <f t="shared" si="165"/>
        <v>2758.3652621249998</v>
      </c>
      <c r="I310" s="73">
        <f t="shared" si="165"/>
        <v>3227.050552275</v>
      </c>
      <c r="J310" s="73">
        <f t="shared" si="165"/>
        <v>3481.9745622750002</v>
      </c>
      <c r="K310" s="73">
        <f t="shared" si="165"/>
        <v>3336.7553505000001</v>
      </c>
      <c r="L310" s="73">
        <f t="shared" si="165"/>
        <v>2939.7486937499998</v>
      </c>
      <c r="M310" s="73">
        <f t="shared" si="165"/>
        <v>2559.2058793124997</v>
      </c>
      <c r="N310" s="73">
        <f>SUM(B310:M310)</f>
        <v>33801.774693513747</v>
      </c>
      <c r="Q310">
        <v>1500</v>
      </c>
      <c r="R310">
        <v>50</v>
      </c>
      <c r="S310">
        <f>Q310/R310</f>
        <v>30</v>
      </c>
      <c r="T310">
        <f>S310/12</f>
        <v>2.5</v>
      </c>
    </row>
    <row r="311" spans="1:20" x14ac:dyDescent="0.2">
      <c r="A311" s="48" t="s">
        <v>189</v>
      </c>
      <c r="B311" s="73" t="e">
        <f>(B18*$L288+B19*$M288+B22*$N288+B23*$O288)/1000</f>
        <v>#REF!</v>
      </c>
      <c r="C311" s="73" t="e">
        <f>(C18*$L288+C19*$M288+C22*$N288+C23*$O288)/1000</f>
        <v>#REF!</v>
      </c>
      <c r="D311" s="73" t="e">
        <f>(D18*$L288+D19*$M288+D22*$N288+D23*$O288)/1000</f>
        <v>#REF!</v>
      </c>
      <c r="E311" s="73" t="e">
        <f>(E18*$L288+E19*$M288+E22*$N288+E23*$O288)/1000</f>
        <v>#REF!</v>
      </c>
      <c r="F311" s="73" t="e">
        <f>(F18*$L288+F19*$M288+F22*$N288+F23*$O288)/1000</f>
        <v>#REF!</v>
      </c>
      <c r="G311" s="73" t="e">
        <f>(G18*$L288+G19*$M288+G22*$N288+G23*$O288)/1000</f>
        <v>#REF!</v>
      </c>
      <c r="H311" s="73" t="e">
        <f>(H18*$L288+H19*$M288+H22*$N288+H23*$O288)/1000</f>
        <v>#REF!</v>
      </c>
      <c r="I311" s="73" t="e">
        <f>(I18*$L288+I19*$M288+I22*$N288+I23*$O288)/1000</f>
        <v>#REF!</v>
      </c>
      <c r="J311" s="73" t="e">
        <f>(J18*$L288+J19*$M288+J22*$N288+J23*$O288)/1000</f>
        <v>#REF!</v>
      </c>
      <c r="K311" s="73" t="e">
        <f>(K18*$L288+K19*$M288+K22*$N288+K23*$O288)/1000</f>
        <v>#REF!</v>
      </c>
      <c r="L311" s="73" t="e">
        <f>(L18*$L288+L19*$M288+L22*$N288+L23*$O288)/1000</f>
        <v>#REF!</v>
      </c>
      <c r="M311" s="73" t="e">
        <f>(M18*$L288+M19*$M288+M22*$N288+M23*$O288)/1000</f>
        <v>#REF!</v>
      </c>
      <c r="N311" s="73" t="e">
        <f>SUM(B311:M311)</f>
        <v>#REF!</v>
      </c>
      <c r="Q311">
        <v>500</v>
      </c>
      <c r="R311">
        <v>10</v>
      </c>
      <c r="S311">
        <f>Q311/R311</f>
        <v>50</v>
      </c>
      <c r="T311">
        <f>S311/12</f>
        <v>4.166666666666667</v>
      </c>
    </row>
    <row r="312" spans="1:20" x14ac:dyDescent="0.2">
      <c r="A312" s="48" t="s">
        <v>190</v>
      </c>
      <c r="B312" s="73">
        <f>B300</f>
        <v>252</v>
      </c>
      <c r="C312" s="73">
        <f t="shared" ref="C312:M312" si="166">C300</f>
        <v>252</v>
      </c>
      <c r="D312" s="73">
        <f t="shared" si="166"/>
        <v>252</v>
      </c>
      <c r="E312" s="73">
        <f t="shared" si="166"/>
        <v>242</v>
      </c>
      <c r="F312" s="73">
        <f t="shared" si="166"/>
        <v>242</v>
      </c>
      <c r="G312" s="73">
        <f t="shared" si="166"/>
        <v>242</v>
      </c>
      <c r="H312" s="73">
        <f t="shared" si="166"/>
        <v>242</v>
      </c>
      <c r="I312" s="73">
        <f t="shared" si="166"/>
        <v>242</v>
      </c>
      <c r="J312" s="73">
        <f t="shared" si="166"/>
        <v>242</v>
      </c>
      <c r="K312" s="73">
        <f t="shared" si="166"/>
        <v>242</v>
      </c>
      <c r="L312" s="73">
        <f t="shared" si="166"/>
        <v>242</v>
      </c>
      <c r="M312" s="73">
        <f t="shared" si="166"/>
        <v>242</v>
      </c>
      <c r="N312" s="73">
        <f>SUM(B312:M312)</f>
        <v>2934</v>
      </c>
    </row>
    <row r="313" spans="1:20" x14ac:dyDescent="0.2">
      <c r="A313" s="69" t="s">
        <v>191</v>
      </c>
      <c r="B313" s="73" t="e">
        <f>B310-B311-B312</f>
        <v>#REF!</v>
      </c>
      <c r="C313" s="73" t="e">
        <f t="shared" ref="C313:N313" si="167">C310-C311-C312</f>
        <v>#REF!</v>
      </c>
      <c r="D313" s="73" t="e">
        <f t="shared" si="167"/>
        <v>#REF!</v>
      </c>
      <c r="E313" s="73" t="e">
        <f t="shared" si="167"/>
        <v>#REF!</v>
      </c>
      <c r="F313" s="73" t="e">
        <f t="shared" si="167"/>
        <v>#REF!</v>
      </c>
      <c r="G313" s="73" t="e">
        <f t="shared" si="167"/>
        <v>#REF!</v>
      </c>
      <c r="H313" s="73" t="e">
        <f t="shared" si="167"/>
        <v>#REF!</v>
      </c>
      <c r="I313" s="73" t="e">
        <f t="shared" si="167"/>
        <v>#REF!</v>
      </c>
      <c r="J313" s="73" t="e">
        <f t="shared" si="167"/>
        <v>#REF!</v>
      </c>
      <c r="K313" s="73" t="e">
        <f t="shared" si="167"/>
        <v>#REF!</v>
      </c>
      <c r="L313" s="73" t="e">
        <f t="shared" si="167"/>
        <v>#REF!</v>
      </c>
      <c r="M313" s="73" t="e">
        <f t="shared" si="167"/>
        <v>#REF!</v>
      </c>
      <c r="N313" s="73" t="e">
        <f t="shared" si="167"/>
        <v>#REF!</v>
      </c>
    </row>
    <row r="314" spans="1:20" x14ac:dyDescent="0.2">
      <c r="A314" s="49" t="s">
        <v>192</v>
      </c>
      <c r="B314" s="73">
        <f>B306</f>
        <v>236.12700000000001</v>
      </c>
      <c r="C314" s="73">
        <f t="shared" ref="C314:M314" si="168">C306</f>
        <v>249.50685000000001</v>
      </c>
      <c r="D314" s="73">
        <f t="shared" si="168"/>
        <v>258.59505000000001</v>
      </c>
      <c r="E314" s="73">
        <f t="shared" si="168"/>
        <v>253.98783750000001</v>
      </c>
      <c r="F314" s="73">
        <f t="shared" si="168"/>
        <v>260.51367000000005</v>
      </c>
      <c r="G314" s="73">
        <f t="shared" si="168"/>
        <v>248.13730874999999</v>
      </c>
      <c r="H314" s="73">
        <f t="shared" si="168"/>
        <v>270.48544500000003</v>
      </c>
      <c r="I314" s="73">
        <f t="shared" si="168"/>
        <v>295.47925725000005</v>
      </c>
      <c r="J314" s="73">
        <f t="shared" si="168"/>
        <v>296.23534500000005</v>
      </c>
      <c r="K314" s="73">
        <f t="shared" si="168"/>
        <v>280.81065000000001</v>
      </c>
      <c r="L314" s="73">
        <f t="shared" si="168"/>
        <v>256.13366250000001</v>
      </c>
      <c r="M314" s="73">
        <f t="shared" si="168"/>
        <v>242.37198187500002</v>
      </c>
      <c r="N314" s="73">
        <f>SUM(B314:M314)</f>
        <v>3148.3840578750001</v>
      </c>
    </row>
    <row r="315" spans="1:20" x14ac:dyDescent="0.2">
      <c r="A315" s="49" t="s">
        <v>193</v>
      </c>
      <c r="B315" s="73">
        <f>$T310+$T311</f>
        <v>6.666666666666667</v>
      </c>
      <c r="C315" s="73">
        <f t="shared" ref="C315:M315" si="169">$T310+$T311</f>
        <v>6.666666666666667</v>
      </c>
      <c r="D315" s="73">
        <f t="shared" si="169"/>
        <v>6.666666666666667</v>
      </c>
      <c r="E315" s="73">
        <f t="shared" si="169"/>
        <v>6.666666666666667</v>
      </c>
      <c r="F315" s="73">
        <f t="shared" si="169"/>
        <v>6.666666666666667</v>
      </c>
      <c r="G315" s="73">
        <f t="shared" si="169"/>
        <v>6.666666666666667</v>
      </c>
      <c r="H315" s="73">
        <f t="shared" si="169"/>
        <v>6.666666666666667</v>
      </c>
      <c r="I315" s="73">
        <f t="shared" si="169"/>
        <v>6.666666666666667</v>
      </c>
      <c r="J315" s="73">
        <f t="shared" si="169"/>
        <v>6.666666666666667</v>
      </c>
      <c r="K315" s="73">
        <f t="shared" si="169"/>
        <v>6.666666666666667</v>
      </c>
      <c r="L315" s="73">
        <f t="shared" si="169"/>
        <v>6.666666666666667</v>
      </c>
      <c r="M315" s="73">
        <f t="shared" si="169"/>
        <v>6.666666666666667</v>
      </c>
      <c r="N315" s="73">
        <f>SUM(B315:M315)</f>
        <v>80</v>
      </c>
      <c r="P315" s="27" t="s">
        <v>202</v>
      </c>
    </row>
    <row r="316" spans="1:20" x14ac:dyDescent="0.2">
      <c r="A316" s="69" t="s">
        <v>194</v>
      </c>
      <c r="B316" s="73" t="e">
        <f>B313-B314-B315</f>
        <v>#REF!</v>
      </c>
      <c r="C316" s="73" t="e">
        <f t="shared" ref="C316:N316" si="170">C313-C314-C315</f>
        <v>#REF!</v>
      </c>
      <c r="D316" s="73" t="e">
        <f t="shared" si="170"/>
        <v>#REF!</v>
      </c>
      <c r="E316" s="73" t="e">
        <f t="shared" si="170"/>
        <v>#REF!</v>
      </c>
      <c r="F316" s="73" t="e">
        <f t="shared" si="170"/>
        <v>#REF!</v>
      </c>
      <c r="G316" s="73" t="e">
        <f t="shared" si="170"/>
        <v>#REF!</v>
      </c>
      <c r="H316" s="73" t="e">
        <f t="shared" si="170"/>
        <v>#REF!</v>
      </c>
      <c r="I316" s="73" t="e">
        <f t="shared" si="170"/>
        <v>#REF!</v>
      </c>
      <c r="J316" s="73" t="e">
        <f t="shared" si="170"/>
        <v>#REF!</v>
      </c>
      <c r="K316" s="73" t="e">
        <f t="shared" si="170"/>
        <v>#REF!</v>
      </c>
      <c r="L316" s="73" t="e">
        <f t="shared" si="170"/>
        <v>#REF!</v>
      </c>
      <c r="M316" s="73" t="e">
        <f t="shared" si="170"/>
        <v>#REF!</v>
      </c>
      <c r="N316" s="73" t="e">
        <f t="shared" si="170"/>
        <v>#REF!</v>
      </c>
      <c r="P316" s="27">
        <v>0.35</v>
      </c>
    </row>
    <row r="317" spans="1:20" x14ac:dyDescent="0.2">
      <c r="A317" s="49" t="s">
        <v>195</v>
      </c>
      <c r="B317" s="73">
        <v>0</v>
      </c>
      <c r="C317" s="73">
        <v>0</v>
      </c>
      <c r="D317" s="73">
        <v>0</v>
      </c>
      <c r="E317" s="73">
        <v>0</v>
      </c>
      <c r="F317" s="73">
        <v>0</v>
      </c>
      <c r="G317" s="73">
        <v>0</v>
      </c>
      <c r="H317" s="73">
        <v>0</v>
      </c>
      <c r="I317" s="73">
        <v>0</v>
      </c>
      <c r="J317" s="73">
        <v>0</v>
      </c>
      <c r="K317" s="73">
        <v>0</v>
      </c>
      <c r="L317" s="73">
        <v>0</v>
      </c>
      <c r="M317" s="73">
        <v>0</v>
      </c>
      <c r="N317" s="73">
        <v>0</v>
      </c>
    </row>
    <row r="318" spans="1:20" x14ac:dyDescent="0.2">
      <c r="A318" s="49" t="s">
        <v>196</v>
      </c>
      <c r="B318" s="73" t="e">
        <f>P319*P316</f>
        <v>#REF!</v>
      </c>
      <c r="C318" s="73" t="e">
        <f>B316*$P316</f>
        <v>#REF!</v>
      </c>
      <c r="D318" s="73" t="e">
        <f t="shared" ref="D318:N318" si="171">C316*$P316</f>
        <v>#REF!</v>
      </c>
      <c r="E318" s="73" t="e">
        <f t="shared" si="171"/>
        <v>#REF!</v>
      </c>
      <c r="F318" s="73" t="e">
        <f t="shared" si="171"/>
        <v>#REF!</v>
      </c>
      <c r="G318" s="73" t="e">
        <f t="shared" si="171"/>
        <v>#REF!</v>
      </c>
      <c r="H318" s="73" t="e">
        <f t="shared" si="171"/>
        <v>#REF!</v>
      </c>
      <c r="I318" s="73" t="e">
        <f t="shared" si="171"/>
        <v>#REF!</v>
      </c>
      <c r="J318" s="73" t="e">
        <f t="shared" si="171"/>
        <v>#REF!</v>
      </c>
      <c r="K318" s="73" t="e">
        <f t="shared" si="171"/>
        <v>#REF!</v>
      </c>
      <c r="L318" s="73" t="e">
        <f t="shared" si="171"/>
        <v>#REF!</v>
      </c>
      <c r="M318" s="73" t="e">
        <f t="shared" si="171"/>
        <v>#REF!</v>
      </c>
      <c r="N318" s="73" t="e">
        <f t="shared" si="171"/>
        <v>#REF!</v>
      </c>
      <c r="P318" s="27" t="s">
        <v>219</v>
      </c>
    </row>
    <row r="319" spans="1:20" x14ac:dyDescent="0.2">
      <c r="A319" s="69" t="s">
        <v>197</v>
      </c>
      <c r="B319" s="73" t="e">
        <f>B316-B317-B318</f>
        <v>#REF!</v>
      </c>
      <c r="C319" s="73" t="e">
        <f t="shared" ref="C319:N319" si="172">C316-C317-C318</f>
        <v>#REF!</v>
      </c>
      <c r="D319" s="73" t="e">
        <f t="shared" si="172"/>
        <v>#REF!</v>
      </c>
      <c r="E319" s="73" t="e">
        <f t="shared" si="172"/>
        <v>#REF!</v>
      </c>
      <c r="F319" s="73" t="e">
        <f t="shared" si="172"/>
        <v>#REF!</v>
      </c>
      <c r="G319" s="73" t="e">
        <f t="shared" si="172"/>
        <v>#REF!</v>
      </c>
      <c r="H319" s="73" t="e">
        <f t="shared" si="172"/>
        <v>#REF!</v>
      </c>
      <c r="I319" s="73" t="e">
        <f t="shared" si="172"/>
        <v>#REF!</v>
      </c>
      <c r="J319" s="73" t="e">
        <f t="shared" si="172"/>
        <v>#REF!</v>
      </c>
      <c r="K319" s="73" t="e">
        <f t="shared" si="172"/>
        <v>#REF!</v>
      </c>
      <c r="L319" s="73" t="e">
        <f t="shared" si="172"/>
        <v>#REF!</v>
      </c>
      <c r="M319" s="73" t="e">
        <f t="shared" si="172"/>
        <v>#REF!</v>
      </c>
      <c r="N319" s="73" t="e">
        <f t="shared" si="172"/>
        <v>#REF!</v>
      </c>
      <c r="P319" s="74" t="e">
        <f>M316/1.02</f>
        <v>#REF!</v>
      </c>
    </row>
    <row r="322" spans="1:16" x14ac:dyDescent="0.2">
      <c r="A322" s="226" t="s">
        <v>204</v>
      </c>
      <c r="B322" s="227"/>
      <c r="C322" s="227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</row>
    <row r="323" spans="1:16" x14ac:dyDescent="0.2">
      <c r="B323" s="78" t="s">
        <v>3</v>
      </c>
      <c r="C323" s="78" t="s">
        <v>4</v>
      </c>
      <c r="D323" s="78" t="s">
        <v>5</v>
      </c>
      <c r="E323" s="78" t="s">
        <v>6</v>
      </c>
      <c r="F323" s="78" t="s">
        <v>7</v>
      </c>
      <c r="G323" s="78" t="s">
        <v>8</v>
      </c>
      <c r="H323" s="78" t="s">
        <v>9</v>
      </c>
      <c r="I323" s="78" t="s">
        <v>10</v>
      </c>
      <c r="J323" s="78" t="s">
        <v>96</v>
      </c>
      <c r="K323" s="78" t="s">
        <v>12</v>
      </c>
      <c r="L323" s="78" t="s">
        <v>13</v>
      </c>
      <c r="M323" s="78" t="s">
        <v>14</v>
      </c>
      <c r="N323" s="59" t="s">
        <v>125</v>
      </c>
    </row>
    <row r="324" spans="1:16" x14ac:dyDescent="0.2">
      <c r="A324" s="27" t="s">
        <v>205</v>
      </c>
      <c r="B324" s="72">
        <f>B224</f>
        <v>2336.91026815125</v>
      </c>
      <c r="C324" s="72">
        <f t="shared" ref="C324:N324" si="173">C224</f>
        <v>2431.7751149999999</v>
      </c>
      <c r="D324" s="72">
        <f t="shared" si="173"/>
        <v>2654.2088100000001</v>
      </c>
      <c r="E324" s="72">
        <f t="shared" si="173"/>
        <v>2698.5705862499999</v>
      </c>
      <c r="F324" s="72">
        <f t="shared" si="173"/>
        <v>2717.5649242499999</v>
      </c>
      <c r="G324" s="72">
        <f t="shared" si="173"/>
        <v>2659.6446896250004</v>
      </c>
      <c r="H324" s="72">
        <f t="shared" si="173"/>
        <v>2758.3652621249998</v>
      </c>
      <c r="I324" s="72">
        <f t="shared" si="173"/>
        <v>3227.050552275</v>
      </c>
      <c r="J324" s="72">
        <f t="shared" si="173"/>
        <v>3481.9745622750002</v>
      </c>
      <c r="K324" s="72">
        <f t="shared" si="173"/>
        <v>3336.7553505000001</v>
      </c>
      <c r="L324" s="72">
        <f t="shared" si="173"/>
        <v>2939.7486937499998</v>
      </c>
      <c r="M324" s="72">
        <f t="shared" si="173"/>
        <v>2559.2058793124997</v>
      </c>
      <c r="N324" s="72">
        <f t="shared" si="173"/>
        <v>31464.864425362499</v>
      </c>
    </row>
    <row r="325" spans="1:16" x14ac:dyDescent="0.2">
      <c r="A325" s="27" t="s">
        <v>206</v>
      </c>
      <c r="B325" s="72">
        <v>0</v>
      </c>
      <c r="C325" s="72">
        <v>0</v>
      </c>
      <c r="D325" s="72">
        <v>0</v>
      </c>
      <c r="E325" s="72">
        <v>0</v>
      </c>
      <c r="F325" s="72">
        <v>0</v>
      </c>
      <c r="G325" s="72">
        <v>0</v>
      </c>
      <c r="H325" s="72">
        <v>0</v>
      </c>
      <c r="I325" s="72">
        <v>0</v>
      </c>
      <c r="J325" s="72">
        <v>0</v>
      </c>
      <c r="K325" s="72">
        <v>0</v>
      </c>
      <c r="L325" s="72">
        <v>0</v>
      </c>
      <c r="M325" s="72">
        <v>0</v>
      </c>
      <c r="N325" s="72">
        <v>0</v>
      </c>
    </row>
    <row r="326" spans="1:16" x14ac:dyDescent="0.2">
      <c r="A326" s="27" t="s">
        <v>212</v>
      </c>
      <c r="B326" s="72">
        <f>B324+B325</f>
        <v>2336.91026815125</v>
      </c>
      <c r="C326" s="72">
        <f t="shared" ref="C326:N326" si="174">C324+C325</f>
        <v>2431.7751149999999</v>
      </c>
      <c r="D326" s="72">
        <f t="shared" si="174"/>
        <v>2654.2088100000001</v>
      </c>
      <c r="E326" s="72">
        <f t="shared" si="174"/>
        <v>2698.5705862499999</v>
      </c>
      <c r="F326" s="72">
        <f t="shared" si="174"/>
        <v>2717.5649242499999</v>
      </c>
      <c r="G326" s="72">
        <f t="shared" si="174"/>
        <v>2659.6446896250004</v>
      </c>
      <c r="H326" s="72">
        <f t="shared" si="174"/>
        <v>2758.3652621249998</v>
      </c>
      <c r="I326" s="72">
        <f t="shared" si="174"/>
        <v>3227.050552275</v>
      </c>
      <c r="J326" s="72">
        <f t="shared" si="174"/>
        <v>3481.9745622750002</v>
      </c>
      <c r="K326" s="72">
        <f t="shared" si="174"/>
        <v>3336.7553505000001</v>
      </c>
      <c r="L326" s="72">
        <f t="shared" si="174"/>
        <v>2939.7486937499998</v>
      </c>
      <c r="M326" s="72">
        <f t="shared" si="174"/>
        <v>2559.2058793124997</v>
      </c>
      <c r="N326" s="72">
        <f t="shared" si="174"/>
        <v>31464.864425362499</v>
      </c>
    </row>
    <row r="327" spans="1:16" x14ac:dyDescent="0.2">
      <c r="A327" s="27" t="s">
        <v>19</v>
      </c>
      <c r="B327" s="72" t="e">
        <f t="shared" ref="B327:N327" si="175">((B134)/1000)*1000</f>
        <v>#REF!</v>
      </c>
      <c r="C327" s="72" t="e">
        <f t="shared" si="175"/>
        <v>#REF!</v>
      </c>
      <c r="D327" s="72" t="e">
        <f t="shared" si="175"/>
        <v>#REF!</v>
      </c>
      <c r="E327" s="72" t="e">
        <f t="shared" si="175"/>
        <v>#REF!</v>
      </c>
      <c r="F327" s="72" t="e">
        <f t="shared" si="175"/>
        <v>#REF!</v>
      </c>
      <c r="G327" s="72" t="e">
        <f t="shared" si="175"/>
        <v>#REF!</v>
      </c>
      <c r="H327" s="72" t="e">
        <f t="shared" si="175"/>
        <v>#REF!</v>
      </c>
      <c r="I327" s="72" t="e">
        <f t="shared" si="175"/>
        <v>#REF!</v>
      </c>
      <c r="J327" s="72" t="e">
        <f t="shared" si="175"/>
        <v>#REF!</v>
      </c>
      <c r="K327" s="72" t="e">
        <f t="shared" si="175"/>
        <v>#REF!</v>
      </c>
      <c r="L327" s="72" t="e">
        <f t="shared" si="175"/>
        <v>#REF!</v>
      </c>
      <c r="M327" s="72" t="e">
        <f t="shared" si="175"/>
        <v>#REF!</v>
      </c>
      <c r="N327" s="72" t="e">
        <f t="shared" si="175"/>
        <v>#REF!</v>
      </c>
    </row>
    <row r="328" spans="1:16" x14ac:dyDescent="0.2">
      <c r="A328" s="46" t="s">
        <v>207</v>
      </c>
      <c r="B328" s="72">
        <f t="shared" ref="B328:M328" si="176">((B284)/1000)*1000</f>
        <v>4401.0589090909089</v>
      </c>
      <c r="C328" s="72">
        <f t="shared" si="176"/>
        <v>4621.1118545454538</v>
      </c>
      <c r="D328" s="72">
        <f t="shared" si="176"/>
        <v>4621.1118545454538</v>
      </c>
      <c r="E328" s="72">
        <f t="shared" si="176"/>
        <v>5005.6704</v>
      </c>
      <c r="F328" s="72">
        <f t="shared" si="176"/>
        <v>5061.2177454545454</v>
      </c>
      <c r="G328" s="72">
        <f t="shared" si="176"/>
        <v>4394.6496000000006</v>
      </c>
      <c r="H328" s="72">
        <f t="shared" si="176"/>
        <v>6007.6590545454546</v>
      </c>
      <c r="I328" s="72">
        <f t="shared" si="176"/>
        <v>5736.3316363636359</v>
      </c>
      <c r="J328" s="72">
        <f t="shared" si="176"/>
        <v>6007.6590545454546</v>
      </c>
      <c r="K328" s="72">
        <f t="shared" si="176"/>
        <v>5061.2177454545454</v>
      </c>
      <c r="L328" s="72">
        <f t="shared" si="176"/>
        <v>5116.7650909090908</v>
      </c>
      <c r="M328" s="72">
        <f t="shared" si="176"/>
        <v>4255.7812363636349</v>
      </c>
      <c r="N328" s="72">
        <f>((SUM(B328:M328))/1000)*1000</f>
        <v>60290.234181818167</v>
      </c>
    </row>
    <row r="329" spans="1:16" x14ac:dyDescent="0.2">
      <c r="A329" s="46" t="s">
        <v>129</v>
      </c>
      <c r="B329" s="72">
        <f t="shared" ref="B329:N329" si="177">((B294)/1000)*1000</f>
        <v>0</v>
      </c>
      <c r="C329" s="72">
        <f t="shared" si="177"/>
        <v>0</v>
      </c>
      <c r="D329" s="72">
        <f t="shared" si="177"/>
        <v>0</v>
      </c>
      <c r="E329" s="72">
        <f t="shared" si="177"/>
        <v>190</v>
      </c>
      <c r="F329" s="72">
        <f t="shared" si="177"/>
        <v>190</v>
      </c>
      <c r="G329" s="72">
        <f t="shared" si="177"/>
        <v>190</v>
      </c>
      <c r="H329" s="72">
        <f t="shared" si="177"/>
        <v>190</v>
      </c>
      <c r="I329" s="72">
        <f t="shared" si="177"/>
        <v>190</v>
      </c>
      <c r="J329" s="72">
        <f t="shared" si="177"/>
        <v>0</v>
      </c>
      <c r="K329" s="72">
        <f t="shared" si="177"/>
        <v>0</v>
      </c>
      <c r="L329" s="72">
        <f t="shared" si="177"/>
        <v>0</v>
      </c>
      <c r="M329" s="72">
        <f t="shared" si="177"/>
        <v>0</v>
      </c>
      <c r="N329" s="72">
        <f t="shared" si="177"/>
        <v>950</v>
      </c>
    </row>
    <row r="330" spans="1:16" x14ac:dyDescent="0.2">
      <c r="A330" s="46" t="s">
        <v>208</v>
      </c>
      <c r="B330" s="72">
        <f t="shared" ref="B330:N330" si="178">((B300)/1000)*1000</f>
        <v>252</v>
      </c>
      <c r="C330" s="72">
        <f t="shared" si="178"/>
        <v>252</v>
      </c>
      <c r="D330" s="72">
        <f t="shared" si="178"/>
        <v>252</v>
      </c>
      <c r="E330" s="72">
        <f t="shared" si="178"/>
        <v>242</v>
      </c>
      <c r="F330" s="72">
        <f t="shared" si="178"/>
        <v>242</v>
      </c>
      <c r="G330" s="72">
        <f t="shared" si="178"/>
        <v>242</v>
      </c>
      <c r="H330" s="72">
        <f t="shared" si="178"/>
        <v>242</v>
      </c>
      <c r="I330" s="72">
        <f t="shared" si="178"/>
        <v>242</v>
      </c>
      <c r="J330" s="72">
        <f t="shared" si="178"/>
        <v>242</v>
      </c>
      <c r="K330" s="72">
        <f t="shared" si="178"/>
        <v>242</v>
      </c>
      <c r="L330" s="72">
        <f t="shared" si="178"/>
        <v>242</v>
      </c>
      <c r="M330" s="72">
        <f t="shared" si="178"/>
        <v>242</v>
      </c>
      <c r="N330" s="72">
        <f t="shared" si="178"/>
        <v>2934</v>
      </c>
    </row>
    <row r="331" spans="1:16" x14ac:dyDescent="0.2">
      <c r="A331" s="46" t="s">
        <v>209</v>
      </c>
      <c r="B331" s="72">
        <f t="shared" ref="B331:N331" si="179">((B306)/1000)*1000</f>
        <v>236.12700000000001</v>
      </c>
      <c r="C331" s="72">
        <f t="shared" si="179"/>
        <v>249.50685000000001</v>
      </c>
      <c r="D331" s="72">
        <f t="shared" si="179"/>
        <v>258.59505000000001</v>
      </c>
      <c r="E331" s="72">
        <f t="shared" si="179"/>
        <v>253.98783750000004</v>
      </c>
      <c r="F331" s="72">
        <f t="shared" si="179"/>
        <v>260.51367000000005</v>
      </c>
      <c r="G331" s="72">
        <f t="shared" si="179"/>
        <v>248.13730874999999</v>
      </c>
      <c r="H331" s="72">
        <f t="shared" si="179"/>
        <v>270.48544500000003</v>
      </c>
      <c r="I331" s="72">
        <f t="shared" si="179"/>
        <v>295.47925725000005</v>
      </c>
      <c r="J331" s="72">
        <f t="shared" si="179"/>
        <v>296.23534500000005</v>
      </c>
      <c r="K331" s="72">
        <f t="shared" si="179"/>
        <v>280.81065000000001</v>
      </c>
      <c r="L331" s="72">
        <f t="shared" si="179"/>
        <v>256.13366250000001</v>
      </c>
      <c r="M331" s="72">
        <f t="shared" si="179"/>
        <v>242.37198187500002</v>
      </c>
      <c r="N331" s="72">
        <f t="shared" si="179"/>
        <v>3.148384057875</v>
      </c>
      <c r="P331">
        <v>1000</v>
      </c>
    </row>
    <row r="332" spans="1:16" x14ac:dyDescent="0.2">
      <c r="A332" s="46" t="s">
        <v>210</v>
      </c>
      <c r="B332" s="72">
        <v>0</v>
      </c>
      <c r="C332" s="72">
        <v>0</v>
      </c>
      <c r="D332" s="72">
        <v>0</v>
      </c>
      <c r="E332" s="72">
        <v>0</v>
      </c>
      <c r="F332" s="72">
        <v>0</v>
      </c>
      <c r="G332" s="72">
        <v>0</v>
      </c>
      <c r="H332" s="72">
        <v>0</v>
      </c>
      <c r="I332" s="72">
        <v>0</v>
      </c>
      <c r="J332" s="72">
        <v>0</v>
      </c>
      <c r="K332" s="72">
        <v>0</v>
      </c>
      <c r="L332" s="72">
        <v>0</v>
      </c>
      <c r="M332" s="72">
        <v>0</v>
      </c>
      <c r="N332" s="72">
        <v>0</v>
      </c>
    </row>
    <row r="333" spans="1:16" x14ac:dyDescent="0.2">
      <c r="A333" s="46" t="s">
        <v>196</v>
      </c>
      <c r="B333" s="72" t="e">
        <f>B318</f>
        <v>#REF!</v>
      </c>
      <c r="C333" s="72" t="e">
        <f t="shared" ref="C333:N333" si="180">((C318)/1000)*1000</f>
        <v>#REF!</v>
      </c>
      <c r="D333" s="72" t="e">
        <f t="shared" si="180"/>
        <v>#REF!</v>
      </c>
      <c r="E333" s="72" t="e">
        <f t="shared" si="180"/>
        <v>#REF!</v>
      </c>
      <c r="F333" s="72" t="e">
        <f t="shared" si="180"/>
        <v>#REF!</v>
      </c>
      <c r="G333" s="72" t="e">
        <f t="shared" si="180"/>
        <v>#REF!</v>
      </c>
      <c r="H333" s="72" t="e">
        <f t="shared" si="180"/>
        <v>#REF!</v>
      </c>
      <c r="I333" s="72" t="e">
        <f t="shared" si="180"/>
        <v>#REF!</v>
      </c>
      <c r="J333" s="72" t="e">
        <f t="shared" si="180"/>
        <v>#REF!</v>
      </c>
      <c r="K333" s="72" t="e">
        <f t="shared" si="180"/>
        <v>#REF!</v>
      </c>
      <c r="L333" s="72" t="e">
        <f t="shared" si="180"/>
        <v>#REF!</v>
      </c>
      <c r="M333" s="72" t="e">
        <f t="shared" si="180"/>
        <v>#REF!</v>
      </c>
      <c r="N333" s="72" t="e">
        <f t="shared" si="180"/>
        <v>#REF!</v>
      </c>
    </row>
    <row r="334" spans="1:16" x14ac:dyDescent="0.2">
      <c r="A334" s="46" t="s">
        <v>211</v>
      </c>
      <c r="B334" s="72" t="e">
        <f>B327+B328+B329+B330+B331+B332+B333</f>
        <v>#REF!</v>
      </c>
      <c r="C334" s="72" t="e">
        <f t="shared" ref="C334:N334" si="181">C327+C328+C329+C330+C331+C332+C333</f>
        <v>#REF!</v>
      </c>
      <c r="D334" s="72" t="e">
        <f t="shared" si="181"/>
        <v>#REF!</v>
      </c>
      <c r="E334" s="72" t="e">
        <f t="shared" si="181"/>
        <v>#REF!</v>
      </c>
      <c r="F334" s="72" t="e">
        <f t="shared" si="181"/>
        <v>#REF!</v>
      </c>
      <c r="G334" s="72" t="e">
        <f t="shared" si="181"/>
        <v>#REF!</v>
      </c>
      <c r="H334" s="72" t="e">
        <f t="shared" si="181"/>
        <v>#REF!</v>
      </c>
      <c r="I334" s="72" t="e">
        <f t="shared" si="181"/>
        <v>#REF!</v>
      </c>
      <c r="J334" s="72" t="e">
        <f t="shared" si="181"/>
        <v>#REF!</v>
      </c>
      <c r="K334" s="72" t="e">
        <f t="shared" si="181"/>
        <v>#REF!</v>
      </c>
      <c r="L334" s="72" t="e">
        <f t="shared" si="181"/>
        <v>#REF!</v>
      </c>
      <c r="M334" s="72" t="e">
        <f t="shared" si="181"/>
        <v>#REF!</v>
      </c>
      <c r="N334" s="72" t="e">
        <f t="shared" si="181"/>
        <v>#REF!</v>
      </c>
    </row>
    <row r="335" spans="1:16" x14ac:dyDescent="0.2">
      <c r="A335" s="46" t="s">
        <v>204</v>
      </c>
      <c r="B335" s="72" t="e">
        <f>B326-B334</f>
        <v>#REF!</v>
      </c>
      <c r="C335" s="72" t="e">
        <f t="shared" ref="C335:N335" si="182">C326-C334</f>
        <v>#REF!</v>
      </c>
      <c r="D335" s="72" t="e">
        <f t="shared" si="182"/>
        <v>#REF!</v>
      </c>
      <c r="E335" s="72" t="e">
        <f t="shared" si="182"/>
        <v>#REF!</v>
      </c>
      <c r="F335" s="72" t="e">
        <f t="shared" si="182"/>
        <v>#REF!</v>
      </c>
      <c r="G335" s="72" t="e">
        <f t="shared" si="182"/>
        <v>#REF!</v>
      </c>
      <c r="H335" s="72" t="e">
        <f t="shared" si="182"/>
        <v>#REF!</v>
      </c>
      <c r="I335" s="72" t="e">
        <f t="shared" si="182"/>
        <v>#REF!</v>
      </c>
      <c r="J335" s="72" t="e">
        <f t="shared" si="182"/>
        <v>#REF!</v>
      </c>
      <c r="K335" s="72" t="e">
        <f t="shared" si="182"/>
        <v>#REF!</v>
      </c>
      <c r="L335" s="72" t="e">
        <f t="shared" si="182"/>
        <v>#REF!</v>
      </c>
      <c r="M335" s="72" t="e">
        <f t="shared" si="182"/>
        <v>#REF!</v>
      </c>
      <c r="N335" s="72" t="e">
        <f t="shared" si="182"/>
        <v>#REF!</v>
      </c>
    </row>
    <row r="336" spans="1:16" x14ac:dyDescent="0.2">
      <c r="A336" s="46" t="s">
        <v>213</v>
      </c>
      <c r="B336" s="72" t="e">
        <f>B335</f>
        <v>#REF!</v>
      </c>
      <c r="C336" s="72" t="e">
        <f>C335+B336</f>
        <v>#REF!</v>
      </c>
      <c r="D336" s="72" t="e">
        <f>D335+C336</f>
        <v>#REF!</v>
      </c>
      <c r="E336" s="72" t="e">
        <f t="shared" ref="E336:M336" si="183">E335+D336</f>
        <v>#REF!</v>
      </c>
      <c r="F336" s="72" t="e">
        <f t="shared" si="183"/>
        <v>#REF!</v>
      </c>
      <c r="G336" s="72" t="e">
        <f t="shared" si="183"/>
        <v>#REF!</v>
      </c>
      <c r="H336" s="72" t="e">
        <f t="shared" si="183"/>
        <v>#REF!</v>
      </c>
      <c r="I336" s="72" t="e">
        <f t="shared" si="183"/>
        <v>#REF!</v>
      </c>
      <c r="J336" s="72" t="e">
        <f t="shared" si="183"/>
        <v>#REF!</v>
      </c>
      <c r="K336" s="72" t="e">
        <f t="shared" si="183"/>
        <v>#REF!</v>
      </c>
      <c r="L336" s="72" t="e">
        <f t="shared" si="183"/>
        <v>#REF!</v>
      </c>
      <c r="M336" s="72" t="e">
        <f t="shared" si="183"/>
        <v>#REF!</v>
      </c>
      <c r="N336" s="72"/>
    </row>
  </sheetData>
  <mergeCells count="43">
    <mergeCell ref="A302:N302"/>
    <mergeCell ref="A308:N308"/>
    <mergeCell ref="A322:N322"/>
    <mergeCell ref="A195:M195"/>
    <mergeCell ref="A143:M143"/>
    <mergeCell ref="A150:M150"/>
    <mergeCell ref="A292:N292"/>
    <mergeCell ref="A296:N296"/>
    <mergeCell ref="B169:M169"/>
    <mergeCell ref="A175:M175"/>
    <mergeCell ref="A180:M180"/>
    <mergeCell ref="A186:M186"/>
    <mergeCell ref="A191:M191"/>
    <mergeCell ref="B286:E286"/>
    <mergeCell ref="G286:J286"/>
    <mergeCell ref="L286:O286"/>
    <mergeCell ref="A200:N200"/>
    <mergeCell ref="A206:N206"/>
    <mergeCell ref="A212:N212"/>
    <mergeCell ref="A226:N226"/>
    <mergeCell ref="A240:N240"/>
    <mergeCell ref="A243:A247"/>
    <mergeCell ref="A248:A252"/>
    <mergeCell ref="A254:A258"/>
    <mergeCell ref="A259:A263"/>
    <mergeCell ref="A266:N266"/>
    <mergeCell ref="O153:S153"/>
    <mergeCell ref="A158:M158"/>
    <mergeCell ref="B160:C160"/>
    <mergeCell ref="A164:M164"/>
    <mergeCell ref="P11:R11"/>
    <mergeCell ref="A13:M13"/>
    <mergeCell ref="P22:Q22"/>
    <mergeCell ref="A121:M121"/>
    <mergeCell ref="A128:M128"/>
    <mergeCell ref="A136:M136"/>
    <mergeCell ref="A45:M45"/>
    <mergeCell ref="A6:M6"/>
    <mergeCell ref="A1:J1"/>
    <mergeCell ref="A2:J2"/>
    <mergeCell ref="A3:J3"/>
    <mergeCell ref="A4:J4"/>
    <mergeCell ref="A5:J5"/>
  </mergeCells>
  <conditionalFormatting sqref="B51:M51 B61:M61 B72:M72 B82:M82">
    <cfRule type="cellIs" dxfId="4" priority="6" operator="greaterThan">
      <formula>0</formula>
    </cfRule>
  </conditionalFormatting>
  <conditionalFormatting sqref="B91:M91">
    <cfRule type="cellIs" dxfId="3" priority="4" operator="greaterThan">
      <formula>0</formula>
    </cfRule>
  </conditionalFormatting>
  <conditionalFormatting sqref="B93:M93 B96:M97">
    <cfRule type="cellIs" dxfId="2" priority="3" operator="greaterThan">
      <formula>0</formula>
    </cfRule>
  </conditionalFormatting>
  <conditionalFormatting sqref="B52:M52 B62:M62 B73:M73 B83:M83">
    <cfRule type="cellIs" dxfId="1" priority="2" operator="greaterThan">
      <formula>0</formula>
    </cfRule>
  </conditionalFormatting>
  <conditionalFormatting sqref="B92:M92 B94:M9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baseColWidth="10"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0"/>
  <sheetViews>
    <sheetView workbookViewId="0">
      <selection activeCell="A40" sqref="A40:M40"/>
    </sheetView>
  </sheetViews>
  <sheetFormatPr baseColWidth="10" defaultColWidth="11.42578125" defaultRowHeight="12.75" x14ac:dyDescent="0.2"/>
  <cols>
    <col min="1" max="1" width="30.85546875" customWidth="1"/>
    <col min="2" max="2" width="12" customWidth="1"/>
    <col min="15" max="15" width="22.5703125" customWidth="1"/>
    <col min="16" max="16" width="30.5703125" customWidth="1"/>
    <col min="17" max="17" width="18.5703125" customWidth="1"/>
  </cols>
  <sheetData>
    <row r="1" spans="1:20" x14ac:dyDescent="0.2">
      <c r="A1" s="195" t="s">
        <v>159</v>
      </c>
      <c r="B1" s="196"/>
      <c r="C1" s="196"/>
      <c r="D1" s="196"/>
      <c r="E1" s="196"/>
      <c r="F1" s="196"/>
      <c r="G1" s="196"/>
      <c r="H1" s="196"/>
      <c r="I1" s="196"/>
      <c r="J1" s="197"/>
    </row>
    <row r="2" spans="1:20" x14ac:dyDescent="0.2">
      <c r="A2" s="195" t="s">
        <v>220</v>
      </c>
      <c r="B2" s="146"/>
      <c r="C2" s="146"/>
      <c r="D2" s="146"/>
      <c r="E2" s="146"/>
      <c r="F2" s="146"/>
      <c r="G2" s="146"/>
      <c r="H2" s="146"/>
      <c r="I2" s="146"/>
      <c r="J2" s="147"/>
      <c r="P2" s="1" t="s">
        <v>123</v>
      </c>
      <c r="Q2" s="1" t="s">
        <v>98</v>
      </c>
      <c r="R2" s="1" t="s">
        <v>99</v>
      </c>
      <c r="S2" s="1" t="s">
        <v>100</v>
      </c>
      <c r="T2" s="1" t="s">
        <v>101</v>
      </c>
    </row>
    <row r="3" spans="1:20" x14ac:dyDescent="0.2">
      <c r="A3" s="195" t="s">
        <v>221</v>
      </c>
      <c r="B3" s="146"/>
      <c r="C3" s="146"/>
      <c r="D3" s="146"/>
      <c r="E3" s="146"/>
      <c r="F3" s="146"/>
      <c r="G3" s="146"/>
      <c r="H3" s="146"/>
      <c r="I3" s="146"/>
      <c r="J3" s="147"/>
      <c r="P3" s="1"/>
      <c r="Q3" s="1">
        <v>4</v>
      </c>
      <c r="R3" s="1">
        <v>4</v>
      </c>
      <c r="S3" s="1">
        <v>3</v>
      </c>
      <c r="T3" s="1">
        <v>5</v>
      </c>
    </row>
    <row r="4" spans="1:20" x14ac:dyDescent="0.2">
      <c r="A4" s="195" t="s">
        <v>160</v>
      </c>
      <c r="B4" s="146"/>
      <c r="C4" s="146"/>
      <c r="D4" s="146"/>
      <c r="E4" s="146"/>
      <c r="F4" s="146"/>
      <c r="G4" s="146"/>
      <c r="H4" s="146"/>
      <c r="I4" s="146"/>
      <c r="J4" s="147"/>
      <c r="P4" s="1" t="s">
        <v>124</v>
      </c>
      <c r="Q4" s="1">
        <v>34</v>
      </c>
      <c r="R4" s="1">
        <v>28</v>
      </c>
      <c r="S4" s="1">
        <v>42</v>
      </c>
      <c r="T4" s="1">
        <v>31</v>
      </c>
    </row>
    <row r="5" spans="1:20" x14ac:dyDescent="0.2">
      <c r="A5" s="146"/>
      <c r="B5" s="146"/>
      <c r="C5" s="146"/>
      <c r="D5" s="146"/>
      <c r="E5" s="146"/>
      <c r="F5" s="146"/>
      <c r="G5" s="146"/>
      <c r="H5" s="146"/>
      <c r="I5" s="146"/>
      <c r="J5" s="146"/>
    </row>
    <row r="6" spans="1:20" x14ac:dyDescent="0.2">
      <c r="A6" s="200" t="s">
        <v>97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4"/>
      <c r="P6" s="48" t="s">
        <v>109</v>
      </c>
    </row>
    <row r="7" spans="1:20" x14ac:dyDescent="0.2">
      <c r="A7" s="1"/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96</v>
      </c>
      <c r="K7" s="1" t="s">
        <v>12</v>
      </c>
      <c r="L7" s="1" t="s">
        <v>13</v>
      </c>
      <c r="M7" s="1" t="s">
        <v>14</v>
      </c>
      <c r="P7" s="1">
        <v>1.02</v>
      </c>
    </row>
    <row r="8" spans="1:20" x14ac:dyDescent="0.2">
      <c r="A8" s="1" t="s">
        <v>98</v>
      </c>
      <c r="B8" s="1">
        <v>22</v>
      </c>
      <c r="C8" s="1">
        <v>18</v>
      </c>
      <c r="D8" s="1">
        <v>22</v>
      </c>
      <c r="E8" s="1">
        <v>23</v>
      </c>
      <c r="F8" s="1">
        <v>21</v>
      </c>
      <c r="G8" s="1">
        <v>21</v>
      </c>
      <c r="H8" s="1">
        <v>23</v>
      </c>
      <c r="I8" s="1">
        <v>20</v>
      </c>
      <c r="J8" s="1">
        <v>21</v>
      </c>
      <c r="K8" s="1">
        <v>20</v>
      </c>
      <c r="L8" s="1">
        <v>22</v>
      </c>
      <c r="M8" s="1">
        <v>20</v>
      </c>
    </row>
    <row r="9" spans="1:20" x14ac:dyDescent="0.2">
      <c r="A9" s="1" t="s">
        <v>99</v>
      </c>
      <c r="B9" s="1">
        <v>3</v>
      </c>
      <c r="C9" s="1">
        <v>4</v>
      </c>
      <c r="D9" s="1">
        <v>2</v>
      </c>
      <c r="E9" s="1">
        <v>1</v>
      </c>
      <c r="F9" s="1">
        <v>2</v>
      </c>
      <c r="G9" s="1">
        <v>1</v>
      </c>
      <c r="H9" s="1">
        <v>4</v>
      </c>
      <c r="I9" s="1">
        <v>2</v>
      </c>
      <c r="J9" s="1">
        <v>1</v>
      </c>
      <c r="K9" s="1">
        <v>4</v>
      </c>
      <c r="L9" s="1">
        <v>3</v>
      </c>
      <c r="M9" s="1">
        <v>4</v>
      </c>
      <c r="P9" s="48" t="s">
        <v>218</v>
      </c>
      <c r="Q9" s="48">
        <f>48/5.5</f>
        <v>8.7272727272727266</v>
      </c>
    </row>
    <row r="10" spans="1:20" x14ac:dyDescent="0.2">
      <c r="A10" s="1" t="s">
        <v>100</v>
      </c>
      <c r="B10" s="1">
        <v>7</v>
      </c>
      <c r="C10" s="1">
        <v>4</v>
      </c>
      <c r="D10" s="1">
        <v>6</v>
      </c>
      <c r="E10" s="1">
        <v>5</v>
      </c>
      <c r="F10" s="1">
        <v>3</v>
      </c>
      <c r="G10" s="1">
        <v>2</v>
      </c>
      <c r="H10" s="1">
        <v>4</v>
      </c>
      <c r="I10" s="1">
        <v>6</v>
      </c>
      <c r="J10" s="1">
        <v>6</v>
      </c>
      <c r="K10" s="1">
        <v>6</v>
      </c>
      <c r="L10" s="1">
        <v>4</v>
      </c>
      <c r="M10" s="1">
        <v>5</v>
      </c>
    </row>
    <row r="11" spans="1:20" x14ac:dyDescent="0.2">
      <c r="A11" s="1" t="s">
        <v>101</v>
      </c>
      <c r="B11" s="1">
        <v>0</v>
      </c>
      <c r="C11" s="1">
        <v>4</v>
      </c>
      <c r="D11" s="1">
        <v>1</v>
      </c>
      <c r="E11" s="1">
        <v>2</v>
      </c>
      <c r="F11" s="1">
        <v>4</v>
      </c>
      <c r="G11" s="1">
        <v>5</v>
      </c>
      <c r="H11" s="1">
        <v>0</v>
      </c>
      <c r="I11" s="1">
        <v>3</v>
      </c>
      <c r="J11" s="1">
        <v>3</v>
      </c>
      <c r="K11" s="1">
        <v>2</v>
      </c>
      <c r="L11" s="1">
        <v>2</v>
      </c>
      <c r="M11" s="1">
        <v>2</v>
      </c>
      <c r="P11" s="151" t="s">
        <v>105</v>
      </c>
      <c r="Q11" s="151"/>
      <c r="R11" s="151"/>
    </row>
    <row r="12" spans="1:20" x14ac:dyDescent="0.2">
      <c r="P12" s="45"/>
      <c r="Q12" s="45"/>
      <c r="R12" s="13"/>
    </row>
    <row r="13" spans="1:20" x14ac:dyDescent="0.2">
      <c r="A13" s="200" t="s">
        <v>104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4"/>
      <c r="P13" s="1" t="s">
        <v>98</v>
      </c>
      <c r="Q13" s="47">
        <v>10</v>
      </c>
      <c r="S13" s="47">
        <v>9</v>
      </c>
    </row>
    <row r="14" spans="1:20" x14ac:dyDescent="0.2">
      <c r="A14" s="1" t="s">
        <v>98</v>
      </c>
      <c r="B14" s="1">
        <f>B8*$Q19</f>
        <v>2200</v>
      </c>
      <c r="C14" s="1">
        <f t="shared" ref="C14:M14" si="0">C8*$Q19</f>
        <v>1800</v>
      </c>
      <c r="D14" s="1">
        <f t="shared" si="0"/>
        <v>2200</v>
      </c>
      <c r="E14" s="1">
        <f t="shared" si="0"/>
        <v>2300</v>
      </c>
      <c r="F14" s="1">
        <f t="shared" si="0"/>
        <v>2100</v>
      </c>
      <c r="G14" s="1">
        <f t="shared" si="0"/>
        <v>2100</v>
      </c>
      <c r="H14" s="1">
        <f t="shared" si="0"/>
        <v>2300</v>
      </c>
      <c r="I14" s="1">
        <f t="shared" si="0"/>
        <v>2000</v>
      </c>
      <c r="J14" s="1">
        <f t="shared" si="0"/>
        <v>2100</v>
      </c>
      <c r="K14" s="1">
        <f t="shared" si="0"/>
        <v>2000</v>
      </c>
      <c r="L14" s="1">
        <f t="shared" si="0"/>
        <v>2200</v>
      </c>
      <c r="M14" s="1">
        <f t="shared" si="0"/>
        <v>2000</v>
      </c>
      <c r="P14" s="1" t="s">
        <v>99</v>
      </c>
      <c r="Q14" s="47">
        <v>14</v>
      </c>
      <c r="S14" s="47">
        <v>10</v>
      </c>
    </row>
    <row r="15" spans="1:20" x14ac:dyDescent="0.2">
      <c r="A15" s="1" t="s">
        <v>99</v>
      </c>
      <c r="B15" s="1">
        <f>B9*$Q20</f>
        <v>240</v>
      </c>
      <c r="C15" s="1">
        <f t="shared" ref="C15:M15" si="1">C9*$Q20</f>
        <v>320</v>
      </c>
      <c r="D15" s="1">
        <f t="shared" si="1"/>
        <v>160</v>
      </c>
      <c r="E15" s="1">
        <f t="shared" si="1"/>
        <v>80</v>
      </c>
      <c r="F15" s="1">
        <f t="shared" si="1"/>
        <v>160</v>
      </c>
      <c r="G15" s="1">
        <f t="shared" si="1"/>
        <v>80</v>
      </c>
      <c r="H15" s="1">
        <f t="shared" si="1"/>
        <v>320</v>
      </c>
      <c r="I15" s="1">
        <f t="shared" si="1"/>
        <v>160</v>
      </c>
      <c r="J15" s="1">
        <f t="shared" si="1"/>
        <v>80</v>
      </c>
      <c r="K15" s="1">
        <f t="shared" si="1"/>
        <v>320</v>
      </c>
      <c r="L15" s="1">
        <f t="shared" si="1"/>
        <v>240</v>
      </c>
      <c r="M15" s="1">
        <f t="shared" si="1"/>
        <v>320</v>
      </c>
      <c r="P15" s="1" t="s">
        <v>102</v>
      </c>
      <c r="Q15" s="47">
        <v>22</v>
      </c>
      <c r="S15" s="47">
        <v>8</v>
      </c>
    </row>
    <row r="16" spans="1:20" x14ac:dyDescent="0.2">
      <c r="A16" s="48" t="s">
        <v>107</v>
      </c>
      <c r="B16" s="1">
        <f>B14+B15</f>
        <v>2440</v>
      </c>
      <c r="C16" s="1">
        <f t="shared" ref="C16:M16" si="2">C14+C15</f>
        <v>2120</v>
      </c>
      <c r="D16" s="1">
        <f t="shared" si="2"/>
        <v>2360</v>
      </c>
      <c r="E16" s="1">
        <f t="shared" si="2"/>
        <v>2380</v>
      </c>
      <c r="F16" s="1">
        <f t="shared" si="2"/>
        <v>2260</v>
      </c>
      <c r="G16" s="1">
        <f t="shared" si="2"/>
        <v>2180</v>
      </c>
      <c r="H16" s="1">
        <f t="shared" si="2"/>
        <v>2620</v>
      </c>
      <c r="I16" s="1">
        <f t="shared" si="2"/>
        <v>2160</v>
      </c>
      <c r="J16" s="1">
        <f t="shared" si="2"/>
        <v>2180</v>
      </c>
      <c r="K16" s="1">
        <f t="shared" si="2"/>
        <v>2320</v>
      </c>
      <c r="L16" s="1">
        <f t="shared" si="2"/>
        <v>2440</v>
      </c>
      <c r="M16" s="1">
        <f t="shared" si="2"/>
        <v>2320</v>
      </c>
      <c r="P16" s="1" t="s">
        <v>103</v>
      </c>
      <c r="Q16" s="47">
        <v>24</v>
      </c>
      <c r="S16" s="47">
        <v>7</v>
      </c>
    </row>
    <row r="17" spans="1:20" x14ac:dyDescent="0.2">
      <c r="A17" s="54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2"/>
    </row>
    <row r="18" spans="1:20" x14ac:dyDescent="0.2">
      <c r="A18" s="1" t="s">
        <v>100</v>
      </c>
      <c r="B18" s="1">
        <f>B10*$Q21</f>
        <v>770</v>
      </c>
      <c r="C18" s="1">
        <f t="shared" ref="C18:M18" si="3">C10*$Q21</f>
        <v>440</v>
      </c>
      <c r="D18" s="1">
        <f t="shared" si="3"/>
        <v>660</v>
      </c>
      <c r="E18" s="1">
        <f t="shared" si="3"/>
        <v>550</v>
      </c>
      <c r="F18" s="1">
        <f t="shared" si="3"/>
        <v>330</v>
      </c>
      <c r="G18" s="1">
        <f t="shared" si="3"/>
        <v>220</v>
      </c>
      <c r="H18" s="1">
        <f t="shared" si="3"/>
        <v>440</v>
      </c>
      <c r="I18" s="1">
        <f t="shared" si="3"/>
        <v>660</v>
      </c>
      <c r="J18" s="1">
        <f t="shared" si="3"/>
        <v>660</v>
      </c>
      <c r="K18" s="1">
        <f t="shared" si="3"/>
        <v>660</v>
      </c>
      <c r="L18" s="1">
        <f t="shared" si="3"/>
        <v>440</v>
      </c>
      <c r="M18" s="1">
        <f t="shared" si="3"/>
        <v>550</v>
      </c>
      <c r="P18" s="199" t="s">
        <v>106</v>
      </c>
      <c r="Q18" s="199"/>
      <c r="R18" s="38"/>
    </row>
    <row r="19" spans="1:20" x14ac:dyDescent="0.2">
      <c r="A19" s="1" t="s">
        <v>101</v>
      </c>
      <c r="B19" s="1">
        <f>B11*$Q22</f>
        <v>0</v>
      </c>
      <c r="C19" s="1">
        <f t="shared" ref="C19:M19" si="4">C11*$Q22</f>
        <v>360</v>
      </c>
      <c r="D19" s="1">
        <f t="shared" si="4"/>
        <v>90</v>
      </c>
      <c r="E19" s="1">
        <f t="shared" si="4"/>
        <v>180</v>
      </c>
      <c r="F19" s="1">
        <f t="shared" si="4"/>
        <v>360</v>
      </c>
      <c r="G19" s="1">
        <f t="shared" si="4"/>
        <v>450</v>
      </c>
      <c r="H19" s="1">
        <f t="shared" si="4"/>
        <v>0</v>
      </c>
      <c r="I19" s="1">
        <f t="shared" si="4"/>
        <v>270</v>
      </c>
      <c r="J19" s="1">
        <f t="shared" si="4"/>
        <v>270</v>
      </c>
      <c r="K19" s="1">
        <f t="shared" si="4"/>
        <v>180</v>
      </c>
      <c r="L19" s="1">
        <f t="shared" si="4"/>
        <v>180</v>
      </c>
      <c r="M19" s="1">
        <f t="shared" si="4"/>
        <v>180</v>
      </c>
      <c r="P19" s="48" t="s">
        <v>98</v>
      </c>
      <c r="Q19" s="1">
        <v>100</v>
      </c>
    </row>
    <row r="20" spans="1:20" x14ac:dyDescent="0.2">
      <c r="A20" s="48" t="s">
        <v>108</v>
      </c>
      <c r="B20" s="1">
        <f>B18+B19</f>
        <v>770</v>
      </c>
      <c r="C20" s="1">
        <f t="shared" ref="C20:M20" si="5">C18+C19</f>
        <v>800</v>
      </c>
      <c r="D20" s="1">
        <f t="shared" si="5"/>
        <v>750</v>
      </c>
      <c r="E20" s="1">
        <f t="shared" si="5"/>
        <v>730</v>
      </c>
      <c r="F20" s="1">
        <f t="shared" si="5"/>
        <v>690</v>
      </c>
      <c r="G20" s="1">
        <f t="shared" si="5"/>
        <v>670</v>
      </c>
      <c r="H20" s="1">
        <f t="shared" si="5"/>
        <v>440</v>
      </c>
      <c r="I20" s="1">
        <f t="shared" si="5"/>
        <v>930</v>
      </c>
      <c r="J20" s="1">
        <f t="shared" si="5"/>
        <v>930</v>
      </c>
      <c r="K20" s="1">
        <f t="shared" si="5"/>
        <v>840</v>
      </c>
      <c r="L20" s="1">
        <f t="shared" si="5"/>
        <v>620</v>
      </c>
      <c r="M20" s="1">
        <f t="shared" si="5"/>
        <v>730</v>
      </c>
      <c r="O20" s="27"/>
      <c r="P20" s="49" t="s">
        <v>99</v>
      </c>
      <c r="Q20" s="1">
        <v>80</v>
      </c>
    </row>
    <row r="21" spans="1:20" x14ac:dyDescent="0.2">
      <c r="P21" s="48" t="s">
        <v>100</v>
      </c>
      <c r="Q21" s="1">
        <v>110</v>
      </c>
    </row>
    <row r="22" spans="1:20" x14ac:dyDescent="0.2">
      <c r="B22">
        <f>B8*$Q3+B9*$R3+B10*$S3+B11*$T3</f>
        <v>121</v>
      </c>
      <c r="C22">
        <f t="shared" ref="C22:M22" si="6">C8*$Q3+C9*$R3+C10*$S3+C11*$T3</f>
        <v>120</v>
      </c>
      <c r="D22">
        <f t="shared" si="6"/>
        <v>119</v>
      </c>
      <c r="E22">
        <f t="shared" si="6"/>
        <v>121</v>
      </c>
      <c r="F22">
        <f t="shared" si="6"/>
        <v>121</v>
      </c>
      <c r="G22">
        <f t="shared" si="6"/>
        <v>119</v>
      </c>
      <c r="H22">
        <f t="shared" si="6"/>
        <v>120</v>
      </c>
      <c r="I22">
        <f t="shared" si="6"/>
        <v>121</v>
      </c>
      <c r="J22">
        <f t="shared" si="6"/>
        <v>121</v>
      </c>
      <c r="K22">
        <f t="shared" si="6"/>
        <v>124</v>
      </c>
      <c r="L22">
        <f t="shared" si="6"/>
        <v>122</v>
      </c>
      <c r="M22">
        <f t="shared" si="6"/>
        <v>121</v>
      </c>
      <c r="P22" s="48" t="s">
        <v>101</v>
      </c>
      <c r="Q22" s="1">
        <v>90</v>
      </c>
    </row>
    <row r="24" spans="1:20" x14ac:dyDescent="0.2">
      <c r="P24" s="48" t="s">
        <v>110</v>
      </c>
    </row>
    <row r="25" spans="1:20" x14ac:dyDescent="0.2">
      <c r="A25" s="192" t="s">
        <v>127</v>
      </c>
      <c r="B25" s="201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2"/>
      <c r="P25" s="1">
        <v>0.2</v>
      </c>
    </row>
    <row r="26" spans="1:20" x14ac:dyDescent="0.2">
      <c r="A26" s="1"/>
      <c r="B26" s="1" t="s">
        <v>3</v>
      </c>
      <c r="C26" s="1" t="s">
        <v>4</v>
      </c>
      <c r="D26" s="1" t="s">
        <v>5</v>
      </c>
      <c r="E26" s="1" t="s">
        <v>6</v>
      </c>
      <c r="F26" s="1" t="s">
        <v>7</v>
      </c>
      <c r="G26" s="1" t="s">
        <v>8</v>
      </c>
      <c r="H26" s="1" t="s">
        <v>9</v>
      </c>
      <c r="I26" s="1" t="s">
        <v>10</v>
      </c>
      <c r="J26" s="1" t="s">
        <v>96</v>
      </c>
      <c r="K26" s="1" t="s">
        <v>12</v>
      </c>
      <c r="L26" s="1" t="s">
        <v>13</v>
      </c>
      <c r="M26" s="1" t="s">
        <v>14</v>
      </c>
    </row>
    <row r="27" spans="1:20" x14ac:dyDescent="0.2">
      <c r="A27" s="48">
        <f>B56*$P$28</f>
        <v>2440</v>
      </c>
      <c r="B27" s="1">
        <f>B42+B56-A27</f>
        <v>24080</v>
      </c>
      <c r="C27" s="1">
        <f>C56+C42-B42</f>
        <v>21440</v>
      </c>
      <c r="D27" s="1">
        <f t="shared" ref="D27:L27" si="7">D56+D42-C42</f>
        <v>23620</v>
      </c>
      <c r="E27" s="1">
        <f t="shared" si="7"/>
        <v>23680</v>
      </c>
      <c r="F27" s="1">
        <f t="shared" si="7"/>
        <v>22520</v>
      </c>
      <c r="G27" s="1">
        <f t="shared" si="7"/>
        <v>22240</v>
      </c>
      <c r="H27" s="1">
        <f t="shared" si="7"/>
        <v>25740</v>
      </c>
      <c r="I27" s="1">
        <f t="shared" si="7"/>
        <v>21620</v>
      </c>
      <c r="J27" s="1">
        <f t="shared" si="7"/>
        <v>21940</v>
      </c>
      <c r="K27" s="1">
        <f t="shared" si="7"/>
        <v>23320</v>
      </c>
      <c r="L27" s="1">
        <f t="shared" si="7"/>
        <v>24280</v>
      </c>
      <c r="M27" s="3">
        <f>M56+N42-M42</f>
        <v>22873.991600000001</v>
      </c>
      <c r="P27" s="48" t="s">
        <v>111</v>
      </c>
    </row>
    <row r="28" spans="1:20" x14ac:dyDescent="0.2">
      <c r="A28" s="48">
        <f t="shared" ref="A28:A30" si="8">B57*$P$28</f>
        <v>3416</v>
      </c>
      <c r="B28" s="1">
        <f>B43+B57-A28</f>
        <v>33712</v>
      </c>
      <c r="C28" s="1">
        <f>C57+C43-B43</f>
        <v>30016</v>
      </c>
      <c r="D28" s="1">
        <f t="shared" ref="D28:L28" si="9">D57+D43-C43</f>
        <v>33068</v>
      </c>
      <c r="E28" s="1">
        <f t="shared" si="9"/>
        <v>33152</v>
      </c>
      <c r="F28" s="1">
        <f t="shared" si="9"/>
        <v>31528</v>
      </c>
      <c r="G28" s="1">
        <f t="shared" si="9"/>
        <v>31136</v>
      </c>
      <c r="H28" s="1">
        <f t="shared" si="9"/>
        <v>36036</v>
      </c>
      <c r="I28" s="1">
        <f t="shared" si="9"/>
        <v>30268</v>
      </c>
      <c r="J28" s="1">
        <f t="shared" si="9"/>
        <v>30716</v>
      </c>
      <c r="K28" s="1">
        <f t="shared" si="9"/>
        <v>32648</v>
      </c>
      <c r="L28" s="1">
        <f t="shared" si="9"/>
        <v>33992</v>
      </c>
      <c r="M28" s="3">
        <f t="shared" ref="M28:M30" si="10">M57+N43-M43</f>
        <v>32023.188240000003</v>
      </c>
      <c r="P28" s="1">
        <v>0.1</v>
      </c>
    </row>
    <row r="29" spans="1:20" x14ac:dyDescent="0.2">
      <c r="A29" s="48">
        <f t="shared" si="8"/>
        <v>1694</v>
      </c>
      <c r="B29" s="1">
        <f>B44+B58-A29</f>
        <v>17006</v>
      </c>
      <c r="C29" s="1">
        <f>C58+C44-B44</f>
        <v>17490</v>
      </c>
      <c r="D29" s="1">
        <f t="shared" ref="D29:L29" si="11">D58+D44-C44</f>
        <v>16456</v>
      </c>
      <c r="E29" s="1">
        <f t="shared" si="11"/>
        <v>15972</v>
      </c>
      <c r="F29" s="1">
        <f t="shared" si="11"/>
        <v>15136</v>
      </c>
      <c r="G29" s="1">
        <f t="shared" si="11"/>
        <v>14234</v>
      </c>
      <c r="H29" s="1">
        <f t="shared" si="11"/>
        <v>10758</v>
      </c>
      <c r="I29" s="1">
        <f t="shared" si="11"/>
        <v>20460</v>
      </c>
      <c r="J29" s="1">
        <f t="shared" si="11"/>
        <v>20262</v>
      </c>
      <c r="K29" s="1">
        <f t="shared" si="11"/>
        <v>17996</v>
      </c>
      <c r="L29" s="1">
        <f t="shared" si="11"/>
        <v>13882</v>
      </c>
      <c r="M29" s="3">
        <f t="shared" si="10"/>
        <v>15804.89428</v>
      </c>
      <c r="P29" s="11"/>
    </row>
    <row r="30" spans="1:20" x14ac:dyDescent="0.2">
      <c r="A30" s="48">
        <f t="shared" si="8"/>
        <v>1848</v>
      </c>
      <c r="B30" s="1">
        <f>B45+B59-A30</f>
        <v>18552</v>
      </c>
      <c r="C30" s="1">
        <f>C59+C45-B45</f>
        <v>19080</v>
      </c>
      <c r="D30" s="1">
        <f t="shared" ref="D30:L30" si="12">D59+D45-C45</f>
        <v>17952</v>
      </c>
      <c r="E30" s="1">
        <f t="shared" si="12"/>
        <v>17424</v>
      </c>
      <c r="F30" s="1">
        <f t="shared" si="12"/>
        <v>16512</v>
      </c>
      <c r="G30" s="1">
        <f t="shared" si="12"/>
        <v>15528</v>
      </c>
      <c r="H30" s="1">
        <f t="shared" si="12"/>
        <v>11736</v>
      </c>
      <c r="I30" s="1">
        <f t="shared" si="12"/>
        <v>22320</v>
      </c>
      <c r="J30" s="1">
        <f t="shared" si="12"/>
        <v>22104</v>
      </c>
      <c r="K30" s="1">
        <f t="shared" si="12"/>
        <v>19632</v>
      </c>
      <c r="L30" s="1">
        <f t="shared" si="12"/>
        <v>15144</v>
      </c>
      <c r="M30" s="3">
        <f t="shared" si="10"/>
        <v>17241.79376</v>
      </c>
      <c r="P30" s="57" t="s">
        <v>214</v>
      </c>
      <c r="Q30" s="57">
        <v>1</v>
      </c>
      <c r="R30" s="57">
        <v>2</v>
      </c>
      <c r="S30" s="57">
        <v>3</v>
      </c>
      <c r="T30" s="57">
        <v>4</v>
      </c>
    </row>
    <row r="31" spans="1:20" x14ac:dyDescent="0.2">
      <c r="A31" s="27"/>
      <c r="P31" s="57" t="s">
        <v>19</v>
      </c>
      <c r="Q31" s="57">
        <f>Q13*S13*Q19+Q14*S14*Q19</f>
        <v>23000</v>
      </c>
      <c r="R31" s="57">
        <f>Q13*S13*Q20+Q14*S14*Q20</f>
        <v>18400</v>
      </c>
      <c r="S31" s="57">
        <f>Q15*S15*Q21+Q16*S16*Q21</f>
        <v>37840</v>
      </c>
      <c r="T31" s="57">
        <f>Q15*S15*Q22+Q16*S16*Q22</f>
        <v>30960</v>
      </c>
    </row>
    <row r="32" spans="1:20" x14ac:dyDescent="0.2">
      <c r="A32" s="198" t="s">
        <v>201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P32" s="57" t="s">
        <v>21</v>
      </c>
      <c r="Q32" s="57">
        <f>Q3*Q4*Q9*1.8</f>
        <v>2136.4363636363632</v>
      </c>
      <c r="R32" s="57">
        <f>R3*R4*Q9*1.8</f>
        <v>1759.4181818181817</v>
      </c>
      <c r="S32" s="57">
        <f>S3*S4*Q9*1.8</f>
        <v>1979.3454545454545</v>
      </c>
      <c r="T32" s="57">
        <f>T3*T4*Q9*1.8</f>
        <v>2434.9090909090905</v>
      </c>
    </row>
    <row r="33" spans="1:20" x14ac:dyDescent="0.2">
      <c r="A33" s="48"/>
      <c r="B33" s="56" t="s">
        <v>3</v>
      </c>
      <c r="C33" s="56" t="s">
        <v>4</v>
      </c>
      <c r="D33" s="56" t="s">
        <v>5</v>
      </c>
      <c r="E33" s="56" t="s">
        <v>6</v>
      </c>
      <c r="F33" s="56" t="s">
        <v>7</v>
      </c>
      <c r="G33" s="56" t="s">
        <v>8</v>
      </c>
      <c r="H33" s="56" t="s">
        <v>9</v>
      </c>
      <c r="I33" s="56" t="s">
        <v>10</v>
      </c>
      <c r="J33" s="56" t="s">
        <v>96</v>
      </c>
      <c r="K33" s="56" t="s">
        <v>12</v>
      </c>
      <c r="L33" s="56" t="s">
        <v>13</v>
      </c>
      <c r="M33" s="56" t="s">
        <v>14</v>
      </c>
      <c r="N33" s="58" t="s">
        <v>125</v>
      </c>
      <c r="P33" s="57"/>
      <c r="Q33" s="57">
        <f>Q31+Q32</f>
        <v>25136.436363636363</v>
      </c>
      <c r="R33" s="57">
        <f>R31+R32</f>
        <v>20159.418181818182</v>
      </c>
      <c r="S33" s="57">
        <f>S31+S32</f>
        <v>39819.345454545452</v>
      </c>
      <c r="T33" s="57">
        <f>T31+T32</f>
        <v>33394.909090909088</v>
      </c>
    </row>
    <row r="34" spans="1:20" x14ac:dyDescent="0.2">
      <c r="A34" s="48" t="s">
        <v>98</v>
      </c>
      <c r="B34" s="56">
        <f t="shared" ref="B34:M34" si="13">(B27*$S$13)/1000</f>
        <v>216.72</v>
      </c>
      <c r="C34" s="56">
        <f t="shared" si="13"/>
        <v>192.96</v>
      </c>
      <c r="D34" s="56">
        <f t="shared" si="13"/>
        <v>212.58</v>
      </c>
      <c r="E34" s="56">
        <f t="shared" si="13"/>
        <v>213.12</v>
      </c>
      <c r="F34" s="56">
        <f t="shared" si="13"/>
        <v>202.68</v>
      </c>
      <c r="G34" s="56">
        <f t="shared" si="13"/>
        <v>200.16</v>
      </c>
      <c r="H34" s="56">
        <f t="shared" si="13"/>
        <v>231.66</v>
      </c>
      <c r="I34" s="56">
        <f t="shared" si="13"/>
        <v>194.58</v>
      </c>
      <c r="J34" s="56">
        <f t="shared" si="13"/>
        <v>197.46</v>
      </c>
      <c r="K34" s="56">
        <f t="shared" si="13"/>
        <v>209.88</v>
      </c>
      <c r="L34" s="56">
        <f t="shared" si="13"/>
        <v>218.52</v>
      </c>
      <c r="M34" s="3">
        <f t="shared" si="13"/>
        <v>205.86592440000001</v>
      </c>
      <c r="N34" s="64">
        <f>SUM(B34:M34)</f>
        <v>2496.1859244000002</v>
      </c>
      <c r="P34" s="11"/>
    </row>
    <row r="35" spans="1:20" x14ac:dyDescent="0.2">
      <c r="A35" s="48" t="s">
        <v>99</v>
      </c>
      <c r="B35" s="56">
        <f>(B28*$S14)/1000</f>
        <v>337.12</v>
      </c>
      <c r="C35" s="56">
        <f t="shared" ref="C35:M35" si="14">(C28*$S$14)/1000</f>
        <v>300.16000000000003</v>
      </c>
      <c r="D35" s="56">
        <f t="shared" si="14"/>
        <v>330.68</v>
      </c>
      <c r="E35" s="56">
        <f t="shared" si="14"/>
        <v>331.52</v>
      </c>
      <c r="F35" s="56">
        <f t="shared" si="14"/>
        <v>315.27999999999997</v>
      </c>
      <c r="G35" s="56">
        <f t="shared" si="14"/>
        <v>311.36</v>
      </c>
      <c r="H35" s="56">
        <f t="shared" si="14"/>
        <v>360.36</v>
      </c>
      <c r="I35" s="56">
        <f t="shared" si="14"/>
        <v>302.68</v>
      </c>
      <c r="J35" s="56">
        <f t="shared" si="14"/>
        <v>307.16000000000003</v>
      </c>
      <c r="K35" s="56">
        <f t="shared" si="14"/>
        <v>326.48</v>
      </c>
      <c r="L35" s="56">
        <f t="shared" si="14"/>
        <v>339.92</v>
      </c>
      <c r="M35" s="3">
        <f t="shared" si="14"/>
        <v>320.23188240000002</v>
      </c>
      <c r="N35" s="64">
        <f t="shared" ref="N35:N37" si="15">SUM(B35:M35)</f>
        <v>3882.9518823999997</v>
      </c>
      <c r="P35" s="11"/>
    </row>
    <row r="36" spans="1:20" x14ac:dyDescent="0.2">
      <c r="A36" s="48" t="s">
        <v>102</v>
      </c>
      <c r="B36" s="56">
        <f>(B29*$S15)/1000</f>
        <v>136.048</v>
      </c>
      <c r="C36" s="56">
        <f t="shared" ref="C36:M36" si="16">(C29*$S15)/1000</f>
        <v>139.91999999999999</v>
      </c>
      <c r="D36" s="56">
        <f t="shared" si="16"/>
        <v>131.648</v>
      </c>
      <c r="E36" s="56">
        <f t="shared" si="16"/>
        <v>127.776</v>
      </c>
      <c r="F36" s="56">
        <f t="shared" si="16"/>
        <v>121.08799999999999</v>
      </c>
      <c r="G36" s="56">
        <f t="shared" si="16"/>
        <v>113.872</v>
      </c>
      <c r="H36" s="56">
        <f t="shared" si="16"/>
        <v>86.063999999999993</v>
      </c>
      <c r="I36" s="56">
        <f t="shared" si="16"/>
        <v>163.68</v>
      </c>
      <c r="J36" s="56">
        <f t="shared" si="16"/>
        <v>162.096</v>
      </c>
      <c r="K36" s="56">
        <f t="shared" si="16"/>
        <v>143.96799999999999</v>
      </c>
      <c r="L36" s="56">
        <f t="shared" si="16"/>
        <v>111.056</v>
      </c>
      <c r="M36" s="3">
        <f t="shared" si="16"/>
        <v>126.43915424000001</v>
      </c>
      <c r="N36" s="64">
        <f t="shared" si="15"/>
        <v>1563.65515424</v>
      </c>
      <c r="P36" s="11"/>
    </row>
    <row r="37" spans="1:20" x14ac:dyDescent="0.2">
      <c r="A37" s="48" t="s">
        <v>103</v>
      </c>
      <c r="B37" s="56">
        <f>(B30*$S16)/1000</f>
        <v>129.864</v>
      </c>
      <c r="C37" s="56">
        <f t="shared" ref="C37:M37" si="17">(C30*$S16)/1000</f>
        <v>133.56</v>
      </c>
      <c r="D37" s="56">
        <f t="shared" si="17"/>
        <v>125.664</v>
      </c>
      <c r="E37" s="56">
        <f t="shared" si="17"/>
        <v>121.968</v>
      </c>
      <c r="F37" s="56">
        <f t="shared" si="17"/>
        <v>115.584</v>
      </c>
      <c r="G37" s="56">
        <f t="shared" si="17"/>
        <v>108.696</v>
      </c>
      <c r="H37" s="56">
        <f t="shared" si="17"/>
        <v>82.152000000000001</v>
      </c>
      <c r="I37" s="56">
        <f t="shared" si="17"/>
        <v>156.24</v>
      </c>
      <c r="J37" s="56">
        <f t="shared" si="17"/>
        <v>154.72800000000001</v>
      </c>
      <c r="K37" s="56">
        <f t="shared" si="17"/>
        <v>137.42400000000001</v>
      </c>
      <c r="L37" s="56">
        <f t="shared" si="17"/>
        <v>106.008</v>
      </c>
      <c r="M37" s="3">
        <f t="shared" si="17"/>
        <v>120.69255632000001</v>
      </c>
      <c r="N37" s="64">
        <f t="shared" si="15"/>
        <v>1492.5805563200001</v>
      </c>
      <c r="P37" s="11"/>
    </row>
    <row r="38" spans="1:20" x14ac:dyDescent="0.2">
      <c r="A38" s="48" t="s">
        <v>125</v>
      </c>
      <c r="B38" s="56">
        <f>SUM(B34:B37)</f>
        <v>819.75200000000007</v>
      </c>
      <c r="C38" s="56">
        <f t="shared" ref="C38:M38" si="18">SUM(C34:C37)</f>
        <v>766.59999999999991</v>
      </c>
      <c r="D38" s="56">
        <f t="shared" si="18"/>
        <v>800.572</v>
      </c>
      <c r="E38" s="56">
        <f t="shared" si="18"/>
        <v>794.3839999999999</v>
      </c>
      <c r="F38" s="56">
        <f t="shared" si="18"/>
        <v>754.63200000000006</v>
      </c>
      <c r="G38" s="56">
        <f t="shared" si="18"/>
        <v>734.08799999999997</v>
      </c>
      <c r="H38" s="56">
        <f t="shared" si="18"/>
        <v>760.23599999999999</v>
      </c>
      <c r="I38" s="56">
        <f t="shared" si="18"/>
        <v>817.18000000000006</v>
      </c>
      <c r="J38" s="56">
        <f t="shared" si="18"/>
        <v>821.44399999999996</v>
      </c>
      <c r="K38" s="56">
        <f t="shared" si="18"/>
        <v>817.75199999999995</v>
      </c>
      <c r="L38" s="56">
        <f t="shared" si="18"/>
        <v>775.50400000000013</v>
      </c>
      <c r="M38" s="3">
        <f t="shared" si="18"/>
        <v>773.22951736000005</v>
      </c>
      <c r="N38" s="64">
        <f>SUM(B38:M38)</f>
        <v>9435.3735173600016</v>
      </c>
      <c r="P38" s="11"/>
    </row>
    <row r="39" spans="1:20" x14ac:dyDescent="0.2">
      <c r="A39" s="68"/>
      <c r="P39" s="11"/>
    </row>
    <row r="40" spans="1:20" x14ac:dyDescent="0.2">
      <c r="A40" s="192" t="s">
        <v>171</v>
      </c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2"/>
      <c r="P40" s="11"/>
    </row>
    <row r="41" spans="1:20" x14ac:dyDescent="0.2">
      <c r="A41" s="1"/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96</v>
      </c>
      <c r="K41" s="1" t="s">
        <v>12</v>
      </c>
      <c r="L41" s="1" t="s">
        <v>13</v>
      </c>
      <c r="M41" s="1" t="s">
        <v>14</v>
      </c>
      <c r="N41" s="63" t="s">
        <v>173</v>
      </c>
      <c r="P41" s="11"/>
    </row>
    <row r="42" spans="1:20" x14ac:dyDescent="0.2">
      <c r="A42" s="48" t="s">
        <v>98</v>
      </c>
      <c r="B42" s="1">
        <f>C56*0.1</f>
        <v>2120</v>
      </c>
      <c r="C42" s="1">
        <f t="shared" ref="C42:L42" si="19">D56*0.1</f>
        <v>2360</v>
      </c>
      <c r="D42" s="1">
        <f t="shared" si="19"/>
        <v>2380</v>
      </c>
      <c r="E42" s="1">
        <f t="shared" si="19"/>
        <v>2260</v>
      </c>
      <c r="F42" s="1">
        <f t="shared" si="19"/>
        <v>2180</v>
      </c>
      <c r="G42" s="1">
        <f t="shared" si="19"/>
        <v>2620</v>
      </c>
      <c r="H42" s="1">
        <f t="shared" si="19"/>
        <v>2160</v>
      </c>
      <c r="I42" s="1">
        <f t="shared" si="19"/>
        <v>2180</v>
      </c>
      <c r="J42" s="1">
        <f t="shared" si="19"/>
        <v>2320</v>
      </c>
      <c r="K42" s="1">
        <f t="shared" si="19"/>
        <v>2440</v>
      </c>
      <c r="L42" s="1">
        <f t="shared" si="19"/>
        <v>2320</v>
      </c>
      <c r="M42" s="1">
        <f>ROUNDUP(N56*P$28,0)</f>
        <v>2489</v>
      </c>
      <c r="N42" s="65">
        <f>$Q$53*Q13*$P$28</f>
        <v>2162.9915999999998</v>
      </c>
      <c r="P42" s="11"/>
    </row>
    <row r="43" spans="1:20" x14ac:dyDescent="0.2">
      <c r="A43" s="48" t="s">
        <v>99</v>
      </c>
      <c r="B43" s="1">
        <f>C57*0.1</f>
        <v>2968</v>
      </c>
      <c r="C43" s="1">
        <f t="shared" ref="C43:L43" si="20">D57*0.1</f>
        <v>3304</v>
      </c>
      <c r="D43" s="1">
        <f t="shared" si="20"/>
        <v>3332</v>
      </c>
      <c r="E43" s="1">
        <f t="shared" si="20"/>
        <v>3164</v>
      </c>
      <c r="F43" s="1">
        <f t="shared" si="20"/>
        <v>3052</v>
      </c>
      <c r="G43" s="1">
        <f t="shared" si="20"/>
        <v>3668</v>
      </c>
      <c r="H43" s="1">
        <f t="shared" si="20"/>
        <v>3024</v>
      </c>
      <c r="I43" s="1">
        <f t="shared" si="20"/>
        <v>3052</v>
      </c>
      <c r="J43" s="1">
        <f t="shared" si="20"/>
        <v>3248</v>
      </c>
      <c r="K43" s="1">
        <f t="shared" si="20"/>
        <v>3416</v>
      </c>
      <c r="L43" s="1">
        <f t="shared" si="20"/>
        <v>3248</v>
      </c>
      <c r="M43" s="56">
        <f t="shared" ref="M43:M45" si="21">ROUNDUP(N57*P$28,0)</f>
        <v>3485</v>
      </c>
      <c r="N43" s="65">
        <f t="shared" ref="N43" si="22">$Q$53*Q14*$P$28</f>
        <v>3028.18824</v>
      </c>
      <c r="P43" s="11"/>
    </row>
    <row r="44" spans="1:20" x14ac:dyDescent="0.2">
      <c r="A44" s="48" t="s">
        <v>102</v>
      </c>
      <c r="B44" s="1">
        <f>C58*0.1</f>
        <v>1760</v>
      </c>
      <c r="C44" s="1">
        <f t="shared" ref="C44:K44" si="23">D58*0.1</f>
        <v>1650</v>
      </c>
      <c r="D44" s="1">
        <f t="shared" si="23"/>
        <v>1606</v>
      </c>
      <c r="E44" s="1">
        <f t="shared" si="23"/>
        <v>1518</v>
      </c>
      <c r="F44" s="1">
        <f t="shared" si="23"/>
        <v>1474</v>
      </c>
      <c r="G44" s="1">
        <f t="shared" si="23"/>
        <v>968</v>
      </c>
      <c r="H44" s="1">
        <f t="shared" si="23"/>
        <v>2046</v>
      </c>
      <c r="I44" s="1">
        <f t="shared" si="23"/>
        <v>2046</v>
      </c>
      <c r="J44" s="1">
        <f t="shared" si="23"/>
        <v>1848</v>
      </c>
      <c r="K44" s="1">
        <f t="shared" si="23"/>
        <v>1364</v>
      </c>
      <c r="L44" s="1">
        <f>M58*0.1</f>
        <v>1606</v>
      </c>
      <c r="M44" s="56">
        <f t="shared" si="21"/>
        <v>1728</v>
      </c>
      <c r="N44" s="65">
        <f>$Q$54*Q15*$P$28</f>
        <v>1472.89428</v>
      </c>
      <c r="P44" s="11"/>
    </row>
    <row r="45" spans="1:20" x14ac:dyDescent="0.2">
      <c r="A45" s="48" t="s">
        <v>103</v>
      </c>
      <c r="B45" s="1">
        <f>C59*0.1</f>
        <v>1920</v>
      </c>
      <c r="C45" s="1">
        <f t="shared" ref="C45:L45" si="24">D59*0.1</f>
        <v>1800</v>
      </c>
      <c r="D45" s="1">
        <f t="shared" si="24"/>
        <v>1752</v>
      </c>
      <c r="E45" s="1">
        <f t="shared" si="24"/>
        <v>1656</v>
      </c>
      <c r="F45" s="1">
        <f t="shared" si="24"/>
        <v>1608</v>
      </c>
      <c r="G45" s="1">
        <f t="shared" si="24"/>
        <v>1056</v>
      </c>
      <c r="H45" s="1">
        <f t="shared" si="24"/>
        <v>2232</v>
      </c>
      <c r="I45" s="1">
        <f t="shared" si="24"/>
        <v>2232</v>
      </c>
      <c r="J45" s="1">
        <f t="shared" si="24"/>
        <v>2016</v>
      </c>
      <c r="K45" s="1">
        <f t="shared" si="24"/>
        <v>1488</v>
      </c>
      <c r="L45" s="1">
        <f t="shared" si="24"/>
        <v>1752</v>
      </c>
      <c r="M45" s="56">
        <f t="shared" si="21"/>
        <v>1885</v>
      </c>
      <c r="N45" s="65">
        <f>$Q$54*Q16*$P$28</f>
        <v>1606.79376</v>
      </c>
    </row>
    <row r="46" spans="1:20" x14ac:dyDescent="0.2">
      <c r="A46" s="4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1:20" x14ac:dyDescent="0.2">
      <c r="A47" s="198" t="s">
        <v>172</v>
      </c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</row>
    <row r="48" spans="1:20" x14ac:dyDescent="0.2">
      <c r="A48" s="48"/>
      <c r="B48" s="56" t="s">
        <v>3</v>
      </c>
      <c r="C48" s="56" t="s">
        <v>4</v>
      </c>
      <c r="D48" s="56" t="s">
        <v>5</v>
      </c>
      <c r="E48" s="56" t="s">
        <v>6</v>
      </c>
      <c r="F48" s="56" t="s">
        <v>7</v>
      </c>
      <c r="G48" s="56" t="s">
        <v>8</v>
      </c>
      <c r="H48" s="56" t="s">
        <v>9</v>
      </c>
      <c r="I48" s="56" t="s">
        <v>10</v>
      </c>
      <c r="J48" s="56" t="s">
        <v>96</v>
      </c>
      <c r="K48" s="56" t="s">
        <v>12</v>
      </c>
      <c r="L48" s="56" t="s">
        <v>13</v>
      </c>
      <c r="M48" s="56" t="s">
        <v>14</v>
      </c>
    </row>
    <row r="49" spans="1:19" x14ac:dyDescent="0.2">
      <c r="A49" s="48" t="s">
        <v>98</v>
      </c>
      <c r="B49" s="56">
        <f>A27+B27-$Q13*B16</f>
        <v>2120</v>
      </c>
      <c r="C49" s="56">
        <f>B49+C27-C$16*$Q13</f>
        <v>2360</v>
      </c>
      <c r="D49" s="56">
        <f>C49+D27-D16*$Q13</f>
        <v>2380</v>
      </c>
      <c r="E49" s="56">
        <f>D49+E27-E16*$Q13</f>
        <v>2260</v>
      </c>
      <c r="F49" s="56">
        <f>E49+F27-F16*$Q13</f>
        <v>2180</v>
      </c>
      <c r="G49" s="56">
        <f>F49+G27-G16*$Q13</f>
        <v>2620</v>
      </c>
      <c r="H49" s="56">
        <f t="shared" ref="H49:K49" si="25">G49+H27-H16*$Q13</f>
        <v>2160</v>
      </c>
      <c r="I49" s="56">
        <f t="shared" si="25"/>
        <v>2180</v>
      </c>
      <c r="J49" s="56">
        <f t="shared" si="25"/>
        <v>2320</v>
      </c>
      <c r="K49" s="56">
        <f t="shared" si="25"/>
        <v>2440</v>
      </c>
      <c r="L49" s="56">
        <f>K49+L27-L16*$Q13</f>
        <v>2320</v>
      </c>
      <c r="M49" s="3">
        <f>ROUNDUP(L49+M27-M$16*Q13,0)</f>
        <v>1994</v>
      </c>
    </row>
    <row r="50" spans="1:19" x14ac:dyDescent="0.2">
      <c r="A50" s="48" t="s">
        <v>99</v>
      </c>
      <c r="B50" s="71">
        <f>A28+B28-$Q14*B16</f>
        <v>2968</v>
      </c>
      <c r="C50" s="56">
        <f>B50+C28-C$16*$Q14</f>
        <v>3304</v>
      </c>
      <c r="D50" s="56">
        <f t="shared" ref="D50:L50" si="26">C50+D28-D$16*$Q14</f>
        <v>3332</v>
      </c>
      <c r="E50" s="56">
        <f t="shared" si="26"/>
        <v>3164</v>
      </c>
      <c r="F50" s="56">
        <f t="shared" si="26"/>
        <v>3052</v>
      </c>
      <c r="G50" s="56">
        <f t="shared" si="26"/>
        <v>3668</v>
      </c>
      <c r="H50" s="56">
        <f t="shared" si="26"/>
        <v>3024</v>
      </c>
      <c r="I50" s="56">
        <f t="shared" si="26"/>
        <v>3052</v>
      </c>
      <c r="J50" s="56">
        <f t="shared" si="26"/>
        <v>3248</v>
      </c>
      <c r="K50" s="56">
        <f t="shared" si="26"/>
        <v>3416</v>
      </c>
      <c r="L50" s="56">
        <f t="shared" si="26"/>
        <v>3248</v>
      </c>
      <c r="M50" s="3">
        <f>ROUNDUP(L50+M28-M$16*Q14,0)</f>
        <v>2792</v>
      </c>
    </row>
    <row r="51" spans="1:19" x14ac:dyDescent="0.2">
      <c r="A51" s="48" t="s">
        <v>102</v>
      </c>
      <c r="B51" s="71">
        <f>A29+B29-$Q15*B20</f>
        <v>1760</v>
      </c>
      <c r="C51" s="56">
        <f>B51+C29-C$20*$Q15</f>
        <v>1650</v>
      </c>
      <c r="D51" s="56">
        <f>C51+D29-D20*$Q15</f>
        <v>1606</v>
      </c>
      <c r="E51" s="56">
        <f>D51+E29-E20*$Q15</f>
        <v>1518</v>
      </c>
      <c r="F51" s="56">
        <f t="shared" ref="F51:L51" si="27">E51+F29-F20*$Q15</f>
        <v>1474</v>
      </c>
      <c r="G51" s="56">
        <f t="shared" si="27"/>
        <v>968</v>
      </c>
      <c r="H51" s="56">
        <f t="shared" si="27"/>
        <v>2046</v>
      </c>
      <c r="I51" s="56">
        <f t="shared" si="27"/>
        <v>2046</v>
      </c>
      <c r="J51" s="56">
        <f t="shared" si="27"/>
        <v>1848</v>
      </c>
      <c r="K51" s="56">
        <f t="shared" si="27"/>
        <v>1364</v>
      </c>
      <c r="L51" s="56">
        <f t="shared" si="27"/>
        <v>1606</v>
      </c>
      <c r="M51" s="3">
        <f>ROUNDUP(L51+M29-M$20*Q15,0)</f>
        <v>1351</v>
      </c>
    </row>
    <row r="52" spans="1:19" x14ac:dyDescent="0.2">
      <c r="A52" s="48" t="s">
        <v>103</v>
      </c>
      <c r="B52" s="71">
        <f>A30+B30-Q16*B20</f>
        <v>1920</v>
      </c>
      <c r="C52" s="56">
        <f>B52+C30-C$20*$Q16</f>
        <v>1800</v>
      </c>
      <c r="D52" s="56">
        <f t="shared" ref="D52:L52" si="28">C52+D30-D$20*$Q16</f>
        <v>1752</v>
      </c>
      <c r="E52" s="56">
        <f t="shared" si="28"/>
        <v>1656</v>
      </c>
      <c r="F52" s="56">
        <f t="shared" si="28"/>
        <v>1608</v>
      </c>
      <c r="G52" s="56">
        <f t="shared" si="28"/>
        <v>1056</v>
      </c>
      <c r="H52" s="56">
        <f t="shared" si="28"/>
        <v>2232</v>
      </c>
      <c r="I52" s="56">
        <f t="shared" si="28"/>
        <v>2232</v>
      </c>
      <c r="J52" s="56">
        <f t="shared" si="28"/>
        <v>2016</v>
      </c>
      <c r="K52" s="56">
        <f t="shared" si="28"/>
        <v>1488</v>
      </c>
      <c r="L52" s="56">
        <f t="shared" si="28"/>
        <v>1752</v>
      </c>
      <c r="M52" s="3">
        <f>ROUNDUP(L52+M30-M$20*Q16,0)</f>
        <v>1474</v>
      </c>
      <c r="P52" s="48" t="s">
        <v>112</v>
      </c>
      <c r="Q52" s="27" t="s">
        <v>174</v>
      </c>
    </row>
    <row r="53" spans="1:19" x14ac:dyDescent="0.2">
      <c r="P53" s="1">
        <v>2061</v>
      </c>
      <c r="Q53" s="3">
        <f>2120.58*1.02</f>
        <v>2162.9915999999998</v>
      </c>
    </row>
    <row r="54" spans="1:19" x14ac:dyDescent="0.2">
      <c r="A54" s="192" t="s">
        <v>115</v>
      </c>
      <c r="B54" s="201"/>
      <c r="C54" s="201"/>
      <c r="D54" s="201"/>
      <c r="E54" s="201"/>
      <c r="F54" s="201"/>
      <c r="G54" s="201"/>
      <c r="H54" s="201"/>
      <c r="I54" s="201"/>
      <c r="J54" s="201"/>
      <c r="K54" s="201"/>
      <c r="L54" s="201"/>
      <c r="M54" s="202"/>
      <c r="N54" s="11"/>
      <c r="P54" s="48">
        <v>670</v>
      </c>
      <c r="Q54" s="3">
        <f>656.37*1.02</f>
        <v>669.49739999999997</v>
      </c>
    </row>
    <row r="55" spans="1:19" x14ac:dyDescent="0.2">
      <c r="A55" s="1"/>
      <c r="B55" s="1" t="s">
        <v>3</v>
      </c>
      <c r="C55" s="1" t="s">
        <v>4</v>
      </c>
      <c r="D55" s="1" t="s">
        <v>5</v>
      </c>
      <c r="E55" s="1" t="s">
        <v>6</v>
      </c>
      <c r="F55" s="1" t="s">
        <v>7</v>
      </c>
      <c r="G55" s="1" t="s">
        <v>8</v>
      </c>
      <c r="H55" s="1" t="s">
        <v>9</v>
      </c>
      <c r="I55" s="1" t="s">
        <v>10</v>
      </c>
      <c r="J55" s="1" t="s">
        <v>96</v>
      </c>
      <c r="K55" s="1" t="s">
        <v>12</v>
      </c>
      <c r="L55" s="1" t="s">
        <v>13</v>
      </c>
      <c r="M55" s="1" t="s">
        <v>14</v>
      </c>
      <c r="N55" s="63" t="s">
        <v>173</v>
      </c>
    </row>
    <row r="56" spans="1:19" x14ac:dyDescent="0.2">
      <c r="A56" s="1" t="s">
        <v>98</v>
      </c>
      <c r="B56" s="1">
        <f>B16*$Q$13</f>
        <v>24400</v>
      </c>
      <c r="C56" s="71">
        <f t="shared" ref="C56:M56" si="29">C16*$Q$13</f>
        <v>21200</v>
      </c>
      <c r="D56" s="71">
        <f t="shared" si="29"/>
        <v>23600</v>
      </c>
      <c r="E56" s="71">
        <f t="shared" si="29"/>
        <v>23800</v>
      </c>
      <c r="F56" s="71">
        <f t="shared" si="29"/>
        <v>22600</v>
      </c>
      <c r="G56" s="71">
        <f t="shared" si="29"/>
        <v>21800</v>
      </c>
      <c r="H56" s="71">
        <f t="shared" si="29"/>
        <v>26200</v>
      </c>
      <c r="I56" s="71">
        <f t="shared" si="29"/>
        <v>21600</v>
      </c>
      <c r="J56" s="71">
        <f t="shared" si="29"/>
        <v>21800</v>
      </c>
      <c r="K56" s="71">
        <f t="shared" si="29"/>
        <v>23200</v>
      </c>
      <c r="L56" s="71">
        <f t="shared" si="29"/>
        <v>24400</v>
      </c>
      <c r="M56" s="71">
        <f t="shared" si="29"/>
        <v>23200</v>
      </c>
      <c r="N56" s="64">
        <f>ROUNDUP(Hoja4!B56*1.02,0)</f>
        <v>24888</v>
      </c>
    </row>
    <row r="57" spans="1:19" x14ac:dyDescent="0.2">
      <c r="A57" s="1" t="s">
        <v>99</v>
      </c>
      <c r="B57" s="1">
        <f>B16*$Q$14</f>
        <v>34160</v>
      </c>
      <c r="C57" s="71">
        <f t="shared" ref="C57:M57" si="30">C16*$Q$14</f>
        <v>29680</v>
      </c>
      <c r="D57" s="71">
        <f t="shared" si="30"/>
        <v>33040</v>
      </c>
      <c r="E57" s="71">
        <f t="shared" si="30"/>
        <v>33320</v>
      </c>
      <c r="F57" s="71">
        <f t="shared" si="30"/>
        <v>31640</v>
      </c>
      <c r="G57" s="71">
        <f t="shared" si="30"/>
        <v>30520</v>
      </c>
      <c r="H57" s="71">
        <f t="shared" si="30"/>
        <v>36680</v>
      </c>
      <c r="I57" s="71">
        <f t="shared" si="30"/>
        <v>30240</v>
      </c>
      <c r="J57" s="71">
        <f t="shared" si="30"/>
        <v>30520</v>
      </c>
      <c r="K57" s="71">
        <f t="shared" si="30"/>
        <v>32480</v>
      </c>
      <c r="L57" s="71">
        <f t="shared" si="30"/>
        <v>34160</v>
      </c>
      <c r="M57" s="71">
        <f t="shared" si="30"/>
        <v>32480</v>
      </c>
      <c r="N57" s="64">
        <f>ROUNDUP(Hoja4!B57*1.02,0)</f>
        <v>34844</v>
      </c>
      <c r="O57" s="151" t="s">
        <v>116</v>
      </c>
      <c r="P57" s="151"/>
      <c r="Q57" s="151"/>
      <c r="R57" s="151"/>
      <c r="S57" s="151"/>
    </row>
    <row r="58" spans="1:19" x14ac:dyDescent="0.2">
      <c r="A58" s="1" t="s">
        <v>102</v>
      </c>
      <c r="B58" s="1">
        <f>B20*$Q$15</f>
        <v>16940</v>
      </c>
      <c r="C58" s="71">
        <f t="shared" ref="C58:M58" si="31">C20*$Q$15</f>
        <v>17600</v>
      </c>
      <c r="D58" s="71">
        <f t="shared" si="31"/>
        <v>16500</v>
      </c>
      <c r="E58" s="71">
        <f t="shared" si="31"/>
        <v>16060</v>
      </c>
      <c r="F58" s="71">
        <f t="shared" si="31"/>
        <v>15180</v>
      </c>
      <c r="G58" s="71">
        <f t="shared" si="31"/>
        <v>14740</v>
      </c>
      <c r="H58" s="71">
        <f t="shared" si="31"/>
        <v>9680</v>
      </c>
      <c r="I58" s="71">
        <f t="shared" si="31"/>
        <v>20460</v>
      </c>
      <c r="J58" s="71">
        <f t="shared" si="31"/>
        <v>20460</v>
      </c>
      <c r="K58" s="71">
        <f t="shared" si="31"/>
        <v>18480</v>
      </c>
      <c r="L58" s="71">
        <f t="shared" si="31"/>
        <v>13640</v>
      </c>
      <c r="M58" s="71">
        <f t="shared" si="31"/>
        <v>16060</v>
      </c>
      <c r="N58" s="64">
        <f>ROUNDUP(Hoja4!B58*1.02,0)</f>
        <v>17279</v>
      </c>
      <c r="O58" s="1"/>
      <c r="P58" s="3" t="s">
        <v>117</v>
      </c>
      <c r="Q58" s="1" t="s">
        <v>118</v>
      </c>
      <c r="R58" s="1" t="s">
        <v>119</v>
      </c>
      <c r="S58" s="1" t="s">
        <v>120</v>
      </c>
    </row>
    <row r="59" spans="1:19" x14ac:dyDescent="0.2">
      <c r="A59" s="1" t="s">
        <v>103</v>
      </c>
      <c r="B59" s="71">
        <f>B20*$Q$16</f>
        <v>18480</v>
      </c>
      <c r="C59" s="71">
        <f t="shared" ref="C59:M59" si="32">C20*$Q$16</f>
        <v>19200</v>
      </c>
      <c r="D59" s="71">
        <f t="shared" si="32"/>
        <v>18000</v>
      </c>
      <c r="E59" s="71">
        <f t="shared" si="32"/>
        <v>17520</v>
      </c>
      <c r="F59" s="71">
        <f t="shared" si="32"/>
        <v>16560</v>
      </c>
      <c r="G59" s="71">
        <f t="shared" si="32"/>
        <v>16080</v>
      </c>
      <c r="H59" s="71">
        <f t="shared" si="32"/>
        <v>10560</v>
      </c>
      <c r="I59" s="71">
        <f t="shared" si="32"/>
        <v>22320</v>
      </c>
      <c r="J59" s="71">
        <f t="shared" si="32"/>
        <v>22320</v>
      </c>
      <c r="K59" s="71">
        <f t="shared" si="32"/>
        <v>20160</v>
      </c>
      <c r="L59" s="71">
        <f t="shared" si="32"/>
        <v>14880</v>
      </c>
      <c r="M59" s="71">
        <f t="shared" si="32"/>
        <v>17520</v>
      </c>
      <c r="N59" s="64">
        <f>ROUNDUP(Hoja4!B59*1.02,0)</f>
        <v>18850</v>
      </c>
      <c r="O59" s="52" t="s">
        <v>121</v>
      </c>
      <c r="P59" s="1">
        <f>$Q$13*$Q19*$S$13+$Q$14*$Q19*$S$14</f>
        <v>23000</v>
      </c>
      <c r="Q59" s="1">
        <f>Q20*Q13*S13+Q20*Q14*S14</f>
        <v>18400</v>
      </c>
      <c r="R59" s="1">
        <f>Q21*Q15*S15+Q21*Q16*S16</f>
        <v>37840</v>
      </c>
      <c r="S59" s="1">
        <f>Q22*Q15*S15+Q22*Q16*S16</f>
        <v>30960</v>
      </c>
    </row>
    <row r="60" spans="1:19" x14ac:dyDescent="0.2">
      <c r="N60" s="55"/>
      <c r="O60" s="52" t="s">
        <v>122</v>
      </c>
      <c r="P60" s="1">
        <f>Q9*Q3*Q4</f>
        <v>1186.9090909090908</v>
      </c>
      <c r="Q60" s="1">
        <f>Q9*R3*R4</f>
        <v>977.45454545454538</v>
      </c>
      <c r="R60" s="1">
        <f>S3*S4*Q9</f>
        <v>1099.6363636363635</v>
      </c>
      <c r="S60" s="1">
        <f>T3*T4*Q9</f>
        <v>1352.7272727272725</v>
      </c>
    </row>
    <row r="61" spans="1:19" x14ac:dyDescent="0.2">
      <c r="O61" s="48" t="s">
        <v>125</v>
      </c>
      <c r="P61" s="3">
        <f>P59+P60</f>
        <v>24186.909090909092</v>
      </c>
      <c r="Q61" s="3">
        <f>Q59+Q60</f>
        <v>19377.454545454544</v>
      </c>
      <c r="R61" s="3">
        <f>R59+R60</f>
        <v>38939.63636363636</v>
      </c>
      <c r="S61" s="3">
        <f>S59+S60</f>
        <v>32312.727272727272</v>
      </c>
    </row>
    <row r="62" spans="1:19" x14ac:dyDescent="0.2">
      <c r="A62" s="198" t="s">
        <v>128</v>
      </c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O62" s="50" t="s">
        <v>126</v>
      </c>
      <c r="P62" s="51">
        <f>P59+P60*1.8</f>
        <v>25136.436363636363</v>
      </c>
      <c r="Q62" s="51">
        <f>Q59+Q60*1.8</f>
        <v>20159.418181818182</v>
      </c>
      <c r="R62" s="51">
        <f>R59+R60*1.8</f>
        <v>39819.345454545452</v>
      </c>
      <c r="S62" s="51">
        <f>S59+S60*1.8</f>
        <v>33394.909090909088</v>
      </c>
    </row>
    <row r="63" spans="1:19" x14ac:dyDescent="0.2">
      <c r="A63" s="1"/>
      <c r="B63" s="1" t="s">
        <v>3</v>
      </c>
      <c r="C63" s="1" t="s">
        <v>4</v>
      </c>
      <c r="D63" s="1" t="s">
        <v>5</v>
      </c>
      <c r="E63" s="1" t="s">
        <v>6</v>
      </c>
      <c r="F63" s="1" t="s">
        <v>7</v>
      </c>
      <c r="G63" s="1" t="s">
        <v>8</v>
      </c>
      <c r="H63" s="1" t="s">
        <v>9</v>
      </c>
      <c r="I63" s="1" t="s">
        <v>10</v>
      </c>
      <c r="J63" s="1" t="s">
        <v>96</v>
      </c>
      <c r="K63" s="1" t="s">
        <v>12</v>
      </c>
      <c r="L63" s="1" t="s">
        <v>13</v>
      </c>
      <c r="M63" s="1" t="s">
        <v>14</v>
      </c>
    </row>
    <row r="64" spans="1:19" x14ac:dyDescent="0.2">
      <c r="A64" s="1"/>
      <c r="B64" s="199" t="s">
        <v>114</v>
      </c>
      <c r="C64" s="199"/>
      <c r="D64" s="1"/>
      <c r="E64" s="1"/>
      <c r="F64" s="1"/>
      <c r="G64" s="1"/>
      <c r="H64" s="1"/>
      <c r="I64" s="1"/>
      <c r="J64" s="1"/>
      <c r="K64" s="1"/>
      <c r="L64" s="1"/>
      <c r="M64" s="1"/>
      <c r="N64" s="11"/>
    </row>
    <row r="65" spans="1:16" x14ac:dyDescent="0.2">
      <c r="A65" s="48" t="s">
        <v>15</v>
      </c>
      <c r="B65" s="3">
        <f>Enunciado!C28+Enunciado!D28*Hoja4!$P$25</f>
        <v>2443.7160000000003</v>
      </c>
      <c r="C65" s="3">
        <f>Enunciado!D28+Enunciado!E28*Hoja4!$P$25</f>
        <v>2544.6959999999999</v>
      </c>
      <c r="D65" s="3">
        <f>Enunciado!E28+Enunciado!F28*Hoja4!$P$25</f>
        <v>2580.0389999999998</v>
      </c>
      <c r="E65" s="3">
        <f>Enunciado!F28+Enunciado!G28*Hoja4!$P$25</f>
        <v>2761.8029999999999</v>
      </c>
      <c r="F65" s="3">
        <f>Enunciado!G28+Enunciado!H28*Hoja4!$P$25</f>
        <v>2725.9551000000001</v>
      </c>
      <c r="G65" s="3">
        <f>Enunciado!H28+Enunciado!I28*Hoja4!$P$25</f>
        <v>2568.4263000000001</v>
      </c>
      <c r="H65" s="3">
        <f>Enunciado!I28+Enunciado!J28*Hoja4!$P$25</f>
        <v>3283.1627399999998</v>
      </c>
      <c r="I65" s="3">
        <f>Enunciado!J28+Enunciado!K28*Hoja4!$P$25</f>
        <v>3183.3945000000003</v>
      </c>
      <c r="J65" s="3">
        <f>Enunciado!K28+Enunciado!L28*Hoja4!$P$25</f>
        <v>3221.2619999999997</v>
      </c>
      <c r="K65" s="3">
        <f>Enunciado!L28+Enunciado!M28*Hoja4!$P$25</f>
        <v>2792.0969999999998</v>
      </c>
      <c r="L65" s="3">
        <f>Enunciado!M28+Enunciado!N28*Hoja4!$P$25</f>
        <v>2738.3251499999997</v>
      </c>
      <c r="M65" s="3">
        <f>Enunciado!N28+P53*Hoja4!$P$25</f>
        <v>2364.9007499999998</v>
      </c>
      <c r="N65" s="5"/>
    </row>
    <row r="66" spans="1:16" x14ac:dyDescent="0.2">
      <c r="A66" s="48" t="s">
        <v>16</v>
      </c>
      <c r="B66" s="3">
        <f>Enunciado!C29+Enunciado!D29*Hoja4!$P$25</f>
        <v>636.17399999999998</v>
      </c>
      <c r="C66" s="3">
        <f>Enunciado!D29+Enunciado!E29*Hoja4!$P$25</f>
        <v>817.93799999999999</v>
      </c>
      <c r="D66" s="3">
        <f>Enunciado!E29+Enunciado!F29*Hoja4!$P$25</f>
        <v>929.01600000000008</v>
      </c>
      <c r="E66" s="3">
        <f>Enunciado!F29+Enunciado!G29*Hoja4!$P$25</f>
        <v>745.23239999999998</v>
      </c>
      <c r="F66" s="3">
        <f>Enunciado!G29+Enunciado!H29*Hoja4!$P$25</f>
        <v>838.13400000000001</v>
      </c>
      <c r="G66" s="3">
        <f>Enunciado!H29+Enunciado!I29*Hoja4!$P$25</f>
        <v>817.93799999999999</v>
      </c>
      <c r="H66" s="3">
        <f>Enunciado!I29+Enunciado!J29*Hoja4!$P$25</f>
        <v>767.44799999999998</v>
      </c>
      <c r="I66" s="3">
        <f>Enunciado!J29+Enunciado!K29*Hoja4!$P$25</f>
        <v>1257.201</v>
      </c>
      <c r="J66" s="3">
        <f>Enunciado!K29+Enunciado!L29*Hoja4!$P$25</f>
        <v>1191.5640000000001</v>
      </c>
      <c r="K66" s="3">
        <f>Enunciado!L29+Enunciado!M29*Hoja4!$P$25</f>
        <v>1156.221</v>
      </c>
      <c r="L66" s="3">
        <f>Enunciado!M29+Enunciado!N29*Hoja4!$P$25</f>
        <v>737.154</v>
      </c>
      <c r="M66" s="3">
        <f>Enunciado!N29+P54*Hoja4!$P$25</f>
        <v>790.37</v>
      </c>
      <c r="N66" s="5"/>
    </row>
    <row r="67" spans="1:16" x14ac:dyDescent="0.2">
      <c r="A67" s="4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48" t="s">
        <v>134</v>
      </c>
      <c r="P67" s="56"/>
    </row>
    <row r="68" spans="1:16" x14ac:dyDescent="0.2">
      <c r="A68" s="192" t="s">
        <v>113</v>
      </c>
      <c r="B68" s="193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4"/>
      <c r="O68" s="48" t="s">
        <v>15</v>
      </c>
      <c r="P68" s="56">
        <v>850</v>
      </c>
    </row>
    <row r="69" spans="1:16" x14ac:dyDescent="0.2">
      <c r="A69" s="63" t="s">
        <v>14</v>
      </c>
      <c r="B69" s="1" t="s">
        <v>3</v>
      </c>
      <c r="C69" s="1" t="s">
        <v>4</v>
      </c>
      <c r="D69" s="1" t="s">
        <v>5</v>
      </c>
      <c r="E69" s="1" t="s">
        <v>6</v>
      </c>
      <c r="F69" s="1" t="s">
        <v>7</v>
      </c>
      <c r="G69" s="1" t="s">
        <v>8</v>
      </c>
      <c r="H69" s="1" t="s">
        <v>9</v>
      </c>
      <c r="I69" s="1" t="s">
        <v>10</v>
      </c>
      <c r="J69" s="1" t="s">
        <v>96</v>
      </c>
      <c r="K69" s="1" t="s">
        <v>12</v>
      </c>
      <c r="L69" s="1" t="s">
        <v>13</v>
      </c>
      <c r="M69" s="1" t="s">
        <v>14</v>
      </c>
      <c r="N69" s="11"/>
      <c r="O69" s="59" t="s">
        <v>16</v>
      </c>
      <c r="P69" s="56">
        <v>1200</v>
      </c>
    </row>
    <row r="70" spans="1:16" x14ac:dyDescent="0.2">
      <c r="A70" s="3">
        <f>Enunciado!C28*0.2</f>
        <v>403.92000000000007</v>
      </c>
      <c r="B70" s="3">
        <f>B16+A70-Enunciado!C28</f>
        <v>824.31999999999994</v>
      </c>
      <c r="C70" s="3">
        <f>C16+B70-Enunciado!D28</f>
        <v>823.73999999999978</v>
      </c>
      <c r="D70" s="3">
        <f>D16+C70-Enunciado!E28</f>
        <v>1063.1599999999999</v>
      </c>
      <c r="E70" s="3">
        <f>E16+D70-Enunciado!F28</f>
        <v>1145.8649999999998</v>
      </c>
      <c r="F70" s="3">
        <f>F16+E70-Enunciado!G28</f>
        <v>1083.3249999999998</v>
      </c>
      <c r="G70" s="3">
        <f>G16+F70-Enunciado!H28</f>
        <v>1246.2494999999997</v>
      </c>
      <c r="H70" s="3">
        <f>H16+G70-Enunciado!I28</f>
        <v>1109.4955</v>
      </c>
      <c r="I70" s="3">
        <f>I16+H70-Enunciado!J28</f>
        <v>637.45179999999982</v>
      </c>
      <c r="J70" s="3">
        <f>J16+I70-Enunciado!K28</f>
        <v>60.697799999999916</v>
      </c>
      <c r="K70" s="3">
        <f>K16+J70-Enunciado!L28</f>
        <v>58.157799999999952</v>
      </c>
      <c r="L70" s="3">
        <f>L16+K70-Enunciado!M28</f>
        <v>150.3728000000001</v>
      </c>
      <c r="M70" s="3">
        <f>M16+L70-Enunciado!N28</f>
        <v>517.67205000000013</v>
      </c>
      <c r="N70" s="5"/>
    </row>
    <row r="71" spans="1:16" x14ac:dyDescent="0.2">
      <c r="A71" s="3">
        <f>Enunciado!C29*0.2</f>
        <v>100.98000000000002</v>
      </c>
      <c r="B71" s="3">
        <f>B20+A71-Enunciado!C29</f>
        <v>366.08</v>
      </c>
      <c r="C71" s="3">
        <f>C20+B71-Enunciado!D29</f>
        <v>509.70999999999992</v>
      </c>
      <c r="D71" s="3">
        <f>D20+C71-Enunciado!E29</f>
        <v>451.87</v>
      </c>
      <c r="E71" s="3">
        <f>E20+D71-Enunciado!F29</f>
        <v>575.9899999999999</v>
      </c>
      <c r="F71" s="3">
        <f>F20+E71-Enunciado!G29</f>
        <v>569.22799999999972</v>
      </c>
      <c r="G71" s="3">
        <f>G20+F71-Enunciado!H29</f>
        <v>532.3679999999996</v>
      </c>
      <c r="H71" s="3">
        <f>H20+G71-Enunciado!I29</f>
        <v>416.97799999999961</v>
      </c>
      <c r="I71" s="3">
        <f>I20+H71-Enunciado!J29</f>
        <v>286.68799999999965</v>
      </c>
      <c r="J71" s="3">
        <f>J20+I71-Enunciado!K29</f>
        <v>232.13299999999958</v>
      </c>
      <c r="K71" s="3">
        <f>K20+J71-Enunciado!L29</f>
        <v>37.087999999999511</v>
      </c>
      <c r="L71" s="3">
        <f>L20+K71-Enunciado!M29</f>
        <v>51.207999999999515</v>
      </c>
      <c r="M71" s="3">
        <f>M20+L71-Enunciado!N29</f>
        <v>124.83799999999951</v>
      </c>
      <c r="N71" s="11"/>
    </row>
    <row r="72" spans="1:16" x14ac:dyDescent="0.2">
      <c r="O72" s="48" t="s">
        <v>137</v>
      </c>
    </row>
    <row r="73" spans="1:16" x14ac:dyDescent="0.2">
      <c r="B73" s="212" t="s">
        <v>217</v>
      </c>
      <c r="C73" s="213"/>
      <c r="D73" s="213"/>
      <c r="E73" s="213"/>
      <c r="F73" s="213"/>
      <c r="G73" s="213"/>
      <c r="H73" s="213"/>
      <c r="I73" s="213"/>
      <c r="J73" s="213"/>
      <c r="K73" s="213"/>
      <c r="L73" s="213"/>
      <c r="M73" s="213"/>
      <c r="O73" s="56">
        <v>0.9</v>
      </c>
      <c r="P73">
        <v>0.99099999999999999</v>
      </c>
    </row>
    <row r="74" spans="1:16" x14ac:dyDescent="0.2">
      <c r="B74" s="71" t="s">
        <v>3</v>
      </c>
      <c r="C74" s="71" t="s">
        <v>4</v>
      </c>
      <c r="D74" s="71" t="s">
        <v>5</v>
      </c>
      <c r="E74" s="71" t="s">
        <v>6</v>
      </c>
      <c r="F74" s="71" t="s">
        <v>7</v>
      </c>
      <c r="G74" s="71" t="s">
        <v>8</v>
      </c>
      <c r="H74" s="71" t="s">
        <v>9</v>
      </c>
      <c r="I74" s="71" t="s">
        <v>10</v>
      </c>
      <c r="J74" s="71" t="s">
        <v>96</v>
      </c>
      <c r="K74" s="71" t="s">
        <v>12</v>
      </c>
      <c r="L74" s="71" t="s">
        <v>13</v>
      </c>
      <c r="M74" s="71" t="s">
        <v>14</v>
      </c>
      <c r="O74" s="48" t="s">
        <v>138</v>
      </c>
    </row>
    <row r="75" spans="1:16" x14ac:dyDescent="0.2">
      <c r="B75" s="3">
        <f>B65-A70</f>
        <v>2039.7960000000003</v>
      </c>
      <c r="C75" s="3">
        <f t="shared" ref="C75:F76" si="33">C65-B70</f>
        <v>1720.376</v>
      </c>
      <c r="D75" s="3">
        <f t="shared" si="33"/>
        <v>1756.299</v>
      </c>
      <c r="E75" s="3">
        <f t="shared" si="33"/>
        <v>1698.643</v>
      </c>
      <c r="F75" s="3">
        <f t="shared" si="33"/>
        <v>1580.0901000000003</v>
      </c>
      <c r="G75" s="3">
        <f t="shared" ref="G75:M75" si="34">G65-F70</f>
        <v>1485.1013000000003</v>
      </c>
      <c r="H75" s="3">
        <f t="shared" si="34"/>
        <v>2036.9132400000001</v>
      </c>
      <c r="I75" s="3">
        <f t="shared" si="34"/>
        <v>2073.8990000000003</v>
      </c>
      <c r="J75" s="3">
        <f t="shared" si="34"/>
        <v>2583.8101999999999</v>
      </c>
      <c r="K75" s="3">
        <f t="shared" si="34"/>
        <v>2731.3991999999998</v>
      </c>
      <c r="L75" s="3">
        <f t="shared" si="34"/>
        <v>2680.1673499999997</v>
      </c>
      <c r="M75" s="3">
        <f t="shared" si="34"/>
        <v>2214.5279499999997</v>
      </c>
      <c r="N75" s="5"/>
      <c r="O75" s="56">
        <v>0.99</v>
      </c>
    </row>
    <row r="76" spans="1:16" x14ac:dyDescent="0.2">
      <c r="B76" s="3">
        <f>B66-A71</f>
        <v>535.19399999999996</v>
      </c>
      <c r="C76" s="3">
        <f t="shared" si="33"/>
        <v>451.858</v>
      </c>
      <c r="D76" s="3">
        <f t="shared" si="33"/>
        <v>419.30600000000015</v>
      </c>
      <c r="E76" s="3">
        <f t="shared" si="33"/>
        <v>293.36239999999998</v>
      </c>
      <c r="F76" s="3">
        <f t="shared" si="33"/>
        <v>262.14400000000012</v>
      </c>
      <c r="G76" s="3">
        <f t="shared" ref="G76:M76" si="35">G66-F71</f>
        <v>248.71000000000026</v>
      </c>
      <c r="H76" s="3">
        <f t="shared" si="35"/>
        <v>235.08000000000038</v>
      </c>
      <c r="I76" s="3">
        <f t="shared" si="35"/>
        <v>840.22300000000041</v>
      </c>
      <c r="J76" s="3">
        <f t="shared" si="35"/>
        <v>904.87600000000043</v>
      </c>
      <c r="K76" s="3">
        <f t="shared" si="35"/>
        <v>924.08800000000042</v>
      </c>
      <c r="L76" s="3">
        <f t="shared" si="35"/>
        <v>700.06600000000049</v>
      </c>
      <c r="M76" s="3">
        <f t="shared" si="35"/>
        <v>739.16200000000049</v>
      </c>
      <c r="N76" s="5"/>
    </row>
    <row r="79" spans="1:16" x14ac:dyDescent="0.2">
      <c r="A79" s="198" t="s">
        <v>129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</row>
    <row r="80" spans="1:16" x14ac:dyDescent="0.2">
      <c r="A80" s="1"/>
      <c r="B80" s="1" t="s">
        <v>3</v>
      </c>
      <c r="C80" s="1" t="s">
        <v>4</v>
      </c>
      <c r="D80" s="1" t="s">
        <v>5</v>
      </c>
      <c r="E80" s="1" t="s">
        <v>6</v>
      </c>
      <c r="F80" s="1" t="s">
        <v>7</v>
      </c>
      <c r="G80" s="1" t="s">
        <v>8</v>
      </c>
      <c r="H80" s="1" t="s">
        <v>9</v>
      </c>
      <c r="I80" s="1" t="s">
        <v>10</v>
      </c>
      <c r="J80" s="1" t="s">
        <v>96</v>
      </c>
      <c r="K80" s="1" t="s">
        <v>12</v>
      </c>
      <c r="L80" s="1" t="s">
        <v>13</v>
      </c>
      <c r="M80" s="1" t="s">
        <v>14</v>
      </c>
    </row>
    <row r="81" spans="1:13" x14ac:dyDescent="0.2">
      <c r="A81" s="1"/>
      <c r="B81" s="3">
        <v>0</v>
      </c>
      <c r="C81" s="3">
        <v>0</v>
      </c>
      <c r="D81" s="3">
        <v>0</v>
      </c>
      <c r="E81" s="70">
        <v>190</v>
      </c>
      <c r="F81" s="70">
        <v>190</v>
      </c>
      <c r="G81" s="70">
        <v>190</v>
      </c>
      <c r="H81" s="70">
        <v>190</v>
      </c>
      <c r="I81" s="70">
        <v>190</v>
      </c>
      <c r="J81" s="3">
        <v>0</v>
      </c>
      <c r="K81" s="3">
        <v>0</v>
      </c>
      <c r="L81" s="3">
        <v>0</v>
      </c>
      <c r="M81" s="3">
        <v>0</v>
      </c>
    </row>
    <row r="84" spans="1:13" x14ac:dyDescent="0.2">
      <c r="A84" s="215" t="s">
        <v>216</v>
      </c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</row>
    <row r="85" spans="1:13" x14ac:dyDescent="0.2">
      <c r="A85" s="1"/>
      <c r="B85" s="1" t="s">
        <v>3</v>
      </c>
      <c r="C85" s="1" t="s">
        <v>4</v>
      </c>
      <c r="D85" s="1" t="s">
        <v>5</v>
      </c>
      <c r="E85" s="1" t="s">
        <v>6</v>
      </c>
      <c r="F85" s="1" t="s">
        <v>7</v>
      </c>
      <c r="G85" s="1" t="s">
        <v>8</v>
      </c>
      <c r="H85" s="1" t="s">
        <v>9</v>
      </c>
      <c r="I85" s="1" t="s">
        <v>10</v>
      </c>
      <c r="J85" s="1" t="s">
        <v>96</v>
      </c>
      <c r="K85" s="1" t="s">
        <v>12</v>
      </c>
      <c r="L85" s="1" t="s">
        <v>13</v>
      </c>
      <c r="M85" s="1" t="s">
        <v>14</v>
      </c>
    </row>
    <row r="86" spans="1:13" x14ac:dyDescent="0.2">
      <c r="A86" s="48" t="s">
        <v>130</v>
      </c>
      <c r="B86" s="60">
        <v>107</v>
      </c>
      <c r="C86" s="60">
        <v>107</v>
      </c>
      <c r="D86" s="60">
        <v>107</v>
      </c>
      <c r="E86" s="60">
        <v>97</v>
      </c>
      <c r="F86" s="60">
        <v>97</v>
      </c>
      <c r="G86" s="60">
        <v>97</v>
      </c>
      <c r="H86" s="60">
        <v>97</v>
      </c>
      <c r="I86" s="60">
        <v>97</v>
      </c>
      <c r="J86" s="60">
        <v>97</v>
      </c>
      <c r="K86" s="60">
        <v>97</v>
      </c>
      <c r="L86" s="60">
        <v>97</v>
      </c>
      <c r="M86" s="60">
        <v>97</v>
      </c>
    </row>
    <row r="87" spans="1:13" x14ac:dyDescent="0.2">
      <c r="A87" s="48" t="s">
        <v>131</v>
      </c>
      <c r="B87" s="60">
        <v>145</v>
      </c>
      <c r="C87" s="60">
        <v>145</v>
      </c>
      <c r="D87" s="60">
        <v>145</v>
      </c>
      <c r="E87" s="60">
        <v>145</v>
      </c>
      <c r="F87" s="60">
        <v>145</v>
      </c>
      <c r="G87" s="60">
        <v>145</v>
      </c>
      <c r="H87" s="60">
        <v>145</v>
      </c>
      <c r="I87" s="60">
        <v>145</v>
      </c>
      <c r="J87" s="60">
        <v>145</v>
      </c>
      <c r="K87" s="60">
        <v>145</v>
      </c>
      <c r="L87" s="60">
        <v>145</v>
      </c>
      <c r="M87" s="60">
        <v>145</v>
      </c>
    </row>
    <row r="88" spans="1:13" x14ac:dyDescent="0.2">
      <c r="A88" s="48" t="s">
        <v>132</v>
      </c>
      <c r="B88" s="60">
        <v>120</v>
      </c>
      <c r="C88" s="60">
        <v>120</v>
      </c>
      <c r="D88" s="60">
        <v>120</v>
      </c>
      <c r="E88" s="60">
        <v>120</v>
      </c>
      <c r="F88" s="60">
        <v>120</v>
      </c>
      <c r="G88" s="60">
        <v>120</v>
      </c>
      <c r="H88" s="60">
        <v>120</v>
      </c>
      <c r="I88" s="60">
        <v>120</v>
      </c>
      <c r="J88" s="60">
        <v>120</v>
      </c>
      <c r="K88" s="60">
        <v>120</v>
      </c>
      <c r="L88" s="60">
        <v>120</v>
      </c>
      <c r="M88" s="60">
        <v>120</v>
      </c>
    </row>
    <row r="89" spans="1:13" x14ac:dyDescent="0.2">
      <c r="A89" s="46"/>
    </row>
    <row r="90" spans="1:13" x14ac:dyDescent="0.2">
      <c r="A90" s="215" t="s">
        <v>136</v>
      </c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</row>
    <row r="91" spans="1:13" x14ac:dyDescent="0.2">
      <c r="A91" s="1"/>
      <c r="B91" s="1" t="s">
        <v>3</v>
      </c>
      <c r="C91" s="1" t="s">
        <v>4</v>
      </c>
      <c r="D91" s="1" t="s">
        <v>5</v>
      </c>
      <c r="E91" s="1" t="s">
        <v>6</v>
      </c>
      <c r="F91" s="1" t="s">
        <v>7</v>
      </c>
      <c r="G91" s="1" t="s">
        <v>8</v>
      </c>
      <c r="H91" s="1" t="s">
        <v>9</v>
      </c>
      <c r="I91" s="1" t="s">
        <v>10</v>
      </c>
      <c r="J91" s="1" t="s">
        <v>96</v>
      </c>
      <c r="K91" s="1" t="s">
        <v>12</v>
      </c>
      <c r="L91" s="1" t="s">
        <v>13</v>
      </c>
      <c r="M91" s="1" t="s">
        <v>14</v>
      </c>
    </row>
    <row r="92" spans="1:13" x14ac:dyDescent="0.2">
      <c r="A92" s="49" t="s">
        <v>133</v>
      </c>
      <c r="B92" s="60">
        <f>B97*0.05</f>
        <v>116.12700000000001</v>
      </c>
      <c r="C92" s="60">
        <f t="shared" ref="C92:M92" si="36">C97*0.05</f>
        <v>129.50685000000001</v>
      </c>
      <c r="D92" s="60">
        <f t="shared" si="36"/>
        <v>138.59504999999999</v>
      </c>
      <c r="E92" s="60">
        <f t="shared" si="36"/>
        <v>133.98783750000001</v>
      </c>
      <c r="F92" s="60">
        <f t="shared" si="36"/>
        <v>140.51367000000002</v>
      </c>
      <c r="G92" s="60">
        <f t="shared" si="36"/>
        <v>128.13730874999999</v>
      </c>
      <c r="H92" s="60">
        <f t="shared" si="36"/>
        <v>150.485445</v>
      </c>
      <c r="I92" s="60">
        <f t="shared" si="36"/>
        <v>175.47925725000002</v>
      </c>
      <c r="J92" s="60">
        <f t="shared" si="36"/>
        <v>176.23534500000002</v>
      </c>
      <c r="K92" s="60">
        <f t="shared" si="36"/>
        <v>160.81065000000001</v>
      </c>
      <c r="L92" s="60">
        <f t="shared" si="36"/>
        <v>136.13366249999999</v>
      </c>
      <c r="M92" s="60">
        <f t="shared" si="36"/>
        <v>122.37198187500002</v>
      </c>
    </row>
    <row r="93" spans="1:13" x14ac:dyDescent="0.2">
      <c r="A93" s="46"/>
    </row>
    <row r="95" spans="1:13" x14ac:dyDescent="0.2">
      <c r="A95" s="216" t="s">
        <v>215</v>
      </c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</row>
    <row r="96" spans="1:13" x14ac:dyDescent="0.2">
      <c r="A96" s="1"/>
      <c r="B96" s="1" t="s">
        <v>3</v>
      </c>
      <c r="C96" s="1" t="s">
        <v>4</v>
      </c>
      <c r="D96" s="1" t="s">
        <v>5</v>
      </c>
      <c r="E96" s="1" t="s">
        <v>6</v>
      </c>
      <c r="F96" s="1" t="s">
        <v>7</v>
      </c>
      <c r="G96" s="1" t="s">
        <v>8</v>
      </c>
      <c r="H96" s="1" t="s">
        <v>9</v>
      </c>
      <c r="I96" s="1" t="s">
        <v>10</v>
      </c>
      <c r="J96" s="1" t="s">
        <v>96</v>
      </c>
      <c r="K96" s="1" t="s">
        <v>12</v>
      </c>
      <c r="L96" s="1" t="s">
        <v>13</v>
      </c>
      <c r="M96" s="1" t="s">
        <v>14</v>
      </c>
    </row>
    <row r="97" spans="1:16" x14ac:dyDescent="0.2">
      <c r="A97" s="1"/>
      <c r="B97" s="60">
        <f>(Enunciado!C28*$P68+Enunciado!C29*$P69)/1000</f>
        <v>2322.54</v>
      </c>
      <c r="C97" s="60">
        <f>(Enunciado!D28*$P68+Enunciado!D29*$P69)/1000</f>
        <v>2590.1370000000002</v>
      </c>
      <c r="D97" s="60">
        <f>(Enunciado!E28*$P68+Enunciado!E29*$P69)/1000</f>
        <v>2771.9009999999998</v>
      </c>
      <c r="E97" s="60">
        <f>(Enunciado!F28*$P68+Enunciado!F29*$P69)/1000</f>
        <v>2679.75675</v>
      </c>
      <c r="F97" s="60">
        <f>(Enunciado!G28*$P68+Enunciado!G29*$P69)/1000</f>
        <v>2810.2734</v>
      </c>
      <c r="G97" s="60">
        <f>(Enunciado!H28*$P68+Enunciado!H29*$P69)/1000</f>
        <v>2562.7461749999998</v>
      </c>
      <c r="H97" s="60">
        <f>(Enunciado!I28*$P68+Enunciado!I29*$P69)/1000</f>
        <v>3009.7089000000001</v>
      </c>
      <c r="I97" s="60">
        <f>(Enunciado!J28*$P68+Enunciado!J29*$P69)/1000</f>
        <v>3509.585145</v>
      </c>
      <c r="J97" s="60">
        <f>(Enunciado!K28*$P68+Enunciado!K29*$P69)/1000</f>
        <v>3524.7069000000001</v>
      </c>
      <c r="K97" s="60">
        <f>(Enunciado!L28*$P68+Enunciado!L29*$P69)/1000</f>
        <v>3216.2130000000002</v>
      </c>
      <c r="L97" s="60">
        <f>(Enunciado!M28*$P68+Enunciado!M29*$P69)/1000</f>
        <v>2722.6732499999998</v>
      </c>
      <c r="M97" s="60">
        <f>(Enunciado!N28*$P68+Enunciado!N29*$P69)/1000</f>
        <v>2447.4396375000001</v>
      </c>
    </row>
    <row r="99" spans="1:16" x14ac:dyDescent="0.2">
      <c r="A99" s="216" t="s">
        <v>135</v>
      </c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</row>
    <row r="100" spans="1:16" x14ac:dyDescent="0.2">
      <c r="A100" s="1"/>
      <c r="B100" s="1" t="s">
        <v>3</v>
      </c>
      <c r="C100" s="1" t="s">
        <v>4</v>
      </c>
      <c r="D100" s="1" t="s">
        <v>5</v>
      </c>
      <c r="E100" s="1" t="s">
        <v>6</v>
      </c>
      <c r="F100" s="1" t="s">
        <v>7</v>
      </c>
      <c r="G100" s="1" t="s">
        <v>8</v>
      </c>
      <c r="H100" s="1" t="s">
        <v>9</v>
      </c>
      <c r="I100" s="1" t="s">
        <v>10</v>
      </c>
      <c r="J100" s="1" t="s">
        <v>96</v>
      </c>
      <c r="K100" s="1" t="s">
        <v>12</v>
      </c>
      <c r="L100" s="1" t="s">
        <v>13</v>
      </c>
      <c r="M100" s="1" t="s">
        <v>14</v>
      </c>
    </row>
    <row r="101" spans="1:16" x14ac:dyDescent="0.2">
      <c r="A101" s="1"/>
      <c r="B101" s="73">
        <f>B97*0.21</f>
        <v>487.73339999999996</v>
      </c>
      <c r="C101" s="73">
        <f t="shared" ref="C101:M101" si="37">C97*0.21</f>
        <v>543.92876999999999</v>
      </c>
      <c r="D101" s="73">
        <f t="shared" si="37"/>
        <v>582.09920999999997</v>
      </c>
      <c r="E101" s="73">
        <f t="shared" si="37"/>
        <v>562.74891749999995</v>
      </c>
      <c r="F101" s="73">
        <f t="shared" si="37"/>
        <v>590.15741400000002</v>
      </c>
      <c r="G101" s="73">
        <f t="shared" si="37"/>
        <v>538.17669674999991</v>
      </c>
      <c r="H101" s="73">
        <f t="shared" si="37"/>
        <v>632.03886899999998</v>
      </c>
      <c r="I101" s="73">
        <f t="shared" si="37"/>
        <v>737.01288045000001</v>
      </c>
      <c r="J101" s="73">
        <f t="shared" si="37"/>
        <v>740.18844899999999</v>
      </c>
      <c r="K101" s="73">
        <f t="shared" si="37"/>
        <v>675.40472999999997</v>
      </c>
      <c r="L101" s="73">
        <f t="shared" si="37"/>
        <v>571.76138249999997</v>
      </c>
      <c r="M101" s="73">
        <f t="shared" si="37"/>
        <v>513.96232387500004</v>
      </c>
    </row>
    <row r="104" spans="1:16" x14ac:dyDescent="0.2">
      <c r="A104" s="204" t="s">
        <v>140</v>
      </c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</row>
    <row r="105" spans="1:16" x14ac:dyDescent="0.2">
      <c r="A105" s="56"/>
      <c r="B105" s="56" t="s">
        <v>3</v>
      </c>
      <c r="C105" s="56" t="s">
        <v>4</v>
      </c>
      <c r="D105" s="56" t="s">
        <v>5</v>
      </c>
      <c r="E105" s="56" t="s">
        <v>6</v>
      </c>
      <c r="F105" s="56" t="s">
        <v>7</v>
      </c>
      <c r="G105" s="56" t="s">
        <v>8</v>
      </c>
      <c r="H105" s="56" t="s">
        <v>9</v>
      </c>
      <c r="I105" s="56" t="s">
        <v>10</v>
      </c>
      <c r="J105" s="56" t="s">
        <v>96</v>
      </c>
      <c r="K105" s="56" t="s">
        <v>12</v>
      </c>
      <c r="L105" s="56" t="s">
        <v>13</v>
      </c>
      <c r="M105" s="56" t="s">
        <v>14</v>
      </c>
      <c r="N105" s="59" t="s">
        <v>125</v>
      </c>
    </row>
    <row r="106" spans="1:16" x14ac:dyDescent="0.2">
      <c r="A106" s="48" t="s">
        <v>141</v>
      </c>
      <c r="B106" s="3">
        <v>2019.6000000000001</v>
      </c>
      <c r="C106" s="3">
        <v>2120.58</v>
      </c>
      <c r="D106" s="3">
        <v>2120.58</v>
      </c>
      <c r="E106" s="3">
        <v>2297.2950000000001</v>
      </c>
      <c r="F106" s="3">
        <v>2322.54</v>
      </c>
      <c r="G106" s="3">
        <v>2017.0755000000001</v>
      </c>
      <c r="H106" s="3">
        <v>2756.7539999999999</v>
      </c>
      <c r="I106" s="3">
        <v>2632.0437000000002</v>
      </c>
      <c r="J106" s="3">
        <v>2756.7539999999999</v>
      </c>
      <c r="K106" s="3">
        <v>2322.54</v>
      </c>
      <c r="L106" s="3">
        <v>2347.7849999999999</v>
      </c>
      <c r="M106" s="3">
        <v>1952.70075</v>
      </c>
      <c r="N106" s="3">
        <v>28219.572909000006</v>
      </c>
    </row>
    <row r="107" spans="1:16" x14ac:dyDescent="0.2">
      <c r="A107" s="48" t="s">
        <v>142</v>
      </c>
      <c r="B107" s="3">
        <v>504.90000000000003</v>
      </c>
      <c r="C107" s="3">
        <v>656.37</v>
      </c>
      <c r="D107" s="3">
        <v>807.84</v>
      </c>
      <c r="E107" s="3">
        <v>605.88</v>
      </c>
      <c r="F107" s="3">
        <v>696.76200000000006</v>
      </c>
      <c r="G107" s="3">
        <v>706.86</v>
      </c>
      <c r="H107" s="3">
        <v>555.39</v>
      </c>
      <c r="I107" s="3">
        <v>1060.29</v>
      </c>
      <c r="J107" s="3">
        <v>984.55500000000006</v>
      </c>
      <c r="K107" s="3">
        <v>1035.0450000000001</v>
      </c>
      <c r="L107" s="3">
        <v>605.88</v>
      </c>
      <c r="M107" s="3">
        <v>656.37</v>
      </c>
      <c r="N107" s="3">
        <v>9053.6648400000013</v>
      </c>
    </row>
    <row r="108" spans="1:16" x14ac:dyDescent="0.2">
      <c r="A108" s="48" t="s">
        <v>125</v>
      </c>
      <c r="B108" s="60">
        <f t="shared" ref="B108:N108" si="38">(B106*$P68+B107*$P69)/1000</f>
        <v>2322.54</v>
      </c>
      <c r="C108" s="60">
        <f t="shared" si="38"/>
        <v>2590.1370000000002</v>
      </c>
      <c r="D108" s="60">
        <f t="shared" si="38"/>
        <v>2771.9009999999998</v>
      </c>
      <c r="E108" s="60">
        <f t="shared" si="38"/>
        <v>2679.75675</v>
      </c>
      <c r="F108" s="60">
        <f t="shared" si="38"/>
        <v>2810.2734</v>
      </c>
      <c r="G108" s="60">
        <f t="shared" si="38"/>
        <v>2562.7461749999998</v>
      </c>
      <c r="H108" s="60">
        <f t="shared" si="38"/>
        <v>3009.7089000000001</v>
      </c>
      <c r="I108" s="60">
        <f t="shared" si="38"/>
        <v>3509.585145</v>
      </c>
      <c r="J108" s="60">
        <f t="shared" si="38"/>
        <v>3524.7069000000001</v>
      </c>
      <c r="K108" s="60">
        <f t="shared" si="38"/>
        <v>3216.2130000000002</v>
      </c>
      <c r="L108" s="60">
        <f t="shared" si="38"/>
        <v>2722.6732499999998</v>
      </c>
      <c r="M108" s="60">
        <f t="shared" si="38"/>
        <v>2447.4396375000001</v>
      </c>
      <c r="N108" s="60">
        <f t="shared" si="38"/>
        <v>34851.034780650007</v>
      </c>
    </row>
    <row r="110" spans="1:16" x14ac:dyDescent="0.2">
      <c r="A110" s="204" t="s">
        <v>139</v>
      </c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05"/>
    </row>
    <row r="111" spans="1:16" x14ac:dyDescent="0.2">
      <c r="A111" s="56"/>
      <c r="B111" s="56" t="s">
        <v>3</v>
      </c>
      <c r="C111" s="56" t="s">
        <v>4</v>
      </c>
      <c r="D111" s="56" t="s">
        <v>5</v>
      </c>
      <c r="E111" s="56" t="s">
        <v>6</v>
      </c>
      <c r="F111" s="56" t="s">
        <v>7</v>
      </c>
      <c r="G111" s="56" t="s">
        <v>8</v>
      </c>
      <c r="H111" s="56" t="s">
        <v>9</v>
      </c>
      <c r="I111" s="56" t="s">
        <v>10</v>
      </c>
      <c r="J111" s="56" t="s">
        <v>96</v>
      </c>
      <c r="K111" s="56" t="s">
        <v>12</v>
      </c>
      <c r="L111" s="56" t="s">
        <v>13</v>
      </c>
      <c r="M111" s="56" t="s">
        <v>14</v>
      </c>
      <c r="N111" s="59" t="s">
        <v>125</v>
      </c>
      <c r="O111" s="59" t="s">
        <v>145</v>
      </c>
      <c r="P111" s="56">
        <v>1000</v>
      </c>
    </row>
    <row r="112" spans="1:16" x14ac:dyDescent="0.2">
      <c r="A112" s="48" t="s">
        <v>141</v>
      </c>
      <c r="B112" s="60">
        <f>((B106*$P68*$O$75)/1000)</f>
        <v>1699.4933999999998</v>
      </c>
      <c r="C112" s="60">
        <f t="shared" ref="C112:M112" si="39">((C106*$P68*$O$75)/1000)</f>
        <v>1784.4680700000001</v>
      </c>
      <c r="D112" s="60">
        <f t="shared" si="39"/>
        <v>1784.4680700000001</v>
      </c>
      <c r="E112" s="60">
        <f t="shared" si="39"/>
        <v>1933.1737424999999</v>
      </c>
      <c r="F112" s="60">
        <f t="shared" si="39"/>
        <v>1954.41741</v>
      </c>
      <c r="G112" s="60">
        <f t="shared" si="39"/>
        <v>1697.36903325</v>
      </c>
      <c r="H112" s="60">
        <f t="shared" si="39"/>
        <v>2319.8084909999998</v>
      </c>
      <c r="I112" s="60">
        <f t="shared" si="39"/>
        <v>2214.8647735499999</v>
      </c>
      <c r="J112" s="60">
        <f t="shared" si="39"/>
        <v>2319.8084909999998</v>
      </c>
      <c r="K112" s="60">
        <f t="shared" si="39"/>
        <v>1954.41741</v>
      </c>
      <c r="L112" s="60">
        <f t="shared" si="39"/>
        <v>1975.6610774999997</v>
      </c>
      <c r="M112" s="60">
        <f t="shared" si="39"/>
        <v>1643.1976811249999</v>
      </c>
      <c r="N112" s="60">
        <f>((N106*$P68*$O$75)/1000)</f>
        <v>23746.770602923505</v>
      </c>
      <c r="O112" s="48" t="s">
        <v>146</v>
      </c>
      <c r="P112" s="56">
        <v>100</v>
      </c>
    </row>
    <row r="113" spans="1:18" x14ac:dyDescent="0.2">
      <c r="A113" s="48" t="s">
        <v>142</v>
      </c>
      <c r="B113" s="60">
        <f>((B107*$P69*$O$75)/1000)</f>
        <v>599.82119999999998</v>
      </c>
      <c r="C113" s="60">
        <f t="shared" ref="C113:M113" si="40">((C107*$P69*$O$75)/1000)</f>
        <v>779.76755999999989</v>
      </c>
      <c r="D113" s="60">
        <f t="shared" si="40"/>
        <v>959.71392000000003</v>
      </c>
      <c r="E113" s="60">
        <f t="shared" si="40"/>
        <v>719.78543999999999</v>
      </c>
      <c r="F113" s="60">
        <f t="shared" si="40"/>
        <v>827.75325600000008</v>
      </c>
      <c r="G113" s="60">
        <f t="shared" si="40"/>
        <v>839.7496799999999</v>
      </c>
      <c r="H113" s="60">
        <f t="shared" si="40"/>
        <v>659.80331999999999</v>
      </c>
      <c r="I113" s="60">
        <f t="shared" si="40"/>
        <v>1259.6245200000001</v>
      </c>
      <c r="J113" s="60">
        <f t="shared" si="40"/>
        <v>1169.6513400000001</v>
      </c>
      <c r="K113" s="60">
        <f t="shared" si="40"/>
        <v>1229.63346</v>
      </c>
      <c r="L113" s="60">
        <f t="shared" si="40"/>
        <v>719.78543999999999</v>
      </c>
      <c r="M113" s="60">
        <f t="shared" si="40"/>
        <v>779.76755999999989</v>
      </c>
      <c r="N113" s="60">
        <f>((N107*$P69*$O$75)/1000)</f>
        <v>10755.75382992</v>
      </c>
    </row>
    <row r="114" spans="1:18" x14ac:dyDescent="0.2">
      <c r="A114" s="48" t="s">
        <v>125</v>
      </c>
      <c r="B114" s="60">
        <f>B112+B113</f>
        <v>2299.3145999999997</v>
      </c>
      <c r="C114" s="60">
        <f t="shared" ref="C114:N114" si="41">C112+C113</f>
        <v>2564.2356300000001</v>
      </c>
      <c r="D114" s="60">
        <f t="shared" si="41"/>
        <v>2744.18199</v>
      </c>
      <c r="E114" s="60">
        <f t="shared" si="41"/>
        <v>2652.9591824999998</v>
      </c>
      <c r="F114" s="60">
        <f t="shared" si="41"/>
        <v>2782.170666</v>
      </c>
      <c r="G114" s="60">
        <f t="shared" si="41"/>
        <v>2537.1187132499999</v>
      </c>
      <c r="H114" s="60">
        <f t="shared" si="41"/>
        <v>2979.6118109999998</v>
      </c>
      <c r="I114" s="60">
        <f t="shared" si="41"/>
        <v>3474.4892935500002</v>
      </c>
      <c r="J114" s="60">
        <f t="shared" si="41"/>
        <v>3489.4598310000001</v>
      </c>
      <c r="K114" s="60">
        <f t="shared" si="41"/>
        <v>3184.05087</v>
      </c>
      <c r="L114" s="60">
        <f t="shared" si="41"/>
        <v>2695.4465174999996</v>
      </c>
      <c r="M114" s="60">
        <f t="shared" si="41"/>
        <v>2422.9652411249999</v>
      </c>
      <c r="N114" s="60">
        <f t="shared" si="41"/>
        <v>34502.524432843507</v>
      </c>
    </row>
    <row r="116" spans="1:18" x14ac:dyDescent="0.2">
      <c r="A116" s="206" t="s">
        <v>148</v>
      </c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07"/>
    </row>
    <row r="117" spans="1:18" x14ac:dyDescent="0.2">
      <c r="A117" s="56"/>
      <c r="B117" s="56" t="s">
        <v>3</v>
      </c>
      <c r="C117" s="56" t="s">
        <v>4</v>
      </c>
      <c r="D117" s="56" t="s">
        <v>5</v>
      </c>
      <c r="E117" s="56" t="s">
        <v>6</v>
      </c>
      <c r="F117" s="56" t="s">
        <v>7</v>
      </c>
      <c r="G117" s="56" t="s">
        <v>8</v>
      </c>
      <c r="H117" s="56" t="s">
        <v>9</v>
      </c>
      <c r="I117" s="56" t="s">
        <v>10</v>
      </c>
      <c r="J117" s="56" t="s">
        <v>96</v>
      </c>
      <c r="K117" s="56" t="s">
        <v>12</v>
      </c>
      <c r="L117" s="56" t="s">
        <v>13</v>
      </c>
      <c r="M117" s="56" t="s">
        <v>14</v>
      </c>
      <c r="N117" s="59" t="s">
        <v>125</v>
      </c>
      <c r="P117" s="48" t="s">
        <v>147</v>
      </c>
    </row>
    <row r="118" spans="1:18" x14ac:dyDescent="0.2">
      <c r="A118" s="48" t="s">
        <v>141</v>
      </c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P118" s="56">
        <v>0.5</v>
      </c>
    </row>
    <row r="119" spans="1:18" x14ac:dyDescent="0.2">
      <c r="A119" s="61" t="s">
        <v>143</v>
      </c>
      <c r="B119" s="60">
        <f>Q125*P118*P73</f>
        <v>797.92036197748871</v>
      </c>
      <c r="C119" s="60">
        <f t="shared" ref="C119:M119" si="42">(B112*$P$118)*0.991</f>
        <v>842.09897969999986</v>
      </c>
      <c r="D119" s="60">
        <f t="shared" si="42"/>
        <v>884.20392868500005</v>
      </c>
      <c r="E119" s="60">
        <f t="shared" si="42"/>
        <v>884.20392868500005</v>
      </c>
      <c r="F119" s="60">
        <f t="shared" si="42"/>
        <v>957.88758940874993</v>
      </c>
      <c r="G119" s="60">
        <f t="shared" si="42"/>
        <v>968.41382665499998</v>
      </c>
      <c r="H119" s="60">
        <f t="shared" si="42"/>
        <v>841.04635597537504</v>
      </c>
      <c r="I119" s="60">
        <f t="shared" si="42"/>
        <v>1149.4651072904999</v>
      </c>
      <c r="J119" s="60">
        <f t="shared" si="42"/>
        <v>1097.465495294025</v>
      </c>
      <c r="K119" s="60">
        <f t="shared" si="42"/>
        <v>1149.4651072904999</v>
      </c>
      <c r="L119" s="60">
        <f t="shared" si="42"/>
        <v>968.41382665499998</v>
      </c>
      <c r="M119" s="60">
        <f t="shared" si="42"/>
        <v>978.9400639012498</v>
      </c>
      <c r="N119" s="60">
        <f>SUM(C119:M119)</f>
        <v>10721.604209540399</v>
      </c>
    </row>
    <row r="120" spans="1:18" x14ac:dyDescent="0.2">
      <c r="A120" s="61" t="s">
        <v>144</v>
      </c>
      <c r="B120" s="60">
        <f>B112*P118*P73</f>
        <v>842.09897969999986</v>
      </c>
      <c r="C120" s="60">
        <f t="shared" ref="C120:M120" si="43">(C112*$P$118)*0.991</f>
        <v>884.20392868500005</v>
      </c>
      <c r="D120" s="60">
        <f t="shared" si="43"/>
        <v>884.20392868500005</v>
      </c>
      <c r="E120" s="60">
        <f t="shared" si="43"/>
        <v>957.88758940874993</v>
      </c>
      <c r="F120" s="60">
        <f t="shared" si="43"/>
        <v>968.41382665499998</v>
      </c>
      <c r="G120" s="60">
        <f t="shared" si="43"/>
        <v>841.04635597537504</v>
      </c>
      <c r="H120" s="60">
        <f t="shared" si="43"/>
        <v>1149.4651072904999</v>
      </c>
      <c r="I120" s="60">
        <f t="shared" si="43"/>
        <v>1097.465495294025</v>
      </c>
      <c r="J120" s="60">
        <f t="shared" si="43"/>
        <v>1149.4651072904999</v>
      </c>
      <c r="K120" s="60">
        <f t="shared" si="43"/>
        <v>968.41382665499998</v>
      </c>
      <c r="L120" s="60">
        <f t="shared" si="43"/>
        <v>978.9400639012498</v>
      </c>
      <c r="M120" s="60">
        <f t="shared" si="43"/>
        <v>814.20445099743745</v>
      </c>
      <c r="N120" s="60">
        <f>SUM(C120:M120)</f>
        <v>10693.709680837836</v>
      </c>
    </row>
    <row r="121" spans="1:18" x14ac:dyDescent="0.2">
      <c r="A121" s="61" t="s">
        <v>107</v>
      </c>
      <c r="B121" s="60">
        <f>B119+B120</f>
        <v>1640.0193416774887</v>
      </c>
      <c r="C121" s="60">
        <f>C119+C120</f>
        <v>1726.3029083849999</v>
      </c>
      <c r="D121" s="60">
        <f t="shared" ref="D121:M121" si="44">D119+D120</f>
        <v>1768.4078573700001</v>
      </c>
      <c r="E121" s="60">
        <f t="shared" si="44"/>
        <v>1842.09151809375</v>
      </c>
      <c r="F121" s="60">
        <f t="shared" si="44"/>
        <v>1926.3014160637499</v>
      </c>
      <c r="G121" s="60">
        <f t="shared" si="44"/>
        <v>1809.4601826303751</v>
      </c>
      <c r="H121" s="60">
        <f t="shared" si="44"/>
        <v>1990.5114632658749</v>
      </c>
      <c r="I121" s="60">
        <f t="shared" si="44"/>
        <v>2246.9306025845249</v>
      </c>
      <c r="J121" s="60">
        <f t="shared" si="44"/>
        <v>2246.9306025845249</v>
      </c>
      <c r="K121" s="60">
        <f t="shared" si="44"/>
        <v>2117.8789339454997</v>
      </c>
      <c r="L121" s="60">
        <f t="shared" si="44"/>
        <v>1947.3538905562498</v>
      </c>
      <c r="M121" s="60">
        <f t="shared" si="44"/>
        <v>1793.1445148986872</v>
      </c>
      <c r="N121" s="60">
        <f>N119+N120</f>
        <v>21415.313890378235</v>
      </c>
      <c r="P121" s="48" t="s">
        <v>155</v>
      </c>
    </row>
    <row r="122" spans="1:18" x14ac:dyDescent="0.2">
      <c r="A122" s="48" t="s">
        <v>142</v>
      </c>
      <c r="B122" s="60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P122" s="3">
        <f>M97*0.98/1000</f>
        <v>2.39849084475</v>
      </c>
    </row>
    <row r="123" spans="1:18" x14ac:dyDescent="0.2">
      <c r="A123" s="61" t="s">
        <v>143</v>
      </c>
      <c r="B123" s="60">
        <f>R125*P118*P73</f>
        <v>378.64732946039993</v>
      </c>
      <c r="C123" s="60">
        <f t="shared" ref="C123:M123" si="45">(B113*$P$118)*0.991</f>
        <v>297.21140459999998</v>
      </c>
      <c r="D123" s="60">
        <f t="shared" si="45"/>
        <v>386.37482597999997</v>
      </c>
      <c r="E123" s="60">
        <f t="shared" si="45"/>
        <v>475.53824736000001</v>
      </c>
      <c r="F123" s="60">
        <f t="shared" si="45"/>
        <v>356.65368552000001</v>
      </c>
      <c r="G123" s="60">
        <f t="shared" si="45"/>
        <v>410.15173834800004</v>
      </c>
      <c r="H123" s="60">
        <f t="shared" si="45"/>
        <v>416.09596643999993</v>
      </c>
      <c r="I123" s="60">
        <f t="shared" si="45"/>
        <v>326.93254506</v>
      </c>
      <c r="J123" s="60">
        <f t="shared" si="45"/>
        <v>624.14394965999998</v>
      </c>
      <c r="K123" s="60">
        <f t="shared" si="45"/>
        <v>579.56223897000007</v>
      </c>
      <c r="L123" s="60">
        <f t="shared" si="45"/>
        <v>609.28337942999997</v>
      </c>
      <c r="M123" s="60">
        <f t="shared" si="45"/>
        <v>356.65368552000001</v>
      </c>
      <c r="N123" s="60">
        <f>SUM(C123:M123)</f>
        <v>4838.6016668880002</v>
      </c>
    </row>
    <row r="124" spans="1:18" x14ac:dyDescent="0.2">
      <c r="A124" s="61" t="s">
        <v>144</v>
      </c>
      <c r="B124" s="60">
        <f>B113*P118*P73</f>
        <v>297.21140459999998</v>
      </c>
      <c r="C124" s="60">
        <f t="shared" ref="C124:M124" si="46">(C113*$P$118)*0.991</f>
        <v>386.37482597999997</v>
      </c>
      <c r="D124" s="60">
        <f t="shared" si="46"/>
        <v>475.53824736000001</v>
      </c>
      <c r="E124" s="60">
        <f t="shared" si="46"/>
        <v>356.65368552000001</v>
      </c>
      <c r="F124" s="60">
        <f t="shared" si="46"/>
        <v>410.15173834800004</v>
      </c>
      <c r="G124" s="60">
        <f t="shared" si="46"/>
        <v>416.09596643999993</v>
      </c>
      <c r="H124" s="60">
        <f t="shared" si="46"/>
        <v>326.93254506</v>
      </c>
      <c r="I124" s="60">
        <f t="shared" si="46"/>
        <v>624.14394965999998</v>
      </c>
      <c r="J124" s="60">
        <f t="shared" si="46"/>
        <v>579.56223897000007</v>
      </c>
      <c r="K124" s="60">
        <f t="shared" si="46"/>
        <v>609.28337942999997</v>
      </c>
      <c r="L124" s="60">
        <f t="shared" si="46"/>
        <v>356.65368552000001</v>
      </c>
      <c r="M124" s="60">
        <f t="shared" si="46"/>
        <v>386.37482597999997</v>
      </c>
      <c r="N124" s="60">
        <f>SUM(C124:M124)</f>
        <v>4927.7650882680009</v>
      </c>
      <c r="P124" s="48" t="s">
        <v>156</v>
      </c>
      <c r="Q124" s="48" t="s">
        <v>15</v>
      </c>
      <c r="R124" s="48" t="s">
        <v>16</v>
      </c>
    </row>
    <row r="125" spans="1:18" x14ac:dyDescent="0.2">
      <c r="A125" s="62" t="s">
        <v>108</v>
      </c>
      <c r="B125" s="60">
        <f>B123+B124</f>
        <v>675.85873406039991</v>
      </c>
      <c r="C125" s="60">
        <f>C123+C124</f>
        <v>683.58623057999989</v>
      </c>
      <c r="D125" s="60">
        <f t="shared" ref="D125:M125" si="47">D123+D124</f>
        <v>861.91307333999998</v>
      </c>
      <c r="E125" s="60">
        <f t="shared" si="47"/>
        <v>832.19193287999997</v>
      </c>
      <c r="F125" s="60">
        <f t="shared" si="47"/>
        <v>766.80542386800005</v>
      </c>
      <c r="G125" s="60">
        <f t="shared" si="47"/>
        <v>826.24770478799996</v>
      </c>
      <c r="H125" s="60">
        <f t="shared" si="47"/>
        <v>743.02851149999992</v>
      </c>
      <c r="I125" s="60">
        <f t="shared" si="47"/>
        <v>951.07649472000003</v>
      </c>
      <c r="J125" s="60">
        <f t="shared" si="47"/>
        <v>1203.70618863</v>
      </c>
      <c r="K125" s="60">
        <f t="shared" si="47"/>
        <v>1188.8456184000001</v>
      </c>
      <c r="L125" s="60">
        <f t="shared" si="47"/>
        <v>965.93706494999992</v>
      </c>
      <c r="M125" s="60">
        <f t="shared" si="47"/>
        <v>743.02851149999992</v>
      </c>
      <c r="N125" s="60">
        <f>N123+N124</f>
        <v>9766.3667551560011</v>
      </c>
      <c r="P125" s="3">
        <f>P122*O75*P73</f>
        <v>2.3531353828757777</v>
      </c>
      <c r="Q125" s="60">
        <f>M112*0.98</f>
        <v>1610.3337275024999</v>
      </c>
      <c r="R125" s="60">
        <f>M113*0.98</f>
        <v>764.17220879999991</v>
      </c>
    </row>
    <row r="127" spans="1:18" x14ac:dyDescent="0.2">
      <c r="A127" s="62" t="s">
        <v>149</v>
      </c>
      <c r="B127" s="60">
        <f>B121+B125</f>
        <v>2315.8780757378886</v>
      </c>
      <c r="C127" s="60">
        <f>C121+C125</f>
        <v>2409.8891389649998</v>
      </c>
      <c r="D127" s="60">
        <f t="shared" ref="D127:M127" si="48">D121+D125</f>
        <v>2630.3209307100001</v>
      </c>
      <c r="E127" s="60">
        <f t="shared" si="48"/>
        <v>2674.28345097375</v>
      </c>
      <c r="F127" s="60">
        <f t="shared" si="48"/>
        <v>2693.1068399317501</v>
      </c>
      <c r="G127" s="60">
        <f t="shared" si="48"/>
        <v>2635.7078874183753</v>
      </c>
      <c r="H127" s="60">
        <f t="shared" si="48"/>
        <v>2733.5399747658748</v>
      </c>
      <c r="I127" s="60">
        <f t="shared" si="48"/>
        <v>3198.0070973045249</v>
      </c>
      <c r="J127" s="60">
        <f t="shared" si="48"/>
        <v>3450.6367912145251</v>
      </c>
      <c r="K127" s="60">
        <f t="shared" si="48"/>
        <v>3306.7245523454999</v>
      </c>
      <c r="L127" s="60">
        <f t="shared" si="48"/>
        <v>2913.2909555062497</v>
      </c>
      <c r="M127" s="60">
        <f t="shared" si="48"/>
        <v>2536.1730263986874</v>
      </c>
      <c r="N127" s="60">
        <f>N121+N125</f>
        <v>31181.680645534238</v>
      </c>
    </row>
    <row r="128" spans="1:18" x14ac:dyDescent="0.2">
      <c r="A128" s="62" t="s">
        <v>157</v>
      </c>
      <c r="B128" s="60">
        <f>B127/$P73</f>
        <v>2336.91026815125</v>
      </c>
      <c r="C128" s="60">
        <f t="shared" ref="C128:N128" si="49">C127/$P73</f>
        <v>2431.7751149999999</v>
      </c>
      <c r="D128" s="60">
        <f t="shared" si="49"/>
        <v>2654.2088100000001</v>
      </c>
      <c r="E128" s="60">
        <f t="shared" si="49"/>
        <v>2698.5705862499999</v>
      </c>
      <c r="F128" s="60">
        <f t="shared" si="49"/>
        <v>2717.5649242499999</v>
      </c>
      <c r="G128" s="60">
        <f t="shared" si="49"/>
        <v>2659.6446896250004</v>
      </c>
      <c r="H128" s="60">
        <f t="shared" si="49"/>
        <v>2758.3652621249998</v>
      </c>
      <c r="I128" s="60">
        <f t="shared" si="49"/>
        <v>3227.050552275</v>
      </c>
      <c r="J128" s="60">
        <f t="shared" si="49"/>
        <v>3481.9745622750002</v>
      </c>
      <c r="K128" s="60">
        <f t="shared" si="49"/>
        <v>3336.7553505000001</v>
      </c>
      <c r="L128" s="60">
        <f t="shared" si="49"/>
        <v>2939.7486937499998</v>
      </c>
      <c r="M128" s="60">
        <f t="shared" si="49"/>
        <v>2559.2058793124997</v>
      </c>
      <c r="N128" s="60">
        <f t="shared" si="49"/>
        <v>31464.864425362499</v>
      </c>
    </row>
    <row r="130" spans="1:14" x14ac:dyDescent="0.2">
      <c r="A130" s="208" t="s">
        <v>150</v>
      </c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</row>
    <row r="131" spans="1:14" x14ac:dyDescent="0.2">
      <c r="A131" s="56"/>
      <c r="B131" s="56" t="s">
        <v>3</v>
      </c>
      <c r="C131" s="56" t="s">
        <v>4</v>
      </c>
      <c r="D131" s="56" t="s">
        <v>5</v>
      </c>
      <c r="E131" s="56" t="s">
        <v>6</v>
      </c>
      <c r="F131" s="56" t="s">
        <v>7</v>
      </c>
      <c r="G131" s="56" t="s">
        <v>8</v>
      </c>
      <c r="H131" s="56" t="s">
        <v>9</v>
      </c>
      <c r="I131" s="56" t="s">
        <v>10</v>
      </c>
      <c r="J131" s="56" t="s">
        <v>96</v>
      </c>
      <c r="K131" s="56" t="s">
        <v>12</v>
      </c>
      <c r="L131" s="56" t="s">
        <v>13</v>
      </c>
      <c r="M131" s="56" t="s">
        <v>14</v>
      </c>
      <c r="N131" s="59" t="s">
        <v>125</v>
      </c>
    </row>
    <row r="132" spans="1:14" x14ac:dyDescent="0.2">
      <c r="A132" s="48" t="s">
        <v>141</v>
      </c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1:14" x14ac:dyDescent="0.2">
      <c r="A133" s="48" t="s">
        <v>151</v>
      </c>
      <c r="B133" s="3">
        <f>A70</f>
        <v>403.92000000000007</v>
      </c>
      <c r="C133" s="3">
        <f>B135</f>
        <v>824.31999999999994</v>
      </c>
      <c r="D133" s="3">
        <f t="shared" ref="D133:M133" si="50">C135</f>
        <v>823.73999999999978</v>
      </c>
      <c r="E133" s="3">
        <f t="shared" si="50"/>
        <v>1063.1599999999999</v>
      </c>
      <c r="F133" s="3">
        <f t="shared" si="50"/>
        <v>1145.8649999999998</v>
      </c>
      <c r="G133" s="3">
        <f t="shared" si="50"/>
        <v>1083.3249999999998</v>
      </c>
      <c r="H133" s="3">
        <f t="shared" si="50"/>
        <v>1246.2494999999997</v>
      </c>
      <c r="I133" s="3">
        <f t="shared" si="50"/>
        <v>1109.4955</v>
      </c>
      <c r="J133" s="3">
        <f t="shared" si="50"/>
        <v>637.45179999999982</v>
      </c>
      <c r="K133" s="3">
        <f t="shared" si="50"/>
        <v>60.697799999999916</v>
      </c>
      <c r="L133" s="3">
        <f t="shared" si="50"/>
        <v>58.157799999999952</v>
      </c>
      <c r="M133" s="3">
        <f t="shared" si="50"/>
        <v>150.3728000000001</v>
      </c>
      <c r="N133" s="56"/>
    </row>
    <row r="134" spans="1:14" x14ac:dyDescent="0.2">
      <c r="A134" s="48" t="s">
        <v>152</v>
      </c>
      <c r="B134" s="3">
        <f>Enunciado!C28</f>
        <v>2019.6000000000001</v>
      </c>
      <c r="C134" s="3">
        <f>Enunciado!D28</f>
        <v>2120.58</v>
      </c>
      <c r="D134" s="3">
        <f>Enunciado!E28</f>
        <v>2120.58</v>
      </c>
      <c r="E134" s="3">
        <f>Enunciado!F28</f>
        <v>2297.2950000000001</v>
      </c>
      <c r="F134" s="3">
        <f>Enunciado!G28</f>
        <v>2322.54</v>
      </c>
      <c r="G134" s="3">
        <f>Enunciado!H28</f>
        <v>2017.0755000000001</v>
      </c>
      <c r="H134" s="3">
        <f>Enunciado!I28</f>
        <v>2756.7539999999999</v>
      </c>
      <c r="I134" s="3">
        <f>Enunciado!J28</f>
        <v>2632.0437000000002</v>
      </c>
      <c r="J134" s="3">
        <f>Enunciado!K28</f>
        <v>2756.7539999999999</v>
      </c>
      <c r="K134" s="3">
        <f>Enunciado!L28</f>
        <v>2322.54</v>
      </c>
      <c r="L134" s="3">
        <f>Enunciado!M28</f>
        <v>2347.7849999999999</v>
      </c>
      <c r="M134" s="3">
        <f>Enunciado!N28</f>
        <v>1952.70075</v>
      </c>
      <c r="N134" s="56"/>
    </row>
    <row r="135" spans="1:14" x14ac:dyDescent="0.2">
      <c r="A135" s="49" t="s">
        <v>153</v>
      </c>
      <c r="B135" s="3">
        <f>B70</f>
        <v>824.31999999999994</v>
      </c>
      <c r="C135" s="3">
        <f t="shared" ref="C135:M135" si="51">C70</f>
        <v>823.73999999999978</v>
      </c>
      <c r="D135" s="3">
        <f t="shared" si="51"/>
        <v>1063.1599999999999</v>
      </c>
      <c r="E135" s="3">
        <f t="shared" si="51"/>
        <v>1145.8649999999998</v>
      </c>
      <c r="F135" s="3">
        <f t="shared" si="51"/>
        <v>1083.3249999999998</v>
      </c>
      <c r="G135" s="3">
        <f t="shared" si="51"/>
        <v>1246.2494999999997</v>
      </c>
      <c r="H135" s="3">
        <f t="shared" si="51"/>
        <v>1109.4955</v>
      </c>
      <c r="I135" s="3">
        <f t="shared" si="51"/>
        <v>637.45179999999982</v>
      </c>
      <c r="J135" s="3">
        <f t="shared" si="51"/>
        <v>60.697799999999916</v>
      </c>
      <c r="K135" s="3">
        <f t="shared" si="51"/>
        <v>58.157799999999952</v>
      </c>
      <c r="L135" s="3">
        <f t="shared" si="51"/>
        <v>150.3728000000001</v>
      </c>
      <c r="M135" s="3">
        <f t="shared" si="51"/>
        <v>517.67205000000013</v>
      </c>
      <c r="N135" s="56"/>
    </row>
    <row r="136" spans="1:14" x14ac:dyDescent="0.2">
      <c r="A136" s="49" t="s">
        <v>154</v>
      </c>
      <c r="B136" s="3">
        <f>B134+(B135-B133)</f>
        <v>2440</v>
      </c>
      <c r="C136" s="3">
        <f t="shared" ref="C136:M136" si="52">C134+(C135-C133)</f>
        <v>2120</v>
      </c>
      <c r="D136" s="3">
        <f t="shared" si="52"/>
        <v>2360</v>
      </c>
      <c r="E136" s="3">
        <f t="shared" si="52"/>
        <v>2380</v>
      </c>
      <c r="F136" s="3">
        <f t="shared" si="52"/>
        <v>2260</v>
      </c>
      <c r="G136" s="3">
        <f t="shared" si="52"/>
        <v>2180</v>
      </c>
      <c r="H136" s="3">
        <f t="shared" si="52"/>
        <v>2620</v>
      </c>
      <c r="I136" s="3">
        <f t="shared" si="52"/>
        <v>2160</v>
      </c>
      <c r="J136" s="3">
        <f t="shared" si="52"/>
        <v>2180</v>
      </c>
      <c r="K136" s="3">
        <f t="shared" si="52"/>
        <v>2320</v>
      </c>
      <c r="L136" s="3">
        <f t="shared" si="52"/>
        <v>2440</v>
      </c>
      <c r="M136" s="3">
        <f t="shared" si="52"/>
        <v>2320</v>
      </c>
      <c r="N136" s="3">
        <f>SUM(B136:M136)</f>
        <v>27780</v>
      </c>
    </row>
    <row r="137" spans="1:14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</row>
    <row r="138" spans="1:14" x14ac:dyDescent="0.2">
      <c r="A138" s="48" t="s">
        <v>142</v>
      </c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</row>
    <row r="139" spans="1:14" x14ac:dyDescent="0.2">
      <c r="A139" s="48" t="s">
        <v>151</v>
      </c>
      <c r="B139" s="3">
        <f>A71</f>
        <v>100.98000000000002</v>
      </c>
      <c r="C139" s="3">
        <f>B141</f>
        <v>366.08</v>
      </c>
      <c r="D139" s="3">
        <f t="shared" ref="D139:M139" si="53">C141</f>
        <v>509.70999999999992</v>
      </c>
      <c r="E139" s="3">
        <f t="shared" si="53"/>
        <v>451.87</v>
      </c>
      <c r="F139" s="3">
        <f t="shared" si="53"/>
        <v>575.9899999999999</v>
      </c>
      <c r="G139" s="3">
        <f t="shared" si="53"/>
        <v>569.22799999999972</v>
      </c>
      <c r="H139" s="3">
        <f t="shared" si="53"/>
        <v>532.3679999999996</v>
      </c>
      <c r="I139" s="3">
        <f t="shared" si="53"/>
        <v>416.97799999999961</v>
      </c>
      <c r="J139" s="3">
        <f t="shared" si="53"/>
        <v>286.68799999999965</v>
      </c>
      <c r="K139" s="3">
        <f t="shared" si="53"/>
        <v>232.13299999999958</v>
      </c>
      <c r="L139" s="3">
        <f t="shared" si="53"/>
        <v>37.087999999999511</v>
      </c>
      <c r="M139" s="3">
        <f t="shared" si="53"/>
        <v>51.207999999999515</v>
      </c>
      <c r="N139" s="56"/>
    </row>
    <row r="140" spans="1:14" x14ac:dyDescent="0.2">
      <c r="A140" s="48" t="s">
        <v>152</v>
      </c>
      <c r="B140" s="3">
        <f>Enunciado!C29</f>
        <v>504.90000000000003</v>
      </c>
      <c r="C140" s="3">
        <f>Enunciado!D29</f>
        <v>656.37</v>
      </c>
      <c r="D140" s="3">
        <f>Enunciado!E29</f>
        <v>807.84</v>
      </c>
      <c r="E140" s="3">
        <f>Enunciado!F29</f>
        <v>605.88</v>
      </c>
      <c r="F140" s="3">
        <f>Enunciado!G29</f>
        <v>696.76200000000006</v>
      </c>
      <c r="G140" s="3">
        <f>Enunciado!H29</f>
        <v>706.86</v>
      </c>
      <c r="H140" s="3">
        <f>Enunciado!I29</f>
        <v>555.39</v>
      </c>
      <c r="I140" s="3">
        <f>Enunciado!J29</f>
        <v>1060.29</v>
      </c>
      <c r="J140" s="3">
        <f>Enunciado!K29</f>
        <v>984.55500000000006</v>
      </c>
      <c r="K140" s="3">
        <f>Enunciado!L29</f>
        <v>1035.0450000000001</v>
      </c>
      <c r="L140" s="3">
        <f>Enunciado!M29</f>
        <v>605.88</v>
      </c>
      <c r="M140" s="3">
        <f>Enunciado!N29</f>
        <v>656.37</v>
      </c>
      <c r="N140" s="56"/>
    </row>
    <row r="141" spans="1:14" x14ac:dyDescent="0.2">
      <c r="A141" s="48" t="s">
        <v>153</v>
      </c>
      <c r="B141" s="3">
        <f>B71</f>
        <v>366.08</v>
      </c>
      <c r="C141" s="3">
        <f t="shared" ref="C141:M141" si="54">C71</f>
        <v>509.70999999999992</v>
      </c>
      <c r="D141" s="3">
        <f t="shared" si="54"/>
        <v>451.87</v>
      </c>
      <c r="E141" s="3">
        <f t="shared" si="54"/>
        <v>575.9899999999999</v>
      </c>
      <c r="F141" s="3">
        <f t="shared" si="54"/>
        <v>569.22799999999972</v>
      </c>
      <c r="G141" s="3">
        <f t="shared" si="54"/>
        <v>532.3679999999996</v>
      </c>
      <c r="H141" s="3">
        <f t="shared" si="54"/>
        <v>416.97799999999961</v>
      </c>
      <c r="I141" s="3">
        <f t="shared" si="54"/>
        <v>286.68799999999965</v>
      </c>
      <c r="J141" s="3">
        <f t="shared" si="54"/>
        <v>232.13299999999958</v>
      </c>
      <c r="K141" s="3">
        <f t="shared" si="54"/>
        <v>37.087999999999511</v>
      </c>
      <c r="L141" s="3">
        <f t="shared" si="54"/>
        <v>51.207999999999515</v>
      </c>
      <c r="M141" s="3">
        <f t="shared" si="54"/>
        <v>124.83799999999951</v>
      </c>
      <c r="N141" s="56"/>
    </row>
    <row r="142" spans="1:14" x14ac:dyDescent="0.2">
      <c r="A142" s="48" t="s">
        <v>154</v>
      </c>
      <c r="B142" s="3">
        <f>B140+(B141-B139)</f>
        <v>770</v>
      </c>
      <c r="C142" s="3">
        <f t="shared" ref="C142:M142" si="55">C140+(C141-C139)</f>
        <v>800</v>
      </c>
      <c r="D142" s="3">
        <f t="shared" si="55"/>
        <v>750.00000000000011</v>
      </c>
      <c r="E142" s="3">
        <f t="shared" si="55"/>
        <v>729.99999999999989</v>
      </c>
      <c r="F142" s="3">
        <f t="shared" si="55"/>
        <v>689.99999999999989</v>
      </c>
      <c r="G142" s="3">
        <f t="shared" si="55"/>
        <v>669.99999999999989</v>
      </c>
      <c r="H142" s="3">
        <f t="shared" si="55"/>
        <v>440</v>
      </c>
      <c r="I142" s="3">
        <f t="shared" si="55"/>
        <v>930</v>
      </c>
      <c r="J142" s="3">
        <f t="shared" si="55"/>
        <v>930</v>
      </c>
      <c r="K142" s="3">
        <f t="shared" si="55"/>
        <v>840</v>
      </c>
      <c r="L142" s="3">
        <f t="shared" si="55"/>
        <v>620</v>
      </c>
      <c r="M142" s="3">
        <f t="shared" si="55"/>
        <v>730</v>
      </c>
      <c r="N142" s="3">
        <f>SUM(B142:M142)</f>
        <v>8900</v>
      </c>
    </row>
    <row r="144" spans="1:14" x14ac:dyDescent="0.2">
      <c r="A144" s="208" t="s">
        <v>158</v>
      </c>
      <c r="B144" s="208"/>
      <c r="C144" s="208"/>
      <c r="D144" s="208"/>
      <c r="E144" s="208"/>
      <c r="F144" s="208"/>
      <c r="G144" s="208"/>
      <c r="H144" s="208"/>
      <c r="I144" s="208"/>
      <c r="J144" s="208"/>
      <c r="K144" s="208"/>
      <c r="L144" s="208"/>
      <c r="M144" s="208"/>
      <c r="N144" s="208"/>
    </row>
    <row r="145" spans="1:15" x14ac:dyDescent="0.2">
      <c r="A145" s="56"/>
      <c r="B145" s="48" t="s">
        <v>161</v>
      </c>
      <c r="C145" s="56" t="s">
        <v>3</v>
      </c>
      <c r="D145" s="56" t="s">
        <v>4</v>
      </c>
      <c r="E145" s="56" t="s">
        <v>5</v>
      </c>
      <c r="F145" s="56" t="s">
        <v>6</v>
      </c>
      <c r="G145" s="56" t="s">
        <v>7</v>
      </c>
      <c r="H145" s="56" t="s">
        <v>8</v>
      </c>
      <c r="I145" s="56" t="s">
        <v>9</v>
      </c>
      <c r="J145" s="56" t="s">
        <v>10</v>
      </c>
      <c r="K145" s="56" t="s">
        <v>96</v>
      </c>
      <c r="L145" s="56" t="s">
        <v>12</v>
      </c>
      <c r="M145" s="56" t="s">
        <v>13</v>
      </c>
      <c r="N145" s="56" t="s">
        <v>14</v>
      </c>
      <c r="O145" s="66" t="s">
        <v>125</v>
      </c>
    </row>
    <row r="146" spans="1:15" x14ac:dyDescent="0.2">
      <c r="A146" s="48" t="s">
        <v>141</v>
      </c>
      <c r="B146" s="48" t="s">
        <v>162</v>
      </c>
      <c r="C146" s="3">
        <f>B136</f>
        <v>2440</v>
      </c>
      <c r="D146" s="3">
        <f t="shared" ref="D146:O146" si="56">C136</f>
        <v>2120</v>
      </c>
      <c r="E146" s="3">
        <f t="shared" si="56"/>
        <v>2360</v>
      </c>
      <c r="F146" s="3">
        <f t="shared" si="56"/>
        <v>2380</v>
      </c>
      <c r="G146" s="3">
        <f t="shared" si="56"/>
        <v>2260</v>
      </c>
      <c r="H146" s="3">
        <f t="shared" si="56"/>
        <v>2180</v>
      </c>
      <c r="I146" s="3">
        <f t="shared" si="56"/>
        <v>2620</v>
      </c>
      <c r="J146" s="3">
        <f t="shared" si="56"/>
        <v>2160</v>
      </c>
      <c r="K146" s="3">
        <f t="shared" si="56"/>
        <v>2180</v>
      </c>
      <c r="L146" s="3">
        <f t="shared" si="56"/>
        <v>2320</v>
      </c>
      <c r="M146" s="3">
        <f t="shared" si="56"/>
        <v>2440</v>
      </c>
      <c r="N146" s="3">
        <f t="shared" si="56"/>
        <v>2320</v>
      </c>
      <c r="O146" s="37">
        <f t="shared" si="56"/>
        <v>27780</v>
      </c>
    </row>
    <row r="147" spans="1:15" x14ac:dyDescent="0.2">
      <c r="A147" s="210" t="s">
        <v>166</v>
      </c>
      <c r="B147" s="48" t="s">
        <v>151</v>
      </c>
      <c r="C147" s="56">
        <f>A27</f>
        <v>2440</v>
      </c>
      <c r="D147" s="56">
        <f>C149</f>
        <v>2120</v>
      </c>
      <c r="E147" s="56">
        <f t="shared" ref="E147:N147" si="57">D149</f>
        <v>2360</v>
      </c>
      <c r="F147" s="56">
        <f t="shared" si="57"/>
        <v>2380</v>
      </c>
      <c r="G147" s="56">
        <f t="shared" si="57"/>
        <v>2260</v>
      </c>
      <c r="H147" s="56">
        <f t="shared" si="57"/>
        <v>2180</v>
      </c>
      <c r="I147" s="56">
        <f t="shared" si="57"/>
        <v>2620</v>
      </c>
      <c r="J147" s="56">
        <f t="shared" si="57"/>
        <v>2160</v>
      </c>
      <c r="K147" s="56">
        <f t="shared" si="57"/>
        <v>2180</v>
      </c>
      <c r="L147" s="56">
        <f t="shared" si="57"/>
        <v>2320</v>
      </c>
      <c r="M147" s="56">
        <f t="shared" si="57"/>
        <v>2440</v>
      </c>
      <c r="N147" s="56">
        <f t="shared" si="57"/>
        <v>2320</v>
      </c>
    </row>
    <row r="148" spans="1:15" x14ac:dyDescent="0.2">
      <c r="A148" s="150"/>
      <c r="B148" s="48" t="s">
        <v>163</v>
      </c>
      <c r="C148" s="56">
        <f>B56</f>
        <v>24400</v>
      </c>
      <c r="D148" s="56">
        <f t="shared" ref="D148:N148" si="58">C56</f>
        <v>21200</v>
      </c>
      <c r="E148" s="56">
        <f t="shared" si="58"/>
        <v>23600</v>
      </c>
      <c r="F148" s="56">
        <f t="shared" si="58"/>
        <v>23800</v>
      </c>
      <c r="G148" s="56">
        <f t="shared" si="58"/>
        <v>22600</v>
      </c>
      <c r="H148" s="56">
        <f t="shared" si="58"/>
        <v>21800</v>
      </c>
      <c r="I148" s="56">
        <f t="shared" si="58"/>
        <v>26200</v>
      </c>
      <c r="J148" s="56">
        <f t="shared" si="58"/>
        <v>21600</v>
      </c>
      <c r="K148" s="56">
        <f t="shared" si="58"/>
        <v>21800</v>
      </c>
      <c r="L148" s="56">
        <f t="shared" si="58"/>
        <v>23200</v>
      </c>
      <c r="M148" s="56">
        <f t="shared" si="58"/>
        <v>24400</v>
      </c>
      <c r="N148" s="56">
        <f t="shared" si="58"/>
        <v>23200</v>
      </c>
    </row>
    <row r="149" spans="1:15" x14ac:dyDescent="0.2">
      <c r="A149" s="150"/>
      <c r="B149" s="48" t="s">
        <v>153</v>
      </c>
      <c r="C149" s="56">
        <f>B49</f>
        <v>2120</v>
      </c>
      <c r="D149" s="56">
        <f t="shared" ref="D149:N149" si="59">C49</f>
        <v>2360</v>
      </c>
      <c r="E149" s="56">
        <f t="shared" si="59"/>
        <v>2380</v>
      </c>
      <c r="F149" s="56">
        <f t="shared" si="59"/>
        <v>2260</v>
      </c>
      <c r="G149" s="56">
        <f t="shared" si="59"/>
        <v>2180</v>
      </c>
      <c r="H149" s="56">
        <f t="shared" si="59"/>
        <v>2620</v>
      </c>
      <c r="I149" s="56">
        <f t="shared" si="59"/>
        <v>2160</v>
      </c>
      <c r="J149" s="56">
        <f t="shared" si="59"/>
        <v>2180</v>
      </c>
      <c r="K149" s="56">
        <f t="shared" si="59"/>
        <v>2320</v>
      </c>
      <c r="L149" s="56">
        <f t="shared" si="59"/>
        <v>2440</v>
      </c>
      <c r="M149" s="56">
        <f t="shared" si="59"/>
        <v>2320</v>
      </c>
      <c r="N149" s="56">
        <f t="shared" si="59"/>
        <v>1994</v>
      </c>
    </row>
    <row r="150" spans="1:15" x14ac:dyDescent="0.2">
      <c r="A150" s="150"/>
      <c r="B150" s="48" t="s">
        <v>164</v>
      </c>
      <c r="C150" s="56">
        <f>C148+C149-C147</f>
        <v>24080</v>
      </c>
      <c r="D150" s="71">
        <f t="shared" ref="D150:N150" si="60">D148+D149-D147</f>
        <v>21440</v>
      </c>
      <c r="E150" s="71">
        <f t="shared" si="60"/>
        <v>23620</v>
      </c>
      <c r="F150" s="71">
        <f t="shared" si="60"/>
        <v>23680</v>
      </c>
      <c r="G150" s="71">
        <f t="shared" si="60"/>
        <v>22520</v>
      </c>
      <c r="H150" s="71">
        <f t="shared" si="60"/>
        <v>22240</v>
      </c>
      <c r="I150" s="71">
        <f t="shared" si="60"/>
        <v>25740</v>
      </c>
      <c r="J150" s="71">
        <f t="shared" si="60"/>
        <v>21620</v>
      </c>
      <c r="K150" s="71">
        <f t="shared" si="60"/>
        <v>21940</v>
      </c>
      <c r="L150" s="71">
        <f t="shared" si="60"/>
        <v>23320</v>
      </c>
      <c r="M150" s="71">
        <f t="shared" si="60"/>
        <v>24280</v>
      </c>
      <c r="N150" s="71">
        <f t="shared" si="60"/>
        <v>22874</v>
      </c>
    </row>
    <row r="151" spans="1:15" x14ac:dyDescent="0.2">
      <c r="A151" s="150"/>
      <c r="B151" s="48" t="s">
        <v>165</v>
      </c>
      <c r="C151" s="73">
        <f t="shared" ref="C151:N151" si="61">(C150*$S$13)/1000</f>
        <v>216.72</v>
      </c>
      <c r="D151" s="73">
        <f t="shared" si="61"/>
        <v>192.96</v>
      </c>
      <c r="E151" s="73">
        <f t="shared" si="61"/>
        <v>212.58</v>
      </c>
      <c r="F151" s="73">
        <f t="shared" si="61"/>
        <v>213.12</v>
      </c>
      <c r="G151" s="73">
        <f t="shared" si="61"/>
        <v>202.68</v>
      </c>
      <c r="H151" s="73">
        <f t="shared" si="61"/>
        <v>200.16</v>
      </c>
      <c r="I151" s="73">
        <f t="shared" si="61"/>
        <v>231.66</v>
      </c>
      <c r="J151" s="73">
        <f t="shared" si="61"/>
        <v>194.58</v>
      </c>
      <c r="K151" s="73">
        <f t="shared" si="61"/>
        <v>197.46</v>
      </c>
      <c r="L151" s="73">
        <f t="shared" si="61"/>
        <v>209.88</v>
      </c>
      <c r="M151" s="73">
        <f t="shared" si="61"/>
        <v>218.52</v>
      </c>
      <c r="N151" s="73">
        <f t="shared" si="61"/>
        <v>205.86600000000001</v>
      </c>
    </row>
    <row r="152" spans="1:15" x14ac:dyDescent="0.2">
      <c r="A152" s="210" t="s">
        <v>167</v>
      </c>
      <c r="B152" s="48" t="s">
        <v>151</v>
      </c>
      <c r="C152" s="56">
        <f>A28</f>
        <v>3416</v>
      </c>
      <c r="D152" s="56">
        <f>C154</f>
        <v>2968</v>
      </c>
      <c r="E152" s="56">
        <f t="shared" ref="E152:N152" si="62">D154</f>
        <v>3304</v>
      </c>
      <c r="F152" s="56">
        <f t="shared" si="62"/>
        <v>3332</v>
      </c>
      <c r="G152" s="56">
        <f t="shared" si="62"/>
        <v>3164</v>
      </c>
      <c r="H152" s="56">
        <f t="shared" si="62"/>
        <v>3052</v>
      </c>
      <c r="I152" s="56">
        <f t="shared" si="62"/>
        <v>3668</v>
      </c>
      <c r="J152" s="56">
        <f t="shared" si="62"/>
        <v>3024</v>
      </c>
      <c r="K152" s="56">
        <f t="shared" si="62"/>
        <v>3052</v>
      </c>
      <c r="L152" s="56">
        <f t="shared" si="62"/>
        <v>3248</v>
      </c>
      <c r="M152" s="56">
        <f t="shared" si="62"/>
        <v>3416</v>
      </c>
      <c r="N152" s="56">
        <f t="shared" si="62"/>
        <v>3248</v>
      </c>
    </row>
    <row r="153" spans="1:15" x14ac:dyDescent="0.2">
      <c r="A153" s="150"/>
      <c r="B153" s="48" t="s">
        <v>163</v>
      </c>
      <c r="C153" s="56">
        <f>B57</f>
        <v>34160</v>
      </c>
      <c r="D153" s="56">
        <f t="shared" ref="D153:N153" si="63">C57</f>
        <v>29680</v>
      </c>
      <c r="E153" s="56">
        <f t="shared" si="63"/>
        <v>33040</v>
      </c>
      <c r="F153" s="56">
        <f t="shared" si="63"/>
        <v>33320</v>
      </c>
      <c r="G153" s="56">
        <f t="shared" si="63"/>
        <v>31640</v>
      </c>
      <c r="H153" s="56">
        <f t="shared" si="63"/>
        <v>30520</v>
      </c>
      <c r="I153" s="56">
        <f t="shared" si="63"/>
        <v>36680</v>
      </c>
      <c r="J153" s="56">
        <f t="shared" si="63"/>
        <v>30240</v>
      </c>
      <c r="K153" s="56">
        <f t="shared" si="63"/>
        <v>30520</v>
      </c>
      <c r="L153" s="56">
        <f t="shared" si="63"/>
        <v>32480</v>
      </c>
      <c r="M153" s="56">
        <f t="shared" si="63"/>
        <v>34160</v>
      </c>
      <c r="N153" s="56">
        <f t="shared" si="63"/>
        <v>32480</v>
      </c>
    </row>
    <row r="154" spans="1:15" x14ac:dyDescent="0.2">
      <c r="A154" s="150"/>
      <c r="B154" s="48" t="s">
        <v>153</v>
      </c>
      <c r="C154" s="56">
        <f>B50</f>
        <v>2968</v>
      </c>
      <c r="D154" s="56">
        <f t="shared" ref="D154:N154" si="64">C50</f>
        <v>3304</v>
      </c>
      <c r="E154" s="56">
        <f t="shared" si="64"/>
        <v>3332</v>
      </c>
      <c r="F154" s="56">
        <f t="shared" si="64"/>
        <v>3164</v>
      </c>
      <c r="G154" s="56">
        <f t="shared" si="64"/>
        <v>3052</v>
      </c>
      <c r="H154" s="56">
        <f t="shared" si="64"/>
        <v>3668</v>
      </c>
      <c r="I154" s="56">
        <f t="shared" si="64"/>
        <v>3024</v>
      </c>
      <c r="J154" s="56">
        <f t="shared" si="64"/>
        <v>3052</v>
      </c>
      <c r="K154" s="56">
        <f t="shared" si="64"/>
        <v>3248</v>
      </c>
      <c r="L154" s="56">
        <f t="shared" si="64"/>
        <v>3416</v>
      </c>
      <c r="M154" s="56">
        <f t="shared" si="64"/>
        <v>3248</v>
      </c>
      <c r="N154" s="56">
        <f t="shared" si="64"/>
        <v>2792</v>
      </c>
    </row>
    <row r="155" spans="1:15" x14ac:dyDescent="0.2">
      <c r="A155" s="150"/>
      <c r="B155" s="48" t="s">
        <v>164</v>
      </c>
      <c r="C155" s="56">
        <f>C153+C154-C152</f>
        <v>33712</v>
      </c>
      <c r="D155" s="71">
        <f t="shared" ref="D155:N155" si="65">D153+D154-D152</f>
        <v>30016</v>
      </c>
      <c r="E155" s="71">
        <f t="shared" si="65"/>
        <v>33068</v>
      </c>
      <c r="F155" s="71">
        <f t="shared" si="65"/>
        <v>33152</v>
      </c>
      <c r="G155" s="71">
        <f t="shared" si="65"/>
        <v>31528</v>
      </c>
      <c r="H155" s="71">
        <f t="shared" si="65"/>
        <v>31136</v>
      </c>
      <c r="I155" s="71">
        <f t="shared" si="65"/>
        <v>36036</v>
      </c>
      <c r="J155" s="71">
        <f t="shared" si="65"/>
        <v>30268</v>
      </c>
      <c r="K155" s="71">
        <f t="shared" si="65"/>
        <v>30716</v>
      </c>
      <c r="L155" s="71">
        <f t="shared" si="65"/>
        <v>32648</v>
      </c>
      <c r="M155" s="71">
        <f t="shared" si="65"/>
        <v>33992</v>
      </c>
      <c r="N155" s="71">
        <f t="shared" si="65"/>
        <v>32024</v>
      </c>
    </row>
    <row r="156" spans="1:15" x14ac:dyDescent="0.2">
      <c r="A156" s="150"/>
      <c r="B156" s="48" t="s">
        <v>165</v>
      </c>
      <c r="C156" s="73">
        <f t="shared" ref="C156:N156" si="66">(C155*$S$14)/1000</f>
        <v>337.12</v>
      </c>
      <c r="D156" s="73">
        <f t="shared" si="66"/>
        <v>300.16000000000003</v>
      </c>
      <c r="E156" s="73">
        <f t="shared" si="66"/>
        <v>330.68</v>
      </c>
      <c r="F156" s="73">
        <f t="shared" si="66"/>
        <v>331.52</v>
      </c>
      <c r="G156" s="73">
        <f t="shared" si="66"/>
        <v>315.27999999999997</v>
      </c>
      <c r="H156" s="73">
        <f t="shared" si="66"/>
        <v>311.36</v>
      </c>
      <c r="I156" s="73">
        <f t="shared" si="66"/>
        <v>360.36</v>
      </c>
      <c r="J156" s="73">
        <f t="shared" si="66"/>
        <v>302.68</v>
      </c>
      <c r="K156" s="73">
        <f t="shared" si="66"/>
        <v>307.16000000000003</v>
      </c>
      <c r="L156" s="73">
        <f t="shared" si="66"/>
        <v>326.48</v>
      </c>
      <c r="M156" s="73">
        <f t="shared" si="66"/>
        <v>339.92</v>
      </c>
      <c r="N156" s="73">
        <f t="shared" si="66"/>
        <v>320.24</v>
      </c>
    </row>
    <row r="157" spans="1:15" x14ac:dyDescent="0.2">
      <c r="A157" s="48" t="s">
        <v>142</v>
      </c>
      <c r="B157" s="48" t="s">
        <v>162</v>
      </c>
      <c r="C157" s="3">
        <f>B142</f>
        <v>770</v>
      </c>
      <c r="D157" s="3">
        <f t="shared" ref="D157:O157" si="67">C142</f>
        <v>800</v>
      </c>
      <c r="E157" s="3">
        <f t="shared" si="67"/>
        <v>750.00000000000011</v>
      </c>
      <c r="F157" s="3">
        <f t="shared" si="67"/>
        <v>729.99999999999989</v>
      </c>
      <c r="G157" s="3">
        <f t="shared" si="67"/>
        <v>689.99999999999989</v>
      </c>
      <c r="H157" s="3">
        <f t="shared" si="67"/>
        <v>669.99999999999989</v>
      </c>
      <c r="I157" s="3">
        <f t="shared" si="67"/>
        <v>440</v>
      </c>
      <c r="J157" s="3">
        <f t="shared" si="67"/>
        <v>930</v>
      </c>
      <c r="K157" s="3">
        <f t="shared" si="67"/>
        <v>930</v>
      </c>
      <c r="L157" s="3">
        <f t="shared" si="67"/>
        <v>840</v>
      </c>
      <c r="M157" s="3">
        <f t="shared" si="67"/>
        <v>620</v>
      </c>
      <c r="N157" s="3">
        <f t="shared" si="67"/>
        <v>730</v>
      </c>
      <c r="O157" s="37">
        <f t="shared" si="67"/>
        <v>8900</v>
      </c>
    </row>
    <row r="158" spans="1:15" x14ac:dyDescent="0.2">
      <c r="A158" s="210" t="s">
        <v>168</v>
      </c>
      <c r="B158" s="48" t="s">
        <v>151</v>
      </c>
      <c r="C158" s="56">
        <f>A29</f>
        <v>1694</v>
      </c>
      <c r="D158" s="56">
        <f>C160</f>
        <v>1760</v>
      </c>
      <c r="E158" s="56">
        <f t="shared" ref="E158:N158" si="68">D160</f>
        <v>1650</v>
      </c>
      <c r="F158" s="56">
        <f t="shared" si="68"/>
        <v>1606</v>
      </c>
      <c r="G158" s="56">
        <f t="shared" si="68"/>
        <v>1518</v>
      </c>
      <c r="H158" s="56">
        <f t="shared" si="68"/>
        <v>1474</v>
      </c>
      <c r="I158" s="56">
        <f t="shared" si="68"/>
        <v>968</v>
      </c>
      <c r="J158" s="56">
        <f t="shared" si="68"/>
        <v>2046</v>
      </c>
      <c r="K158" s="56">
        <f t="shared" si="68"/>
        <v>2046</v>
      </c>
      <c r="L158" s="56">
        <f t="shared" si="68"/>
        <v>1848</v>
      </c>
      <c r="M158" s="56">
        <f t="shared" si="68"/>
        <v>1364</v>
      </c>
      <c r="N158" s="56">
        <f t="shared" si="68"/>
        <v>1606</v>
      </c>
    </row>
    <row r="159" spans="1:15" x14ac:dyDescent="0.2">
      <c r="A159" s="150"/>
      <c r="B159" s="48" t="s">
        <v>163</v>
      </c>
      <c r="C159" s="56">
        <f>B58</f>
        <v>16940</v>
      </c>
      <c r="D159" s="56">
        <f t="shared" ref="D159:M159" si="69">C58</f>
        <v>17600</v>
      </c>
      <c r="E159" s="56">
        <f t="shared" si="69"/>
        <v>16500</v>
      </c>
      <c r="F159" s="56">
        <f t="shared" si="69"/>
        <v>16060</v>
      </c>
      <c r="G159" s="56">
        <f t="shared" si="69"/>
        <v>15180</v>
      </c>
      <c r="H159" s="56">
        <f t="shared" si="69"/>
        <v>14740</v>
      </c>
      <c r="I159" s="56">
        <f t="shared" si="69"/>
        <v>9680</v>
      </c>
      <c r="J159" s="56">
        <f t="shared" si="69"/>
        <v>20460</v>
      </c>
      <c r="K159" s="56">
        <f t="shared" si="69"/>
        <v>20460</v>
      </c>
      <c r="L159" s="56">
        <f t="shared" si="69"/>
        <v>18480</v>
      </c>
      <c r="M159" s="56">
        <f t="shared" si="69"/>
        <v>13640</v>
      </c>
      <c r="N159" s="56">
        <f>M58</f>
        <v>16060</v>
      </c>
    </row>
    <row r="160" spans="1:15" x14ac:dyDescent="0.2">
      <c r="A160" s="150"/>
      <c r="B160" s="48" t="s">
        <v>153</v>
      </c>
      <c r="C160" s="56">
        <f>B51</f>
        <v>1760</v>
      </c>
      <c r="D160" s="56">
        <f t="shared" ref="D160:N160" si="70">C51</f>
        <v>1650</v>
      </c>
      <c r="E160" s="56">
        <f t="shared" si="70"/>
        <v>1606</v>
      </c>
      <c r="F160" s="56">
        <f t="shared" si="70"/>
        <v>1518</v>
      </c>
      <c r="G160" s="56">
        <f t="shared" si="70"/>
        <v>1474</v>
      </c>
      <c r="H160" s="56">
        <f t="shared" si="70"/>
        <v>968</v>
      </c>
      <c r="I160" s="56">
        <f t="shared" si="70"/>
        <v>2046</v>
      </c>
      <c r="J160" s="56">
        <f t="shared" si="70"/>
        <v>2046</v>
      </c>
      <c r="K160" s="56">
        <f t="shared" si="70"/>
        <v>1848</v>
      </c>
      <c r="L160" s="56">
        <f t="shared" si="70"/>
        <v>1364</v>
      </c>
      <c r="M160" s="56">
        <f t="shared" si="70"/>
        <v>1606</v>
      </c>
      <c r="N160" s="56">
        <f t="shared" si="70"/>
        <v>1351</v>
      </c>
    </row>
    <row r="161" spans="1:16" x14ac:dyDescent="0.2">
      <c r="A161" s="150"/>
      <c r="B161" s="48" t="s">
        <v>164</v>
      </c>
      <c r="C161" s="56">
        <f>C159+C160-C158</f>
        <v>17006</v>
      </c>
      <c r="D161" s="71">
        <f t="shared" ref="D161:N161" si="71">D159+D160-D158</f>
        <v>17490</v>
      </c>
      <c r="E161" s="71">
        <f t="shared" si="71"/>
        <v>16456</v>
      </c>
      <c r="F161" s="71">
        <f t="shared" si="71"/>
        <v>15972</v>
      </c>
      <c r="G161" s="71">
        <f t="shared" si="71"/>
        <v>15136</v>
      </c>
      <c r="H161" s="71">
        <f t="shared" si="71"/>
        <v>14234</v>
      </c>
      <c r="I161" s="71">
        <f t="shared" si="71"/>
        <v>10758</v>
      </c>
      <c r="J161" s="71">
        <f t="shared" si="71"/>
        <v>20460</v>
      </c>
      <c r="K161" s="71">
        <f t="shared" si="71"/>
        <v>20262</v>
      </c>
      <c r="L161" s="71">
        <f t="shared" si="71"/>
        <v>17996</v>
      </c>
      <c r="M161" s="71">
        <f t="shared" si="71"/>
        <v>13882</v>
      </c>
      <c r="N161" s="71">
        <f t="shared" si="71"/>
        <v>15805</v>
      </c>
    </row>
    <row r="162" spans="1:16" x14ac:dyDescent="0.2">
      <c r="A162" s="150"/>
      <c r="B162" s="48" t="s">
        <v>165</v>
      </c>
      <c r="C162" s="73">
        <f t="shared" ref="C162:N162" si="72">(C161*$S$15)/1000</f>
        <v>136.048</v>
      </c>
      <c r="D162" s="73">
        <f t="shared" si="72"/>
        <v>139.91999999999999</v>
      </c>
      <c r="E162" s="73">
        <f t="shared" si="72"/>
        <v>131.648</v>
      </c>
      <c r="F162" s="73">
        <f t="shared" si="72"/>
        <v>127.776</v>
      </c>
      <c r="G162" s="73">
        <f t="shared" si="72"/>
        <v>121.08799999999999</v>
      </c>
      <c r="H162" s="73">
        <f t="shared" si="72"/>
        <v>113.872</v>
      </c>
      <c r="I162" s="73">
        <f t="shared" si="72"/>
        <v>86.063999999999993</v>
      </c>
      <c r="J162" s="73">
        <f t="shared" si="72"/>
        <v>163.68</v>
      </c>
      <c r="K162" s="73">
        <f t="shared" si="72"/>
        <v>162.096</v>
      </c>
      <c r="L162" s="73">
        <f t="shared" si="72"/>
        <v>143.96799999999999</v>
      </c>
      <c r="M162" s="73">
        <f t="shared" si="72"/>
        <v>111.056</v>
      </c>
      <c r="N162" s="73">
        <f t="shared" si="72"/>
        <v>126.44</v>
      </c>
    </row>
    <row r="163" spans="1:16" x14ac:dyDescent="0.2">
      <c r="A163" s="210" t="s">
        <v>169</v>
      </c>
      <c r="B163" s="48" t="s">
        <v>151</v>
      </c>
      <c r="C163" s="56">
        <f>A30</f>
        <v>1848</v>
      </c>
      <c r="D163" s="56">
        <f>C165</f>
        <v>1920</v>
      </c>
      <c r="E163" s="56">
        <f t="shared" ref="E163:N163" si="73">D165</f>
        <v>1800</v>
      </c>
      <c r="F163" s="56">
        <f t="shared" si="73"/>
        <v>1752</v>
      </c>
      <c r="G163" s="56">
        <f t="shared" si="73"/>
        <v>1656</v>
      </c>
      <c r="H163" s="56">
        <f t="shared" si="73"/>
        <v>1608</v>
      </c>
      <c r="I163" s="56">
        <f t="shared" si="73"/>
        <v>1056</v>
      </c>
      <c r="J163" s="56">
        <f t="shared" si="73"/>
        <v>2232</v>
      </c>
      <c r="K163" s="56">
        <f t="shared" si="73"/>
        <v>2232</v>
      </c>
      <c r="L163" s="56">
        <f t="shared" si="73"/>
        <v>2016</v>
      </c>
      <c r="M163" s="56">
        <f t="shared" si="73"/>
        <v>1488</v>
      </c>
      <c r="N163" s="56">
        <f t="shared" si="73"/>
        <v>1752</v>
      </c>
      <c r="P163">
        <v>1000</v>
      </c>
    </row>
    <row r="164" spans="1:16" x14ac:dyDescent="0.2">
      <c r="A164" s="150"/>
      <c r="B164" s="48" t="s">
        <v>163</v>
      </c>
      <c r="C164" s="56">
        <f>B59</f>
        <v>18480</v>
      </c>
      <c r="D164" s="56">
        <f t="shared" ref="D164:N164" si="74">C59</f>
        <v>19200</v>
      </c>
      <c r="E164" s="56">
        <f t="shared" si="74"/>
        <v>18000</v>
      </c>
      <c r="F164" s="56">
        <f t="shared" si="74"/>
        <v>17520</v>
      </c>
      <c r="G164" s="56">
        <f t="shared" si="74"/>
        <v>16560</v>
      </c>
      <c r="H164" s="56">
        <f t="shared" si="74"/>
        <v>16080</v>
      </c>
      <c r="I164" s="56">
        <f t="shared" si="74"/>
        <v>10560</v>
      </c>
      <c r="J164" s="56">
        <f t="shared" si="74"/>
        <v>22320</v>
      </c>
      <c r="K164" s="56">
        <f t="shared" si="74"/>
        <v>22320</v>
      </c>
      <c r="L164" s="56">
        <f t="shared" si="74"/>
        <v>20160</v>
      </c>
      <c r="M164" s="56">
        <f t="shared" si="74"/>
        <v>14880</v>
      </c>
      <c r="N164" s="56">
        <f t="shared" si="74"/>
        <v>17520</v>
      </c>
    </row>
    <row r="165" spans="1:16" x14ac:dyDescent="0.2">
      <c r="A165" s="150"/>
      <c r="B165" s="48" t="s">
        <v>153</v>
      </c>
      <c r="C165" s="56">
        <f>B52</f>
        <v>1920</v>
      </c>
      <c r="D165" s="56">
        <f t="shared" ref="D165:N165" si="75">C52</f>
        <v>1800</v>
      </c>
      <c r="E165" s="56">
        <f t="shared" si="75"/>
        <v>1752</v>
      </c>
      <c r="F165" s="56">
        <f t="shared" si="75"/>
        <v>1656</v>
      </c>
      <c r="G165" s="56">
        <f t="shared" si="75"/>
        <v>1608</v>
      </c>
      <c r="H165" s="56">
        <f t="shared" si="75"/>
        <v>1056</v>
      </c>
      <c r="I165" s="56">
        <f t="shared" si="75"/>
        <v>2232</v>
      </c>
      <c r="J165" s="56">
        <f t="shared" si="75"/>
        <v>2232</v>
      </c>
      <c r="K165" s="56">
        <f t="shared" si="75"/>
        <v>2016</v>
      </c>
      <c r="L165" s="56">
        <f t="shared" si="75"/>
        <v>1488</v>
      </c>
      <c r="M165" s="56">
        <f t="shared" si="75"/>
        <v>1752</v>
      </c>
      <c r="N165" s="56">
        <f t="shared" si="75"/>
        <v>1474</v>
      </c>
    </row>
    <row r="166" spans="1:16" x14ac:dyDescent="0.2">
      <c r="A166" s="150"/>
      <c r="B166" s="48" t="s">
        <v>164</v>
      </c>
      <c r="C166" s="56">
        <f>C164+C165-C163</f>
        <v>18552</v>
      </c>
      <c r="D166" s="71">
        <f t="shared" ref="D166:N166" si="76">D164+D165-D163</f>
        <v>19080</v>
      </c>
      <c r="E166" s="71">
        <f t="shared" si="76"/>
        <v>17952</v>
      </c>
      <c r="F166" s="71">
        <f t="shared" si="76"/>
        <v>17424</v>
      </c>
      <c r="G166" s="71">
        <f t="shared" si="76"/>
        <v>16512</v>
      </c>
      <c r="H166" s="71">
        <f t="shared" si="76"/>
        <v>15528</v>
      </c>
      <c r="I166" s="71">
        <f t="shared" si="76"/>
        <v>11736</v>
      </c>
      <c r="J166" s="71">
        <f t="shared" si="76"/>
        <v>22320</v>
      </c>
      <c r="K166" s="71">
        <f t="shared" si="76"/>
        <v>22104</v>
      </c>
      <c r="L166" s="71">
        <f t="shared" si="76"/>
        <v>19632</v>
      </c>
      <c r="M166" s="71">
        <f t="shared" si="76"/>
        <v>15144</v>
      </c>
      <c r="N166" s="71">
        <f t="shared" si="76"/>
        <v>17242</v>
      </c>
    </row>
    <row r="167" spans="1:16" x14ac:dyDescent="0.2">
      <c r="A167" s="150"/>
      <c r="B167" s="48" t="s">
        <v>165</v>
      </c>
      <c r="C167" s="73">
        <f t="shared" ref="C167:N167" si="77">(C166*$S$16)/1000</f>
        <v>129.864</v>
      </c>
      <c r="D167" s="73">
        <f t="shared" si="77"/>
        <v>133.56</v>
      </c>
      <c r="E167" s="73">
        <f t="shared" si="77"/>
        <v>125.664</v>
      </c>
      <c r="F167" s="73">
        <f t="shared" si="77"/>
        <v>121.968</v>
      </c>
      <c r="G167" s="73">
        <f t="shared" si="77"/>
        <v>115.584</v>
      </c>
      <c r="H167" s="73">
        <f t="shared" si="77"/>
        <v>108.696</v>
      </c>
      <c r="I167" s="73">
        <f t="shared" si="77"/>
        <v>82.152000000000001</v>
      </c>
      <c r="J167" s="73">
        <f t="shared" si="77"/>
        <v>156.24</v>
      </c>
      <c r="K167" s="73">
        <f t="shared" si="77"/>
        <v>154.72800000000001</v>
      </c>
      <c r="L167" s="73">
        <f t="shared" si="77"/>
        <v>137.42400000000001</v>
      </c>
      <c r="M167" s="73">
        <f t="shared" si="77"/>
        <v>106.008</v>
      </c>
      <c r="N167" s="73">
        <f t="shared" si="77"/>
        <v>120.694</v>
      </c>
    </row>
    <row r="168" spans="1:16" x14ac:dyDescent="0.2">
      <c r="A168" s="48" t="s">
        <v>170</v>
      </c>
      <c r="B168" s="56"/>
      <c r="C168" s="60">
        <f>C151+C156+C162+C167</f>
        <v>819.75200000000007</v>
      </c>
      <c r="D168" s="60">
        <f t="shared" ref="D168:N168" si="78">D151+D156+D162+D167</f>
        <v>766.59999999999991</v>
      </c>
      <c r="E168" s="60">
        <f t="shared" si="78"/>
        <v>800.572</v>
      </c>
      <c r="F168" s="60">
        <f t="shared" si="78"/>
        <v>794.3839999999999</v>
      </c>
      <c r="G168" s="60">
        <f t="shared" si="78"/>
        <v>754.63200000000006</v>
      </c>
      <c r="H168" s="60">
        <f t="shared" si="78"/>
        <v>734.08799999999997</v>
      </c>
      <c r="I168" s="60">
        <f t="shared" si="78"/>
        <v>760.23599999999999</v>
      </c>
      <c r="J168" s="60">
        <f t="shared" si="78"/>
        <v>817.18000000000006</v>
      </c>
      <c r="K168" s="60">
        <f t="shared" si="78"/>
        <v>821.44399999999996</v>
      </c>
      <c r="L168" s="60">
        <f t="shared" si="78"/>
        <v>817.75199999999995</v>
      </c>
      <c r="M168" s="60">
        <f t="shared" si="78"/>
        <v>775.50400000000013</v>
      </c>
      <c r="N168" s="60">
        <f t="shared" si="78"/>
        <v>773.24</v>
      </c>
    </row>
    <row r="170" spans="1:16" x14ac:dyDescent="0.2">
      <c r="A170" s="211" t="s">
        <v>175</v>
      </c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</row>
    <row r="171" spans="1:16" x14ac:dyDescent="0.2">
      <c r="A171" s="56"/>
      <c r="B171" s="56" t="s">
        <v>3</v>
      </c>
      <c r="C171" s="56" t="s">
        <v>4</v>
      </c>
      <c r="D171" s="56" t="s">
        <v>5</v>
      </c>
      <c r="E171" s="56" t="s">
        <v>6</v>
      </c>
      <c r="F171" s="56" t="s">
        <v>7</v>
      </c>
      <c r="G171" s="56" t="s">
        <v>8</v>
      </c>
      <c r="H171" s="56" t="s">
        <v>9</v>
      </c>
      <c r="I171" s="56" t="s">
        <v>10</v>
      </c>
      <c r="J171" s="56" t="s">
        <v>96</v>
      </c>
      <c r="K171" s="56" t="s">
        <v>12</v>
      </c>
      <c r="L171" s="56" t="s">
        <v>13</v>
      </c>
      <c r="M171" s="56" t="s">
        <v>14</v>
      </c>
      <c r="N171" s="66" t="s">
        <v>125</v>
      </c>
    </row>
    <row r="172" spans="1:16" x14ac:dyDescent="0.2">
      <c r="A172" s="67" t="s">
        <v>141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1:16" x14ac:dyDescent="0.2">
      <c r="A173" s="48" t="s">
        <v>176</v>
      </c>
      <c r="B173" s="56">
        <f>B8</f>
        <v>22</v>
      </c>
      <c r="C173" s="56">
        <f t="shared" ref="C173:M173" si="79">C8</f>
        <v>18</v>
      </c>
      <c r="D173" s="56">
        <f t="shared" si="79"/>
        <v>22</v>
      </c>
      <c r="E173" s="56">
        <f t="shared" si="79"/>
        <v>23</v>
      </c>
      <c r="F173" s="56">
        <f t="shared" si="79"/>
        <v>21</v>
      </c>
      <c r="G173" s="56">
        <f t="shared" si="79"/>
        <v>21</v>
      </c>
      <c r="H173" s="56">
        <f t="shared" si="79"/>
        <v>23</v>
      </c>
      <c r="I173" s="56">
        <f t="shared" si="79"/>
        <v>20</v>
      </c>
      <c r="J173" s="56">
        <f t="shared" si="79"/>
        <v>21</v>
      </c>
      <c r="K173" s="56">
        <f t="shared" si="79"/>
        <v>20</v>
      </c>
      <c r="L173" s="56">
        <f t="shared" si="79"/>
        <v>22</v>
      </c>
      <c r="M173" s="56">
        <f t="shared" si="79"/>
        <v>20</v>
      </c>
      <c r="N173" s="56"/>
    </row>
    <row r="174" spans="1:16" x14ac:dyDescent="0.2">
      <c r="A174" s="48" t="s">
        <v>177</v>
      </c>
      <c r="B174" s="56">
        <f>B8*$Q$3</f>
        <v>88</v>
      </c>
      <c r="C174" s="56">
        <f t="shared" ref="C174:M174" si="80">C8*$Q$3</f>
        <v>72</v>
      </c>
      <c r="D174" s="56">
        <f t="shared" si="80"/>
        <v>88</v>
      </c>
      <c r="E174" s="56">
        <f t="shared" si="80"/>
        <v>92</v>
      </c>
      <c r="F174" s="56">
        <f t="shared" si="80"/>
        <v>84</v>
      </c>
      <c r="G174" s="56">
        <f t="shared" si="80"/>
        <v>84</v>
      </c>
      <c r="H174" s="56">
        <f t="shared" si="80"/>
        <v>92</v>
      </c>
      <c r="I174" s="56">
        <f t="shared" si="80"/>
        <v>80</v>
      </c>
      <c r="J174" s="56">
        <f t="shared" si="80"/>
        <v>84</v>
      </c>
      <c r="K174" s="56">
        <f t="shared" si="80"/>
        <v>80</v>
      </c>
      <c r="L174" s="56">
        <f t="shared" si="80"/>
        <v>88</v>
      </c>
      <c r="M174" s="56">
        <f t="shared" si="80"/>
        <v>80</v>
      </c>
      <c r="N174" s="56"/>
    </row>
    <row r="175" spans="1:16" x14ac:dyDescent="0.2">
      <c r="A175" s="49" t="s">
        <v>178</v>
      </c>
      <c r="B175" s="56">
        <f>B10</f>
        <v>7</v>
      </c>
      <c r="C175" s="56">
        <f t="shared" ref="C175:M175" si="81">C10</f>
        <v>4</v>
      </c>
      <c r="D175" s="56">
        <f t="shared" si="81"/>
        <v>6</v>
      </c>
      <c r="E175" s="56">
        <f t="shared" si="81"/>
        <v>5</v>
      </c>
      <c r="F175" s="56">
        <f t="shared" si="81"/>
        <v>3</v>
      </c>
      <c r="G175" s="56">
        <f t="shared" si="81"/>
        <v>2</v>
      </c>
      <c r="H175" s="56">
        <f t="shared" si="81"/>
        <v>4</v>
      </c>
      <c r="I175" s="56">
        <f t="shared" si="81"/>
        <v>6</v>
      </c>
      <c r="J175" s="56">
        <f t="shared" si="81"/>
        <v>6</v>
      </c>
      <c r="K175" s="56">
        <f t="shared" si="81"/>
        <v>6</v>
      </c>
      <c r="L175" s="56">
        <f t="shared" si="81"/>
        <v>4</v>
      </c>
      <c r="M175" s="56">
        <f t="shared" si="81"/>
        <v>5</v>
      </c>
      <c r="N175" s="56"/>
    </row>
    <row r="176" spans="1:16" x14ac:dyDescent="0.2">
      <c r="A176" s="49" t="s">
        <v>179</v>
      </c>
      <c r="B176" s="56">
        <f>B10*$R$3</f>
        <v>28</v>
      </c>
      <c r="C176" s="56">
        <f t="shared" ref="C176:M176" si="82">C10*$R$3</f>
        <v>16</v>
      </c>
      <c r="D176" s="56">
        <f t="shared" si="82"/>
        <v>24</v>
      </c>
      <c r="E176" s="56">
        <f t="shared" si="82"/>
        <v>20</v>
      </c>
      <c r="F176" s="56">
        <f t="shared" si="82"/>
        <v>12</v>
      </c>
      <c r="G176" s="56">
        <f t="shared" si="82"/>
        <v>8</v>
      </c>
      <c r="H176" s="56">
        <f t="shared" si="82"/>
        <v>16</v>
      </c>
      <c r="I176" s="56">
        <f t="shared" si="82"/>
        <v>24</v>
      </c>
      <c r="J176" s="56">
        <f t="shared" si="82"/>
        <v>24</v>
      </c>
      <c r="K176" s="56">
        <f t="shared" si="82"/>
        <v>24</v>
      </c>
      <c r="L176" s="56">
        <f t="shared" si="82"/>
        <v>16</v>
      </c>
      <c r="M176" s="56">
        <f t="shared" si="82"/>
        <v>20</v>
      </c>
      <c r="N176" s="56"/>
    </row>
    <row r="177" spans="1:16" x14ac:dyDescent="0.2">
      <c r="A177" s="67" t="s">
        <v>142</v>
      </c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1:16" x14ac:dyDescent="0.2">
      <c r="A178" s="48" t="s">
        <v>176</v>
      </c>
      <c r="B178" s="56">
        <f>B10</f>
        <v>7</v>
      </c>
      <c r="C178" s="56">
        <f t="shared" ref="C178:M178" si="83">C10</f>
        <v>4</v>
      </c>
      <c r="D178" s="56">
        <f t="shared" si="83"/>
        <v>6</v>
      </c>
      <c r="E178" s="56">
        <f t="shared" si="83"/>
        <v>5</v>
      </c>
      <c r="F178" s="56">
        <f t="shared" si="83"/>
        <v>3</v>
      </c>
      <c r="G178" s="56">
        <f t="shared" si="83"/>
        <v>2</v>
      </c>
      <c r="H178" s="56">
        <f t="shared" si="83"/>
        <v>4</v>
      </c>
      <c r="I178" s="56">
        <f t="shared" si="83"/>
        <v>6</v>
      </c>
      <c r="J178" s="56">
        <f t="shared" si="83"/>
        <v>6</v>
      </c>
      <c r="K178" s="56">
        <f t="shared" si="83"/>
        <v>6</v>
      </c>
      <c r="L178" s="56">
        <f t="shared" si="83"/>
        <v>4</v>
      </c>
      <c r="M178" s="56">
        <f t="shared" si="83"/>
        <v>5</v>
      </c>
      <c r="N178" s="56"/>
    </row>
    <row r="179" spans="1:16" x14ac:dyDescent="0.2">
      <c r="A179" s="48" t="s">
        <v>177</v>
      </c>
      <c r="B179" s="56">
        <f>B10*$S$3</f>
        <v>21</v>
      </c>
      <c r="C179" s="56">
        <f t="shared" ref="C179:M179" si="84">C10*$S$3</f>
        <v>12</v>
      </c>
      <c r="D179" s="56">
        <f t="shared" si="84"/>
        <v>18</v>
      </c>
      <c r="E179" s="56">
        <f t="shared" si="84"/>
        <v>15</v>
      </c>
      <c r="F179" s="56">
        <f t="shared" si="84"/>
        <v>9</v>
      </c>
      <c r="G179" s="56">
        <f t="shared" si="84"/>
        <v>6</v>
      </c>
      <c r="H179" s="56">
        <f t="shared" si="84"/>
        <v>12</v>
      </c>
      <c r="I179" s="56">
        <f t="shared" si="84"/>
        <v>18</v>
      </c>
      <c r="J179" s="56">
        <f t="shared" si="84"/>
        <v>18</v>
      </c>
      <c r="K179" s="56">
        <f t="shared" si="84"/>
        <v>18</v>
      </c>
      <c r="L179" s="56">
        <f t="shared" si="84"/>
        <v>12</v>
      </c>
      <c r="M179" s="56">
        <f t="shared" si="84"/>
        <v>15</v>
      </c>
      <c r="N179" s="56"/>
    </row>
    <row r="180" spans="1:16" x14ac:dyDescent="0.2">
      <c r="A180" s="49" t="s">
        <v>178</v>
      </c>
      <c r="B180" s="56">
        <v>0</v>
      </c>
      <c r="C180" s="56">
        <v>0</v>
      </c>
      <c r="D180" s="56">
        <v>0</v>
      </c>
      <c r="E180" s="56">
        <v>0</v>
      </c>
      <c r="F180" s="56">
        <v>0</v>
      </c>
      <c r="G180" s="56">
        <v>0</v>
      </c>
      <c r="H180" s="56">
        <v>0</v>
      </c>
      <c r="I180" s="56">
        <v>0</v>
      </c>
      <c r="J180" s="56">
        <v>0</v>
      </c>
      <c r="K180" s="56">
        <v>0</v>
      </c>
      <c r="L180" s="56">
        <v>0</v>
      </c>
      <c r="M180" s="56">
        <v>0</v>
      </c>
      <c r="N180" s="56"/>
    </row>
    <row r="181" spans="1:16" x14ac:dyDescent="0.2">
      <c r="A181" s="49" t="s">
        <v>179</v>
      </c>
      <c r="B181" s="56">
        <v>0</v>
      </c>
      <c r="C181" s="56">
        <v>0</v>
      </c>
      <c r="D181" s="56">
        <v>0</v>
      </c>
      <c r="E181" s="56">
        <v>0</v>
      </c>
      <c r="F181" s="56">
        <v>0</v>
      </c>
      <c r="G181" s="56">
        <v>0</v>
      </c>
      <c r="H181" s="56">
        <v>0</v>
      </c>
      <c r="I181" s="56">
        <v>0</v>
      </c>
      <c r="J181" s="56">
        <v>0</v>
      </c>
      <c r="K181" s="56">
        <v>0</v>
      </c>
      <c r="L181" s="56">
        <v>0</v>
      </c>
      <c r="M181" s="56">
        <v>0</v>
      </c>
      <c r="N181" s="56"/>
    </row>
    <row r="182" spans="1:16" x14ac:dyDescent="0.2">
      <c r="A182" s="49" t="s">
        <v>180</v>
      </c>
      <c r="B182" s="56">
        <f>B173+B175+B178+B180</f>
        <v>36</v>
      </c>
      <c r="C182" s="56">
        <f t="shared" ref="C182:M182" si="85">C173+C175+C178+C180</f>
        <v>26</v>
      </c>
      <c r="D182" s="56">
        <f t="shared" si="85"/>
        <v>34</v>
      </c>
      <c r="E182" s="56">
        <f t="shared" si="85"/>
        <v>33</v>
      </c>
      <c r="F182" s="56">
        <f t="shared" si="85"/>
        <v>27</v>
      </c>
      <c r="G182" s="56">
        <f t="shared" si="85"/>
        <v>25</v>
      </c>
      <c r="H182" s="56">
        <f t="shared" si="85"/>
        <v>31</v>
      </c>
      <c r="I182" s="56">
        <f t="shared" si="85"/>
        <v>32</v>
      </c>
      <c r="J182" s="56">
        <f t="shared" si="85"/>
        <v>33</v>
      </c>
      <c r="K182" s="56">
        <f t="shared" si="85"/>
        <v>32</v>
      </c>
      <c r="L182" s="56">
        <f t="shared" si="85"/>
        <v>30</v>
      </c>
      <c r="M182" s="56">
        <f t="shared" si="85"/>
        <v>30</v>
      </c>
      <c r="N182" s="56"/>
    </row>
    <row r="183" spans="1:16" x14ac:dyDescent="0.2">
      <c r="A183" s="49" t="s">
        <v>181</v>
      </c>
      <c r="B183" s="56">
        <f>B174+B176+B179+B181</f>
        <v>137</v>
      </c>
      <c r="C183" s="56">
        <f t="shared" ref="C183:M183" si="86">C174+C176+C179+C181</f>
        <v>100</v>
      </c>
      <c r="D183" s="56">
        <f t="shared" si="86"/>
        <v>130</v>
      </c>
      <c r="E183" s="56">
        <f t="shared" si="86"/>
        <v>127</v>
      </c>
      <c r="F183" s="56">
        <f t="shared" si="86"/>
        <v>105</v>
      </c>
      <c r="G183" s="56">
        <f t="shared" si="86"/>
        <v>98</v>
      </c>
      <c r="H183" s="56">
        <f t="shared" si="86"/>
        <v>120</v>
      </c>
      <c r="I183" s="56">
        <f t="shared" si="86"/>
        <v>122</v>
      </c>
      <c r="J183" s="56">
        <f t="shared" si="86"/>
        <v>126</v>
      </c>
      <c r="K183" s="56">
        <f t="shared" si="86"/>
        <v>122</v>
      </c>
      <c r="L183" s="56">
        <f t="shared" si="86"/>
        <v>116</v>
      </c>
      <c r="M183" s="56">
        <f t="shared" si="86"/>
        <v>115</v>
      </c>
      <c r="N183" s="56"/>
    </row>
    <row r="184" spans="1:16" x14ac:dyDescent="0.2">
      <c r="A184" s="49" t="s">
        <v>182</v>
      </c>
      <c r="B184" s="73">
        <f t="shared" ref="B184:M184" si="87">(B174*$Q4*$Q9+B176*$R4*$Q9+B179*$S4*$Q9+B181*$T4*$Q9)/1000</f>
        <v>40.651636363636364</v>
      </c>
      <c r="C184" s="73">
        <f t="shared" si="87"/>
        <v>29.672727272727272</v>
      </c>
      <c r="D184" s="73">
        <f t="shared" si="87"/>
        <v>38.574545454545451</v>
      </c>
      <c r="E184" s="73">
        <f t="shared" si="87"/>
        <v>37.684363636363635</v>
      </c>
      <c r="F184" s="73">
        <f t="shared" si="87"/>
        <v>31.156363636363636</v>
      </c>
      <c r="G184" s="73">
        <f t="shared" si="87"/>
        <v>29.079272727272727</v>
      </c>
      <c r="H184" s="73">
        <f t="shared" si="87"/>
        <v>35.607272727272722</v>
      </c>
      <c r="I184" s="73">
        <f t="shared" si="87"/>
        <v>36.200727272727271</v>
      </c>
      <c r="J184" s="73">
        <f t="shared" si="87"/>
        <v>37.387636363636361</v>
      </c>
      <c r="K184" s="73">
        <f t="shared" si="87"/>
        <v>36.200727272727271</v>
      </c>
      <c r="L184" s="73">
        <f t="shared" si="87"/>
        <v>34.420363636363632</v>
      </c>
      <c r="M184" s="73">
        <f t="shared" si="87"/>
        <v>34.123636363636358</v>
      </c>
      <c r="N184" s="56"/>
      <c r="P184">
        <v>1000</v>
      </c>
    </row>
    <row r="185" spans="1:16" x14ac:dyDescent="0.2">
      <c r="A185" s="49" t="s">
        <v>183</v>
      </c>
      <c r="B185" s="73">
        <v>0</v>
      </c>
      <c r="C185" s="73">
        <v>0</v>
      </c>
      <c r="D185" s="73">
        <v>0</v>
      </c>
      <c r="E185" s="73">
        <v>0</v>
      </c>
      <c r="F185" s="73">
        <v>0</v>
      </c>
      <c r="G185" s="73">
        <v>0</v>
      </c>
      <c r="H185" s="73">
        <v>0</v>
      </c>
      <c r="I185" s="73">
        <v>0</v>
      </c>
      <c r="J185" s="73">
        <v>0</v>
      </c>
      <c r="K185" s="73">
        <v>0</v>
      </c>
      <c r="L185" s="73">
        <v>0</v>
      </c>
      <c r="M185" s="73">
        <v>0</v>
      </c>
      <c r="N185" s="56"/>
    </row>
    <row r="186" spans="1:16" x14ac:dyDescent="0.2">
      <c r="A186" s="49" t="s">
        <v>184</v>
      </c>
      <c r="B186" s="73">
        <f>B184</f>
        <v>40.651636363636364</v>
      </c>
      <c r="C186" s="73">
        <f t="shared" ref="C186:M186" si="88">C184</f>
        <v>29.672727272727272</v>
      </c>
      <c r="D186" s="73">
        <f t="shared" si="88"/>
        <v>38.574545454545451</v>
      </c>
      <c r="E186" s="73">
        <f t="shared" si="88"/>
        <v>37.684363636363635</v>
      </c>
      <c r="F186" s="73">
        <f t="shared" si="88"/>
        <v>31.156363636363636</v>
      </c>
      <c r="G186" s="73">
        <f t="shared" si="88"/>
        <v>29.079272727272727</v>
      </c>
      <c r="H186" s="73">
        <f t="shared" si="88"/>
        <v>35.607272727272722</v>
      </c>
      <c r="I186" s="73">
        <f t="shared" si="88"/>
        <v>36.200727272727271</v>
      </c>
      <c r="J186" s="73">
        <f t="shared" si="88"/>
        <v>37.387636363636361</v>
      </c>
      <c r="K186" s="73">
        <f t="shared" si="88"/>
        <v>36.200727272727271</v>
      </c>
      <c r="L186" s="73">
        <f t="shared" si="88"/>
        <v>34.420363636363632</v>
      </c>
      <c r="M186" s="73">
        <f t="shared" si="88"/>
        <v>34.123636363636358</v>
      </c>
      <c r="N186" s="56"/>
    </row>
    <row r="187" spans="1:16" x14ac:dyDescent="0.2">
      <c r="A187" s="49" t="s">
        <v>185</v>
      </c>
      <c r="B187" s="73">
        <f>B186*0.8</f>
        <v>32.521309090909092</v>
      </c>
      <c r="C187" s="73">
        <f t="shared" ref="C187:M187" si="89">C186*0.8</f>
        <v>23.738181818181818</v>
      </c>
      <c r="D187" s="73">
        <f t="shared" si="89"/>
        <v>30.859636363636362</v>
      </c>
      <c r="E187" s="73">
        <f t="shared" si="89"/>
        <v>30.147490909090909</v>
      </c>
      <c r="F187" s="73">
        <f t="shared" si="89"/>
        <v>24.925090909090912</v>
      </c>
      <c r="G187" s="73">
        <f t="shared" si="89"/>
        <v>23.263418181818182</v>
      </c>
      <c r="H187" s="73">
        <f t="shared" si="89"/>
        <v>28.485818181818178</v>
      </c>
      <c r="I187" s="73">
        <f t="shared" si="89"/>
        <v>28.960581818181819</v>
      </c>
      <c r="J187" s="73">
        <f t="shared" si="89"/>
        <v>29.910109090909089</v>
      </c>
      <c r="K187" s="73">
        <f t="shared" si="89"/>
        <v>28.960581818181819</v>
      </c>
      <c r="L187" s="73">
        <f t="shared" si="89"/>
        <v>27.536290909090908</v>
      </c>
      <c r="M187" s="73">
        <f t="shared" si="89"/>
        <v>27.298909090909088</v>
      </c>
      <c r="N187" s="56"/>
    </row>
    <row r="188" spans="1:16" x14ac:dyDescent="0.2">
      <c r="A188" s="49" t="s">
        <v>186</v>
      </c>
      <c r="B188" s="73">
        <f>B186+B187</f>
        <v>73.172945454545456</v>
      </c>
      <c r="C188" s="73">
        <f t="shared" ref="C188:M188" si="90">C186+C187</f>
        <v>53.410909090909087</v>
      </c>
      <c r="D188" s="73">
        <f t="shared" si="90"/>
        <v>69.434181818181813</v>
      </c>
      <c r="E188" s="73">
        <f t="shared" si="90"/>
        <v>67.831854545454547</v>
      </c>
      <c r="F188" s="73">
        <f t="shared" si="90"/>
        <v>56.081454545454548</v>
      </c>
      <c r="G188" s="73">
        <f t="shared" si="90"/>
        <v>52.342690909090905</v>
      </c>
      <c r="H188" s="73">
        <f t="shared" si="90"/>
        <v>64.093090909090904</v>
      </c>
      <c r="I188" s="73">
        <f t="shared" si="90"/>
        <v>65.161309090909086</v>
      </c>
      <c r="J188" s="73">
        <f t="shared" si="90"/>
        <v>67.297745454545449</v>
      </c>
      <c r="K188" s="73">
        <f t="shared" si="90"/>
        <v>65.161309090909086</v>
      </c>
      <c r="L188" s="73">
        <f t="shared" si="90"/>
        <v>61.956654545454541</v>
      </c>
      <c r="M188" s="73">
        <f t="shared" si="90"/>
        <v>61.422545454545443</v>
      </c>
      <c r="N188" s="56"/>
    </row>
    <row r="189" spans="1:16" x14ac:dyDescent="0.2">
      <c r="A189" s="46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11"/>
    </row>
    <row r="190" spans="1:16" x14ac:dyDescent="0.2">
      <c r="B190" s="203" t="s">
        <v>226</v>
      </c>
      <c r="C190" s="203"/>
      <c r="D190" s="203"/>
      <c r="E190" s="203"/>
      <c r="F190" s="76"/>
      <c r="G190" s="203" t="s">
        <v>227</v>
      </c>
      <c r="H190" s="203"/>
      <c r="I190" s="203"/>
      <c r="J190" s="203"/>
      <c r="K190" s="76"/>
      <c r="L190" s="203" t="s">
        <v>228</v>
      </c>
      <c r="M190" s="203"/>
      <c r="N190" s="203"/>
      <c r="O190" s="203"/>
    </row>
    <row r="191" spans="1:16" x14ac:dyDescent="0.2">
      <c r="A191" s="46"/>
      <c r="B191" s="73" t="s">
        <v>222</v>
      </c>
      <c r="C191" s="73" t="s">
        <v>223</v>
      </c>
      <c r="D191" s="73" t="s">
        <v>224</v>
      </c>
      <c r="E191" s="73" t="s">
        <v>225</v>
      </c>
      <c r="F191" s="75"/>
      <c r="G191" s="73" t="s">
        <v>222</v>
      </c>
      <c r="H191" s="73" t="s">
        <v>223</v>
      </c>
      <c r="I191" s="73" t="s">
        <v>224</v>
      </c>
      <c r="J191" s="73" t="s">
        <v>225</v>
      </c>
      <c r="K191" s="75"/>
      <c r="L191" s="73" t="s">
        <v>222</v>
      </c>
      <c r="M191" s="73" t="s">
        <v>223</v>
      </c>
      <c r="N191" s="73" t="s">
        <v>224</v>
      </c>
      <c r="O191" s="73" t="s">
        <v>225</v>
      </c>
    </row>
    <row r="192" spans="1:16" x14ac:dyDescent="0.2">
      <c r="A192" s="46"/>
      <c r="B192" s="73">
        <f>($Q13*$Q19*S13+$Q14*$Q19*S14)/$Q19</f>
        <v>230</v>
      </c>
      <c r="C192" s="73">
        <f>(Q13*Q20*S13+Q14*Q20*S14)/Q20</f>
        <v>230</v>
      </c>
      <c r="D192" s="73">
        <f>(Q15*Q21*S15+Q16*Q22*S16)/100</f>
        <v>344.8</v>
      </c>
      <c r="E192" s="73">
        <f>(Q15*Q22*S15+Q16*Q22*S16)/100</f>
        <v>309.60000000000002</v>
      </c>
      <c r="F192" s="75"/>
      <c r="G192" s="73">
        <f>Q3*Q4*Q9/Q19</f>
        <v>11.869090909090907</v>
      </c>
      <c r="H192" s="73">
        <f>R3*R4*Q9/Q20</f>
        <v>12.218181818181817</v>
      </c>
      <c r="I192" s="73">
        <f>S3*S4*Q9/Q21</f>
        <v>9.9966942148760314</v>
      </c>
      <c r="J192" s="73">
        <f>T3*T4*Q9/Q22</f>
        <v>15.030303030303028</v>
      </c>
      <c r="K192" s="75"/>
      <c r="L192" s="73">
        <f>B192+G192</f>
        <v>241.86909090909091</v>
      </c>
      <c r="M192" s="73">
        <f t="shared" ref="M192:O192" si="91">C192+H192</f>
        <v>242.21818181818182</v>
      </c>
      <c r="N192" s="73">
        <f t="shared" si="91"/>
        <v>354.79669421487603</v>
      </c>
      <c r="O192" s="73">
        <f t="shared" si="91"/>
        <v>324.63030303030303</v>
      </c>
    </row>
    <row r="193" spans="1:14" x14ac:dyDescent="0.2">
      <c r="A193" s="46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11"/>
    </row>
    <row r="194" spans="1:14" x14ac:dyDescent="0.2">
      <c r="A194" s="46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11"/>
    </row>
    <row r="196" spans="1:14" x14ac:dyDescent="0.2">
      <c r="A196" s="217" t="s">
        <v>129</v>
      </c>
      <c r="B196" s="218"/>
      <c r="C196" s="218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9"/>
    </row>
    <row r="197" spans="1:14" x14ac:dyDescent="0.2">
      <c r="A197" s="56"/>
      <c r="B197" s="56" t="s">
        <v>3</v>
      </c>
      <c r="C197" s="56" t="s">
        <v>4</v>
      </c>
      <c r="D197" s="56" t="s">
        <v>5</v>
      </c>
      <c r="E197" s="56" t="s">
        <v>6</v>
      </c>
      <c r="F197" s="56" t="s">
        <v>7</v>
      </c>
      <c r="G197" s="56" t="s">
        <v>8</v>
      </c>
      <c r="H197" s="56" t="s">
        <v>9</v>
      </c>
      <c r="I197" s="56" t="s">
        <v>10</v>
      </c>
      <c r="J197" s="56" t="s">
        <v>96</v>
      </c>
      <c r="K197" s="56" t="s">
        <v>12</v>
      </c>
      <c r="L197" s="56" t="s">
        <v>13</v>
      </c>
      <c r="M197" s="56" t="s">
        <v>14</v>
      </c>
      <c r="N197" s="59" t="s">
        <v>125</v>
      </c>
    </row>
    <row r="198" spans="1:14" x14ac:dyDescent="0.2">
      <c r="A198" s="48" t="s">
        <v>129</v>
      </c>
      <c r="B198" s="3">
        <f t="shared" ref="B198:M198" si="92">(B81)</f>
        <v>0</v>
      </c>
      <c r="C198" s="3">
        <f t="shared" si="92"/>
        <v>0</v>
      </c>
      <c r="D198" s="3">
        <f t="shared" si="92"/>
        <v>0</v>
      </c>
      <c r="E198" s="3">
        <f t="shared" si="92"/>
        <v>190</v>
      </c>
      <c r="F198" s="3">
        <f t="shared" si="92"/>
        <v>190</v>
      </c>
      <c r="G198" s="3">
        <f t="shared" si="92"/>
        <v>190</v>
      </c>
      <c r="H198" s="3">
        <f t="shared" si="92"/>
        <v>190</v>
      </c>
      <c r="I198" s="3">
        <f t="shared" si="92"/>
        <v>190</v>
      </c>
      <c r="J198" s="3">
        <f t="shared" si="92"/>
        <v>0</v>
      </c>
      <c r="K198" s="3">
        <f t="shared" si="92"/>
        <v>0</v>
      </c>
      <c r="L198" s="3">
        <f t="shared" si="92"/>
        <v>0</v>
      </c>
      <c r="M198" s="3">
        <f t="shared" si="92"/>
        <v>0</v>
      </c>
      <c r="N198" s="56">
        <f>SUM(E198:I198)</f>
        <v>950</v>
      </c>
    </row>
    <row r="200" spans="1:14" x14ac:dyDescent="0.2">
      <c r="A200" s="217" t="s">
        <v>187</v>
      </c>
      <c r="B200" s="220"/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  <c r="M200" s="220"/>
      <c r="N200" s="221"/>
    </row>
    <row r="201" spans="1:14" x14ac:dyDescent="0.2">
      <c r="A201" s="56"/>
      <c r="B201" s="56" t="s">
        <v>3</v>
      </c>
      <c r="C201" s="56" t="s">
        <v>4</v>
      </c>
      <c r="D201" s="56" t="s">
        <v>5</v>
      </c>
      <c r="E201" s="56" t="s">
        <v>6</v>
      </c>
      <c r="F201" s="56" t="s">
        <v>7</v>
      </c>
      <c r="G201" s="56" t="s">
        <v>8</v>
      </c>
      <c r="H201" s="56" t="s">
        <v>9</v>
      </c>
      <c r="I201" s="56" t="s">
        <v>10</v>
      </c>
      <c r="J201" s="56" t="s">
        <v>96</v>
      </c>
      <c r="K201" s="56" t="s">
        <v>12</v>
      </c>
      <c r="L201" s="56" t="s">
        <v>13</v>
      </c>
      <c r="M201" s="56" t="s">
        <v>14</v>
      </c>
      <c r="N201" s="59" t="s">
        <v>125</v>
      </c>
    </row>
    <row r="202" spans="1:14" x14ac:dyDescent="0.2">
      <c r="A202" s="48" t="s">
        <v>130</v>
      </c>
      <c r="B202" s="73">
        <f t="shared" ref="B202:M202" si="93">((B86)/1000)*1000</f>
        <v>107</v>
      </c>
      <c r="C202" s="73">
        <f t="shared" si="93"/>
        <v>107</v>
      </c>
      <c r="D202" s="73">
        <f t="shared" si="93"/>
        <v>107</v>
      </c>
      <c r="E202" s="73">
        <f t="shared" si="93"/>
        <v>97</v>
      </c>
      <c r="F202" s="73">
        <f t="shared" si="93"/>
        <v>97</v>
      </c>
      <c r="G202" s="73">
        <f t="shared" si="93"/>
        <v>97</v>
      </c>
      <c r="H202" s="73">
        <f t="shared" si="93"/>
        <v>97</v>
      </c>
      <c r="I202" s="73">
        <f t="shared" si="93"/>
        <v>97</v>
      </c>
      <c r="J202" s="73">
        <f t="shared" si="93"/>
        <v>97</v>
      </c>
      <c r="K202" s="73">
        <f t="shared" si="93"/>
        <v>97</v>
      </c>
      <c r="L202" s="73">
        <f t="shared" si="93"/>
        <v>97</v>
      </c>
      <c r="M202" s="73">
        <f t="shared" si="93"/>
        <v>97</v>
      </c>
      <c r="N202" s="73">
        <f>(SUM(B202:M202))/1000</f>
        <v>1.194</v>
      </c>
    </row>
    <row r="203" spans="1:14" x14ac:dyDescent="0.2">
      <c r="A203" s="48" t="s">
        <v>131</v>
      </c>
      <c r="B203" s="73">
        <f t="shared" ref="B203:M203" si="94">((B87)/1000)*1000</f>
        <v>145</v>
      </c>
      <c r="C203" s="73">
        <f t="shared" si="94"/>
        <v>145</v>
      </c>
      <c r="D203" s="73">
        <f t="shared" si="94"/>
        <v>145</v>
      </c>
      <c r="E203" s="73">
        <f t="shared" si="94"/>
        <v>145</v>
      </c>
      <c r="F203" s="73">
        <f t="shared" si="94"/>
        <v>145</v>
      </c>
      <c r="G203" s="73">
        <f t="shared" si="94"/>
        <v>145</v>
      </c>
      <c r="H203" s="73">
        <f t="shared" si="94"/>
        <v>145</v>
      </c>
      <c r="I203" s="73">
        <f t="shared" si="94"/>
        <v>145</v>
      </c>
      <c r="J203" s="73">
        <f t="shared" si="94"/>
        <v>145</v>
      </c>
      <c r="K203" s="73">
        <f t="shared" si="94"/>
        <v>145</v>
      </c>
      <c r="L203" s="73">
        <f t="shared" si="94"/>
        <v>145</v>
      </c>
      <c r="M203" s="73">
        <f t="shared" si="94"/>
        <v>145</v>
      </c>
      <c r="N203" s="73">
        <f>(SUM(B203:M203))/1000</f>
        <v>1.74</v>
      </c>
    </row>
    <row r="204" spans="1:14" x14ac:dyDescent="0.2">
      <c r="A204" s="48" t="s">
        <v>125</v>
      </c>
      <c r="B204" s="73">
        <f>B202+B203</f>
        <v>252</v>
      </c>
      <c r="C204" s="73">
        <f t="shared" ref="C204:M204" si="95">C202+C203</f>
        <v>252</v>
      </c>
      <c r="D204" s="73">
        <f t="shared" si="95"/>
        <v>252</v>
      </c>
      <c r="E204" s="73">
        <f t="shared" si="95"/>
        <v>242</v>
      </c>
      <c r="F204" s="73">
        <f t="shared" si="95"/>
        <v>242</v>
      </c>
      <c r="G204" s="73">
        <f t="shared" si="95"/>
        <v>242</v>
      </c>
      <c r="H204" s="73">
        <f t="shared" si="95"/>
        <v>242</v>
      </c>
      <c r="I204" s="73">
        <f t="shared" si="95"/>
        <v>242</v>
      </c>
      <c r="J204" s="73">
        <f t="shared" si="95"/>
        <v>242</v>
      </c>
      <c r="K204" s="73">
        <f t="shared" si="95"/>
        <v>242</v>
      </c>
      <c r="L204" s="73">
        <f t="shared" si="95"/>
        <v>242</v>
      </c>
      <c r="M204" s="73">
        <f t="shared" si="95"/>
        <v>242</v>
      </c>
      <c r="N204" s="73">
        <f>SUM(B204:M204)</f>
        <v>2934</v>
      </c>
    </row>
    <row r="206" spans="1:14" x14ac:dyDescent="0.2">
      <c r="A206" s="222" t="s">
        <v>188</v>
      </c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</row>
    <row r="207" spans="1:14" x14ac:dyDescent="0.2">
      <c r="A207" s="56"/>
      <c r="B207" s="56" t="s">
        <v>3</v>
      </c>
      <c r="C207" s="56" t="s">
        <v>4</v>
      </c>
      <c r="D207" s="56" t="s">
        <v>5</v>
      </c>
      <c r="E207" s="56" t="s">
        <v>6</v>
      </c>
      <c r="F207" s="56" t="s">
        <v>7</v>
      </c>
      <c r="G207" s="56" t="s">
        <v>8</v>
      </c>
      <c r="H207" s="56" t="s">
        <v>9</v>
      </c>
      <c r="I207" s="56" t="s">
        <v>10</v>
      </c>
      <c r="J207" s="56" t="s">
        <v>96</v>
      </c>
      <c r="K207" s="56" t="s">
        <v>12</v>
      </c>
      <c r="L207" s="56" t="s">
        <v>13</v>
      </c>
      <c r="M207" s="56" t="s">
        <v>14</v>
      </c>
      <c r="N207" s="59" t="s">
        <v>125</v>
      </c>
    </row>
    <row r="208" spans="1:14" x14ac:dyDescent="0.2">
      <c r="A208" s="48" t="s">
        <v>132</v>
      </c>
      <c r="B208" s="73">
        <f t="shared" ref="B208:M208" si="96">((B88)/1000)*1000</f>
        <v>120</v>
      </c>
      <c r="C208" s="73">
        <f t="shared" si="96"/>
        <v>120</v>
      </c>
      <c r="D208" s="73">
        <f t="shared" si="96"/>
        <v>120</v>
      </c>
      <c r="E208" s="73">
        <f t="shared" si="96"/>
        <v>120</v>
      </c>
      <c r="F208" s="73">
        <f t="shared" si="96"/>
        <v>120</v>
      </c>
      <c r="G208" s="73">
        <f t="shared" si="96"/>
        <v>120</v>
      </c>
      <c r="H208" s="73">
        <f t="shared" si="96"/>
        <v>120</v>
      </c>
      <c r="I208" s="73">
        <f t="shared" si="96"/>
        <v>120</v>
      </c>
      <c r="J208" s="73">
        <f t="shared" si="96"/>
        <v>120</v>
      </c>
      <c r="K208" s="73">
        <f t="shared" si="96"/>
        <v>120</v>
      </c>
      <c r="L208" s="73">
        <f t="shared" si="96"/>
        <v>120</v>
      </c>
      <c r="M208" s="73">
        <f t="shared" si="96"/>
        <v>120</v>
      </c>
      <c r="N208" s="73">
        <f>(SUM(B208:M208))/1000</f>
        <v>1.44</v>
      </c>
    </row>
    <row r="209" spans="1:20" x14ac:dyDescent="0.2">
      <c r="A209" s="48" t="s">
        <v>133</v>
      </c>
      <c r="B209" s="73">
        <f t="shared" ref="B209:M209" si="97">((B92)/1000)*1000</f>
        <v>116.12700000000001</v>
      </c>
      <c r="C209" s="73">
        <f t="shared" si="97"/>
        <v>129.50685000000001</v>
      </c>
      <c r="D209" s="73">
        <f t="shared" si="97"/>
        <v>138.59504999999999</v>
      </c>
      <c r="E209" s="73">
        <f t="shared" si="97"/>
        <v>133.98783750000001</v>
      </c>
      <c r="F209" s="73">
        <f t="shared" si="97"/>
        <v>140.51367000000002</v>
      </c>
      <c r="G209" s="73">
        <f t="shared" si="97"/>
        <v>128.13730874999999</v>
      </c>
      <c r="H209" s="73">
        <f t="shared" si="97"/>
        <v>150.485445</v>
      </c>
      <c r="I209" s="73">
        <f t="shared" si="97"/>
        <v>175.47925725000002</v>
      </c>
      <c r="J209" s="73">
        <f t="shared" si="97"/>
        <v>176.23534500000002</v>
      </c>
      <c r="K209" s="73">
        <f t="shared" si="97"/>
        <v>160.81065000000001</v>
      </c>
      <c r="L209" s="73">
        <f t="shared" si="97"/>
        <v>136.13366249999999</v>
      </c>
      <c r="M209" s="73">
        <f t="shared" si="97"/>
        <v>122.37198187500002</v>
      </c>
      <c r="N209" s="73">
        <f>(SUM(B209:M209))/1000</f>
        <v>1.708384057875</v>
      </c>
      <c r="O209" s="27" t="s">
        <v>229</v>
      </c>
    </row>
    <row r="210" spans="1:20" x14ac:dyDescent="0.2">
      <c r="A210" s="48" t="s">
        <v>125</v>
      </c>
      <c r="B210" s="73">
        <f>B208+B209</f>
        <v>236.12700000000001</v>
      </c>
      <c r="C210" s="73">
        <f t="shared" ref="C210:N210" si="98">C208+C209</f>
        <v>249.50685000000001</v>
      </c>
      <c r="D210" s="73">
        <f t="shared" si="98"/>
        <v>258.59505000000001</v>
      </c>
      <c r="E210" s="73">
        <f t="shared" si="98"/>
        <v>253.98783750000001</v>
      </c>
      <c r="F210" s="73">
        <f t="shared" si="98"/>
        <v>260.51367000000005</v>
      </c>
      <c r="G210" s="73">
        <f t="shared" si="98"/>
        <v>248.13730874999999</v>
      </c>
      <c r="H210" s="73">
        <f t="shared" si="98"/>
        <v>270.48544500000003</v>
      </c>
      <c r="I210" s="73">
        <f t="shared" si="98"/>
        <v>295.47925725000005</v>
      </c>
      <c r="J210" s="73">
        <f t="shared" si="98"/>
        <v>296.23534500000005</v>
      </c>
      <c r="K210" s="73">
        <f t="shared" si="98"/>
        <v>280.81065000000001</v>
      </c>
      <c r="L210" s="73">
        <f t="shared" si="98"/>
        <v>256.13366250000001</v>
      </c>
      <c r="M210" s="73">
        <f t="shared" si="98"/>
        <v>242.37198187500002</v>
      </c>
      <c r="N210" s="73">
        <f t="shared" si="98"/>
        <v>3.148384057875</v>
      </c>
    </row>
    <row r="212" spans="1:20" x14ac:dyDescent="0.2">
      <c r="A212" s="224" t="s">
        <v>203</v>
      </c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5"/>
      <c r="M212" s="225"/>
      <c r="N212" s="225"/>
    </row>
    <row r="213" spans="1:20" x14ac:dyDescent="0.2">
      <c r="A213" s="56"/>
      <c r="B213" s="56" t="s">
        <v>3</v>
      </c>
      <c r="C213" s="56" t="s">
        <v>4</v>
      </c>
      <c r="D213" s="56" t="s">
        <v>5</v>
      </c>
      <c r="E213" s="56" t="s">
        <v>6</v>
      </c>
      <c r="F213" s="56" t="s">
        <v>7</v>
      </c>
      <c r="G213" s="56" t="s">
        <v>8</v>
      </c>
      <c r="H213" s="56" t="s">
        <v>9</v>
      </c>
      <c r="I213" s="56" t="s">
        <v>10</v>
      </c>
      <c r="J213" s="56" t="s">
        <v>96</v>
      </c>
      <c r="K213" s="56" t="s">
        <v>12</v>
      </c>
      <c r="L213" s="56" t="s">
        <v>13</v>
      </c>
      <c r="M213" s="56" t="s">
        <v>14</v>
      </c>
      <c r="N213" s="59" t="s">
        <v>125</v>
      </c>
      <c r="Q213" s="27" t="s">
        <v>193</v>
      </c>
      <c r="R213" s="46" t="s">
        <v>198</v>
      </c>
      <c r="S213" s="46" t="s">
        <v>199</v>
      </c>
      <c r="T213" s="46" t="s">
        <v>200</v>
      </c>
    </row>
    <row r="214" spans="1:20" x14ac:dyDescent="0.2">
      <c r="A214" s="69" t="s">
        <v>152</v>
      </c>
      <c r="B214" s="73">
        <f>B128</f>
        <v>2336.91026815125</v>
      </c>
      <c r="C214" s="73">
        <f t="shared" ref="C214:M214" si="99">C128</f>
        <v>2431.7751149999999</v>
      </c>
      <c r="D214" s="73">
        <f t="shared" si="99"/>
        <v>2654.2088100000001</v>
      </c>
      <c r="E214" s="73">
        <f t="shared" si="99"/>
        <v>2698.5705862499999</v>
      </c>
      <c r="F214" s="73">
        <f t="shared" si="99"/>
        <v>2717.5649242499999</v>
      </c>
      <c r="G214" s="73">
        <f t="shared" si="99"/>
        <v>2659.6446896250004</v>
      </c>
      <c r="H214" s="73">
        <f t="shared" si="99"/>
        <v>2758.3652621249998</v>
      </c>
      <c r="I214" s="73">
        <f t="shared" si="99"/>
        <v>3227.050552275</v>
      </c>
      <c r="J214" s="73">
        <f t="shared" si="99"/>
        <v>3481.9745622750002</v>
      </c>
      <c r="K214" s="73">
        <f t="shared" si="99"/>
        <v>3336.7553505000001</v>
      </c>
      <c r="L214" s="73">
        <f t="shared" si="99"/>
        <v>2939.7486937499998</v>
      </c>
      <c r="M214" s="73">
        <f t="shared" si="99"/>
        <v>2559.2058793124997</v>
      </c>
      <c r="N214" s="73">
        <f>SUM(B214:M214)</f>
        <v>33801.774693513747</v>
      </c>
      <c r="Q214">
        <v>1500</v>
      </c>
      <c r="R214">
        <v>50</v>
      </c>
      <c r="S214">
        <f>Q214/R214</f>
        <v>30</v>
      </c>
      <c r="T214">
        <f>S214/12</f>
        <v>2.5</v>
      </c>
    </row>
    <row r="215" spans="1:20" x14ac:dyDescent="0.2">
      <c r="A215" s="48" t="s">
        <v>189</v>
      </c>
      <c r="B215" s="73">
        <f>(B14*$L192+B15*$M192+B18*$N192+B19*$O192)/1000</f>
        <v>863.4378181818181</v>
      </c>
      <c r="C215" s="73">
        <f t="shared" ref="C215:M215" si="100">(C14*$L192+C15*$M192+C18*$N192+C19*$O192)/1000</f>
        <v>785.85163636363632</v>
      </c>
      <c r="D215" s="73">
        <f t="shared" si="100"/>
        <v>834.24945454545457</v>
      </c>
      <c r="E215" s="73">
        <f t="shared" si="100"/>
        <v>829.24800000000005</v>
      </c>
      <c r="F215" s="73">
        <f t="shared" si="100"/>
        <v>780.62981818181811</v>
      </c>
      <c r="G215" s="73">
        <f t="shared" si="100"/>
        <v>751.44145454545458</v>
      </c>
      <c r="H215" s="73">
        <f t="shared" si="100"/>
        <v>789.91927272727276</v>
      </c>
      <c r="I215" s="73">
        <f t="shared" si="100"/>
        <v>844.30909090909108</v>
      </c>
      <c r="J215" s="73">
        <f t="shared" si="100"/>
        <v>849.1185454545456</v>
      </c>
      <c r="K215" s="73">
        <f t="shared" si="100"/>
        <v>853.84727272727275</v>
      </c>
      <c r="L215" s="73">
        <f t="shared" si="100"/>
        <v>804.78836363636367</v>
      </c>
      <c r="M215" s="73">
        <f t="shared" si="100"/>
        <v>814.8196363636365</v>
      </c>
      <c r="N215" s="73">
        <f>SUM(B215:M215)</f>
        <v>9801.6603636363634</v>
      </c>
      <c r="Q215">
        <v>500</v>
      </c>
      <c r="R215">
        <v>10</v>
      </c>
      <c r="S215">
        <f>Q215/R215</f>
        <v>50</v>
      </c>
      <c r="T215">
        <f>S215/12</f>
        <v>4.166666666666667</v>
      </c>
    </row>
    <row r="216" spans="1:20" x14ac:dyDescent="0.2">
      <c r="A216" s="48" t="s">
        <v>190</v>
      </c>
      <c r="B216" s="73">
        <f>B204</f>
        <v>252</v>
      </c>
      <c r="C216" s="73">
        <f t="shared" ref="C216:M216" si="101">C204</f>
        <v>252</v>
      </c>
      <c r="D216" s="73">
        <f t="shared" si="101"/>
        <v>252</v>
      </c>
      <c r="E216" s="73">
        <f t="shared" si="101"/>
        <v>242</v>
      </c>
      <c r="F216" s="73">
        <f t="shared" si="101"/>
        <v>242</v>
      </c>
      <c r="G216" s="73">
        <f t="shared" si="101"/>
        <v>242</v>
      </c>
      <c r="H216" s="73">
        <f t="shared" si="101"/>
        <v>242</v>
      </c>
      <c r="I216" s="73">
        <f t="shared" si="101"/>
        <v>242</v>
      </c>
      <c r="J216" s="73">
        <f t="shared" si="101"/>
        <v>242</v>
      </c>
      <c r="K216" s="73">
        <f t="shared" si="101"/>
        <v>242</v>
      </c>
      <c r="L216" s="73">
        <f t="shared" si="101"/>
        <v>242</v>
      </c>
      <c r="M216" s="73">
        <f t="shared" si="101"/>
        <v>242</v>
      </c>
      <c r="N216" s="73">
        <f>SUM(B216:M216)</f>
        <v>2934</v>
      </c>
    </row>
    <row r="217" spans="1:20" x14ac:dyDescent="0.2">
      <c r="A217" s="69" t="s">
        <v>191</v>
      </c>
      <c r="B217" s="73">
        <f>B214-B215-B216</f>
        <v>1221.4724499694319</v>
      </c>
      <c r="C217" s="73">
        <f t="shared" ref="C217:N217" si="102">C214-C215-C216</f>
        <v>1393.9234786363636</v>
      </c>
      <c r="D217" s="73">
        <f t="shared" si="102"/>
        <v>1567.9593554545454</v>
      </c>
      <c r="E217" s="73">
        <f t="shared" si="102"/>
        <v>1627.3225862499999</v>
      </c>
      <c r="F217" s="73">
        <f t="shared" si="102"/>
        <v>1694.9351060681818</v>
      </c>
      <c r="G217" s="73">
        <f t="shared" si="102"/>
        <v>1666.2032350795457</v>
      </c>
      <c r="H217" s="73">
        <f t="shared" si="102"/>
        <v>1726.4459893977271</v>
      </c>
      <c r="I217" s="73">
        <f t="shared" si="102"/>
        <v>2140.7414613659089</v>
      </c>
      <c r="J217" s="73">
        <f t="shared" si="102"/>
        <v>2390.8560168204544</v>
      </c>
      <c r="K217" s="73">
        <f t="shared" si="102"/>
        <v>2240.9080777727272</v>
      </c>
      <c r="L217" s="73">
        <f t="shared" si="102"/>
        <v>1892.9603301136362</v>
      </c>
      <c r="M217" s="73">
        <f t="shared" si="102"/>
        <v>1502.3862429488631</v>
      </c>
      <c r="N217" s="73">
        <f t="shared" si="102"/>
        <v>21066.114329877382</v>
      </c>
    </row>
    <row r="218" spans="1:20" x14ac:dyDescent="0.2">
      <c r="A218" s="49" t="s">
        <v>192</v>
      </c>
      <c r="B218" s="73">
        <f>B210</f>
        <v>236.12700000000001</v>
      </c>
      <c r="C218" s="73">
        <f t="shared" ref="C218:M218" si="103">C210</f>
        <v>249.50685000000001</v>
      </c>
      <c r="D218" s="73">
        <f t="shared" si="103"/>
        <v>258.59505000000001</v>
      </c>
      <c r="E218" s="73">
        <f t="shared" si="103"/>
        <v>253.98783750000001</v>
      </c>
      <c r="F218" s="73">
        <f t="shared" si="103"/>
        <v>260.51367000000005</v>
      </c>
      <c r="G218" s="73">
        <f t="shared" si="103"/>
        <v>248.13730874999999</v>
      </c>
      <c r="H218" s="73">
        <f t="shared" si="103"/>
        <v>270.48544500000003</v>
      </c>
      <c r="I218" s="73">
        <f t="shared" si="103"/>
        <v>295.47925725000005</v>
      </c>
      <c r="J218" s="73">
        <f t="shared" si="103"/>
        <v>296.23534500000005</v>
      </c>
      <c r="K218" s="73">
        <f t="shared" si="103"/>
        <v>280.81065000000001</v>
      </c>
      <c r="L218" s="73">
        <f t="shared" si="103"/>
        <v>256.13366250000001</v>
      </c>
      <c r="M218" s="73">
        <f t="shared" si="103"/>
        <v>242.37198187500002</v>
      </c>
      <c r="N218" s="73">
        <f>SUM(B218:M218)</f>
        <v>3148.3840578750001</v>
      </c>
    </row>
    <row r="219" spans="1:20" x14ac:dyDescent="0.2">
      <c r="A219" s="49" t="s">
        <v>193</v>
      </c>
      <c r="B219" s="73">
        <f>$T214+$T215</f>
        <v>6.666666666666667</v>
      </c>
      <c r="C219" s="73">
        <f t="shared" ref="C219:M219" si="104">$T214+$T215</f>
        <v>6.666666666666667</v>
      </c>
      <c r="D219" s="73">
        <f t="shared" si="104"/>
        <v>6.666666666666667</v>
      </c>
      <c r="E219" s="73">
        <f t="shared" si="104"/>
        <v>6.666666666666667</v>
      </c>
      <c r="F219" s="73">
        <f t="shared" si="104"/>
        <v>6.666666666666667</v>
      </c>
      <c r="G219" s="73">
        <f t="shared" si="104"/>
        <v>6.666666666666667</v>
      </c>
      <c r="H219" s="73">
        <f t="shared" si="104"/>
        <v>6.666666666666667</v>
      </c>
      <c r="I219" s="73">
        <f t="shared" si="104"/>
        <v>6.666666666666667</v>
      </c>
      <c r="J219" s="73">
        <f t="shared" si="104"/>
        <v>6.666666666666667</v>
      </c>
      <c r="K219" s="73">
        <f t="shared" si="104"/>
        <v>6.666666666666667</v>
      </c>
      <c r="L219" s="73">
        <f t="shared" si="104"/>
        <v>6.666666666666667</v>
      </c>
      <c r="M219" s="73">
        <f t="shared" si="104"/>
        <v>6.666666666666667</v>
      </c>
      <c r="N219" s="73">
        <f>SUM(B219:M219)</f>
        <v>80</v>
      </c>
      <c r="P219" s="27" t="s">
        <v>202</v>
      </c>
    </row>
    <row r="220" spans="1:20" x14ac:dyDescent="0.2">
      <c r="A220" s="69" t="s">
        <v>194</v>
      </c>
      <c r="B220" s="73">
        <f>B217-B218-B219</f>
        <v>978.67878330276528</v>
      </c>
      <c r="C220" s="73">
        <f t="shared" ref="C220:N220" si="105">C217-C218-C219</f>
        <v>1137.7499619696969</v>
      </c>
      <c r="D220" s="73">
        <f t="shared" si="105"/>
        <v>1302.6976387878788</v>
      </c>
      <c r="E220" s="73">
        <f t="shared" si="105"/>
        <v>1366.668082083333</v>
      </c>
      <c r="F220" s="73">
        <f t="shared" si="105"/>
        <v>1427.754769401515</v>
      </c>
      <c r="G220" s="73">
        <f t="shared" si="105"/>
        <v>1411.3992596628789</v>
      </c>
      <c r="H220" s="73">
        <f t="shared" si="105"/>
        <v>1449.2938777310603</v>
      </c>
      <c r="I220" s="73">
        <f t="shared" si="105"/>
        <v>1838.5955374492421</v>
      </c>
      <c r="J220" s="73">
        <f t="shared" si="105"/>
        <v>2087.9540051537879</v>
      </c>
      <c r="K220" s="73">
        <f t="shared" si="105"/>
        <v>1953.4307611060606</v>
      </c>
      <c r="L220" s="73">
        <f t="shared" si="105"/>
        <v>1630.1600009469696</v>
      </c>
      <c r="M220" s="73">
        <f t="shared" si="105"/>
        <v>1253.3475944071963</v>
      </c>
      <c r="N220" s="73">
        <f t="shared" si="105"/>
        <v>17837.730272002384</v>
      </c>
      <c r="P220" s="27">
        <v>0.35</v>
      </c>
    </row>
    <row r="221" spans="1:20" x14ac:dyDescent="0.2">
      <c r="A221" s="49" t="s">
        <v>195</v>
      </c>
      <c r="B221" s="73">
        <v>0</v>
      </c>
      <c r="C221" s="73">
        <v>0</v>
      </c>
      <c r="D221" s="73">
        <v>0</v>
      </c>
      <c r="E221" s="73">
        <v>0</v>
      </c>
      <c r="F221" s="73">
        <v>0</v>
      </c>
      <c r="G221" s="73">
        <v>0</v>
      </c>
      <c r="H221" s="73">
        <v>0</v>
      </c>
      <c r="I221" s="73">
        <v>0</v>
      </c>
      <c r="J221" s="73">
        <v>0</v>
      </c>
      <c r="K221" s="73">
        <v>0</v>
      </c>
      <c r="L221" s="73">
        <v>0</v>
      </c>
      <c r="M221" s="73">
        <v>0</v>
      </c>
      <c r="N221" s="73">
        <v>0</v>
      </c>
    </row>
    <row r="222" spans="1:20" x14ac:dyDescent="0.2">
      <c r="A222" s="49" t="s">
        <v>196</v>
      </c>
      <c r="B222" s="73">
        <f>P223*P220</f>
        <v>430.0702529828614</v>
      </c>
      <c r="C222" s="73">
        <f>B220*$P220</f>
        <v>342.53757415596783</v>
      </c>
      <c r="D222" s="73">
        <f t="shared" ref="D222:N222" si="106">C220*$P220</f>
        <v>398.21248668939387</v>
      </c>
      <c r="E222" s="73">
        <f t="shared" si="106"/>
        <v>455.94417357575753</v>
      </c>
      <c r="F222" s="73">
        <f t="shared" si="106"/>
        <v>478.33382872916656</v>
      </c>
      <c r="G222" s="73">
        <f t="shared" si="106"/>
        <v>499.71416929053021</v>
      </c>
      <c r="H222" s="73">
        <f t="shared" si="106"/>
        <v>493.9897408820076</v>
      </c>
      <c r="I222" s="73">
        <f t="shared" si="106"/>
        <v>507.25285720587107</v>
      </c>
      <c r="J222" s="73">
        <f t="shared" si="106"/>
        <v>643.50843810723472</v>
      </c>
      <c r="K222" s="73">
        <f t="shared" si="106"/>
        <v>730.78390180382576</v>
      </c>
      <c r="L222" s="73">
        <f t="shared" si="106"/>
        <v>683.70076638712112</v>
      </c>
      <c r="M222" s="73">
        <f t="shared" si="106"/>
        <v>570.55600033143935</v>
      </c>
      <c r="N222" s="73">
        <f t="shared" si="106"/>
        <v>438.67165804251869</v>
      </c>
      <c r="P222" s="27" t="s">
        <v>219</v>
      </c>
    </row>
    <row r="223" spans="1:20" x14ac:dyDescent="0.2">
      <c r="A223" s="69" t="s">
        <v>197</v>
      </c>
      <c r="B223" s="73">
        <f>B220-B221-B222</f>
        <v>548.60853031990382</v>
      </c>
      <c r="C223" s="73">
        <f t="shared" ref="C223:N223" si="107">C220-C221-C222</f>
        <v>795.21238781372904</v>
      </c>
      <c r="D223" s="73">
        <f t="shared" si="107"/>
        <v>904.48515209848483</v>
      </c>
      <c r="E223" s="73">
        <f t="shared" si="107"/>
        <v>910.72390850757552</v>
      </c>
      <c r="F223" s="73">
        <f t="shared" si="107"/>
        <v>949.42094067234848</v>
      </c>
      <c r="G223" s="73">
        <f t="shared" si="107"/>
        <v>911.68509037234867</v>
      </c>
      <c r="H223" s="73">
        <f t="shared" si="107"/>
        <v>955.30413684905272</v>
      </c>
      <c r="I223" s="73">
        <f t="shared" si="107"/>
        <v>1331.342680243371</v>
      </c>
      <c r="J223" s="73">
        <f t="shared" si="107"/>
        <v>1444.4455670465532</v>
      </c>
      <c r="K223" s="73">
        <f t="shared" si="107"/>
        <v>1222.6468593022348</v>
      </c>
      <c r="L223" s="73">
        <f t="shared" si="107"/>
        <v>946.45923455984848</v>
      </c>
      <c r="M223" s="73">
        <f t="shared" si="107"/>
        <v>682.79159407575696</v>
      </c>
      <c r="N223" s="73">
        <f t="shared" si="107"/>
        <v>17399.058613959864</v>
      </c>
      <c r="P223" s="74">
        <f>M220/1.02</f>
        <v>1228.7721513796041</v>
      </c>
    </row>
    <row r="226" spans="1:16" x14ac:dyDescent="0.2">
      <c r="A226" s="226" t="s">
        <v>204</v>
      </c>
      <c r="B226" s="227"/>
      <c r="C226" s="227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</row>
    <row r="227" spans="1:16" x14ac:dyDescent="0.2">
      <c r="B227" s="56" t="s">
        <v>3</v>
      </c>
      <c r="C227" s="56" t="s">
        <v>4</v>
      </c>
      <c r="D227" s="56" t="s">
        <v>5</v>
      </c>
      <c r="E227" s="56" t="s">
        <v>6</v>
      </c>
      <c r="F227" s="56" t="s">
        <v>7</v>
      </c>
      <c r="G227" s="56" t="s">
        <v>8</v>
      </c>
      <c r="H227" s="56" t="s">
        <v>9</v>
      </c>
      <c r="I227" s="56" t="s">
        <v>10</v>
      </c>
      <c r="J227" s="56" t="s">
        <v>96</v>
      </c>
      <c r="K227" s="56" t="s">
        <v>12</v>
      </c>
      <c r="L227" s="56" t="s">
        <v>13</v>
      </c>
      <c r="M227" s="56" t="s">
        <v>14</v>
      </c>
      <c r="N227" s="59" t="s">
        <v>125</v>
      </c>
    </row>
    <row r="228" spans="1:16" x14ac:dyDescent="0.2">
      <c r="A228" s="27" t="s">
        <v>205</v>
      </c>
      <c r="B228" s="72">
        <f>B128</f>
        <v>2336.91026815125</v>
      </c>
      <c r="C228" s="72">
        <f t="shared" ref="C228:N228" si="108">C128</f>
        <v>2431.7751149999999</v>
      </c>
      <c r="D228" s="72">
        <f t="shared" si="108"/>
        <v>2654.2088100000001</v>
      </c>
      <c r="E228" s="72">
        <f t="shared" si="108"/>
        <v>2698.5705862499999</v>
      </c>
      <c r="F228" s="72">
        <f t="shared" si="108"/>
        <v>2717.5649242499999</v>
      </c>
      <c r="G228" s="72">
        <f t="shared" si="108"/>
        <v>2659.6446896250004</v>
      </c>
      <c r="H228" s="72">
        <f t="shared" si="108"/>
        <v>2758.3652621249998</v>
      </c>
      <c r="I228" s="72">
        <f t="shared" si="108"/>
        <v>3227.050552275</v>
      </c>
      <c r="J228" s="72">
        <f t="shared" si="108"/>
        <v>3481.9745622750002</v>
      </c>
      <c r="K228" s="72">
        <f t="shared" si="108"/>
        <v>3336.7553505000001</v>
      </c>
      <c r="L228" s="72">
        <f t="shared" si="108"/>
        <v>2939.7486937499998</v>
      </c>
      <c r="M228" s="72">
        <f t="shared" si="108"/>
        <v>2559.2058793124997</v>
      </c>
      <c r="N228" s="72">
        <f t="shared" si="108"/>
        <v>31464.864425362499</v>
      </c>
    </row>
    <row r="229" spans="1:16" x14ac:dyDescent="0.2">
      <c r="A229" s="27" t="s">
        <v>206</v>
      </c>
      <c r="B229" s="72">
        <v>0</v>
      </c>
      <c r="C229" s="72">
        <v>0</v>
      </c>
      <c r="D229" s="72">
        <v>0</v>
      </c>
      <c r="E229" s="72">
        <v>0</v>
      </c>
      <c r="F229" s="72">
        <v>0</v>
      </c>
      <c r="G229" s="72">
        <v>0</v>
      </c>
      <c r="H229" s="72">
        <v>0</v>
      </c>
      <c r="I229" s="72">
        <v>0</v>
      </c>
      <c r="J229" s="72">
        <v>0</v>
      </c>
      <c r="K229" s="72">
        <v>0</v>
      </c>
      <c r="L229" s="72">
        <v>0</v>
      </c>
      <c r="M229" s="72">
        <v>0</v>
      </c>
      <c r="N229" s="72">
        <v>0</v>
      </c>
    </row>
    <row r="230" spans="1:16" x14ac:dyDescent="0.2">
      <c r="A230" s="27" t="s">
        <v>212</v>
      </c>
      <c r="B230" s="72">
        <f>B228+B229</f>
        <v>2336.91026815125</v>
      </c>
      <c r="C230" s="72">
        <f t="shared" ref="C230:N230" si="109">C228+C229</f>
        <v>2431.7751149999999</v>
      </c>
      <c r="D230" s="72">
        <f t="shared" si="109"/>
        <v>2654.2088100000001</v>
      </c>
      <c r="E230" s="72">
        <f t="shared" si="109"/>
        <v>2698.5705862499999</v>
      </c>
      <c r="F230" s="72">
        <f t="shared" si="109"/>
        <v>2717.5649242499999</v>
      </c>
      <c r="G230" s="72">
        <f t="shared" si="109"/>
        <v>2659.6446896250004</v>
      </c>
      <c r="H230" s="72">
        <f t="shared" si="109"/>
        <v>2758.3652621249998</v>
      </c>
      <c r="I230" s="72">
        <f t="shared" si="109"/>
        <v>3227.050552275</v>
      </c>
      <c r="J230" s="72">
        <f t="shared" si="109"/>
        <v>3481.9745622750002</v>
      </c>
      <c r="K230" s="72">
        <f t="shared" si="109"/>
        <v>3336.7553505000001</v>
      </c>
      <c r="L230" s="72">
        <f t="shared" si="109"/>
        <v>2939.7486937499998</v>
      </c>
      <c r="M230" s="72">
        <f t="shared" si="109"/>
        <v>2559.2058793124997</v>
      </c>
      <c r="N230" s="72">
        <f t="shared" si="109"/>
        <v>31464.864425362499</v>
      </c>
    </row>
    <row r="231" spans="1:16" x14ac:dyDescent="0.2">
      <c r="A231" s="27" t="s">
        <v>19</v>
      </c>
      <c r="B231" s="72">
        <f t="shared" ref="B231:N231" si="110">((B38)/1000)*1000</f>
        <v>819.75200000000007</v>
      </c>
      <c r="C231" s="72">
        <f t="shared" si="110"/>
        <v>766.59999999999991</v>
      </c>
      <c r="D231" s="72">
        <f t="shared" si="110"/>
        <v>800.572</v>
      </c>
      <c r="E231" s="72">
        <f t="shared" si="110"/>
        <v>794.3839999999999</v>
      </c>
      <c r="F231" s="72">
        <f t="shared" si="110"/>
        <v>754.63200000000006</v>
      </c>
      <c r="G231" s="72">
        <f t="shared" si="110"/>
        <v>734.08799999999997</v>
      </c>
      <c r="H231" s="72">
        <f t="shared" si="110"/>
        <v>760.23599999999999</v>
      </c>
      <c r="I231" s="72">
        <f t="shared" si="110"/>
        <v>817.18000000000006</v>
      </c>
      <c r="J231" s="72">
        <f t="shared" si="110"/>
        <v>821.44399999999996</v>
      </c>
      <c r="K231" s="72">
        <f t="shared" si="110"/>
        <v>817.75199999999995</v>
      </c>
      <c r="L231" s="72">
        <f t="shared" si="110"/>
        <v>775.50400000000013</v>
      </c>
      <c r="M231" s="72">
        <f t="shared" si="110"/>
        <v>773.22951736000005</v>
      </c>
      <c r="N231" s="72">
        <f t="shared" si="110"/>
        <v>9435.3735173600016</v>
      </c>
    </row>
    <row r="232" spans="1:16" x14ac:dyDescent="0.2">
      <c r="A232" s="46" t="s">
        <v>207</v>
      </c>
      <c r="B232" s="72">
        <f t="shared" ref="B232:M232" si="111">((B188)/1000)*1000</f>
        <v>73.172945454545456</v>
      </c>
      <c r="C232" s="72">
        <f t="shared" si="111"/>
        <v>53.410909090909087</v>
      </c>
      <c r="D232" s="72">
        <f t="shared" si="111"/>
        <v>69.434181818181813</v>
      </c>
      <c r="E232" s="72">
        <f t="shared" si="111"/>
        <v>67.831854545454547</v>
      </c>
      <c r="F232" s="72">
        <f t="shared" si="111"/>
        <v>56.081454545454548</v>
      </c>
      <c r="G232" s="72">
        <f t="shared" si="111"/>
        <v>52.342690909090905</v>
      </c>
      <c r="H232" s="72">
        <f t="shared" si="111"/>
        <v>64.093090909090904</v>
      </c>
      <c r="I232" s="72">
        <f t="shared" si="111"/>
        <v>65.161309090909086</v>
      </c>
      <c r="J232" s="72">
        <f t="shared" si="111"/>
        <v>67.297745454545449</v>
      </c>
      <c r="K232" s="72">
        <f t="shared" si="111"/>
        <v>65.161309090909086</v>
      </c>
      <c r="L232" s="72">
        <f t="shared" si="111"/>
        <v>61.956654545454541</v>
      </c>
      <c r="M232" s="72">
        <f t="shared" si="111"/>
        <v>61.422545454545443</v>
      </c>
      <c r="N232" s="72">
        <f>((SUM(B232:M232))/1000)*1000</f>
        <v>757.36669090909083</v>
      </c>
    </row>
    <row r="233" spans="1:16" x14ac:dyDescent="0.2">
      <c r="A233" s="46" t="s">
        <v>129</v>
      </c>
      <c r="B233" s="72">
        <f t="shared" ref="B233:N233" si="112">((B198)/1000)*1000</f>
        <v>0</v>
      </c>
      <c r="C233" s="72">
        <f t="shared" si="112"/>
        <v>0</v>
      </c>
      <c r="D233" s="72">
        <f t="shared" si="112"/>
        <v>0</v>
      </c>
      <c r="E233" s="72">
        <f t="shared" si="112"/>
        <v>190</v>
      </c>
      <c r="F233" s="72">
        <f t="shared" si="112"/>
        <v>190</v>
      </c>
      <c r="G233" s="72">
        <f t="shared" si="112"/>
        <v>190</v>
      </c>
      <c r="H233" s="72">
        <f t="shared" si="112"/>
        <v>190</v>
      </c>
      <c r="I233" s="72">
        <f t="shared" si="112"/>
        <v>190</v>
      </c>
      <c r="J233" s="72">
        <f t="shared" si="112"/>
        <v>0</v>
      </c>
      <c r="K233" s="72">
        <f t="shared" si="112"/>
        <v>0</v>
      </c>
      <c r="L233" s="72">
        <f t="shared" si="112"/>
        <v>0</v>
      </c>
      <c r="M233" s="72">
        <f t="shared" si="112"/>
        <v>0</v>
      </c>
      <c r="N233" s="72">
        <f t="shared" si="112"/>
        <v>950</v>
      </c>
    </row>
    <row r="234" spans="1:16" x14ac:dyDescent="0.2">
      <c r="A234" s="46" t="s">
        <v>208</v>
      </c>
      <c r="B234" s="72">
        <f t="shared" ref="B234:N234" si="113">((B204)/1000)*1000</f>
        <v>252</v>
      </c>
      <c r="C234" s="72">
        <f t="shared" si="113"/>
        <v>252</v>
      </c>
      <c r="D234" s="72">
        <f t="shared" si="113"/>
        <v>252</v>
      </c>
      <c r="E234" s="72">
        <f t="shared" si="113"/>
        <v>242</v>
      </c>
      <c r="F234" s="72">
        <f t="shared" si="113"/>
        <v>242</v>
      </c>
      <c r="G234" s="72">
        <f t="shared" si="113"/>
        <v>242</v>
      </c>
      <c r="H234" s="72">
        <f t="shared" si="113"/>
        <v>242</v>
      </c>
      <c r="I234" s="72">
        <f t="shared" si="113"/>
        <v>242</v>
      </c>
      <c r="J234" s="72">
        <f t="shared" si="113"/>
        <v>242</v>
      </c>
      <c r="K234" s="72">
        <f t="shared" si="113"/>
        <v>242</v>
      </c>
      <c r="L234" s="72">
        <f t="shared" si="113"/>
        <v>242</v>
      </c>
      <c r="M234" s="72">
        <f t="shared" si="113"/>
        <v>242</v>
      </c>
      <c r="N234" s="72">
        <f t="shared" si="113"/>
        <v>2934</v>
      </c>
    </row>
    <row r="235" spans="1:16" x14ac:dyDescent="0.2">
      <c r="A235" s="46" t="s">
        <v>209</v>
      </c>
      <c r="B235" s="72">
        <f t="shared" ref="B235:N235" si="114">((B210)/1000)*1000</f>
        <v>236.12700000000001</v>
      </c>
      <c r="C235" s="72">
        <f t="shared" si="114"/>
        <v>249.50685000000001</v>
      </c>
      <c r="D235" s="72">
        <f t="shared" si="114"/>
        <v>258.59505000000001</v>
      </c>
      <c r="E235" s="72">
        <f t="shared" si="114"/>
        <v>253.98783750000004</v>
      </c>
      <c r="F235" s="72">
        <f t="shared" si="114"/>
        <v>260.51367000000005</v>
      </c>
      <c r="G235" s="72">
        <f t="shared" si="114"/>
        <v>248.13730874999999</v>
      </c>
      <c r="H235" s="72">
        <f t="shared" si="114"/>
        <v>270.48544500000003</v>
      </c>
      <c r="I235" s="72">
        <f t="shared" si="114"/>
        <v>295.47925725000005</v>
      </c>
      <c r="J235" s="72">
        <f t="shared" si="114"/>
        <v>296.23534500000005</v>
      </c>
      <c r="K235" s="72">
        <f t="shared" si="114"/>
        <v>280.81065000000001</v>
      </c>
      <c r="L235" s="72">
        <f t="shared" si="114"/>
        <v>256.13366250000001</v>
      </c>
      <c r="M235" s="72">
        <f t="shared" si="114"/>
        <v>242.37198187500002</v>
      </c>
      <c r="N235" s="72">
        <f t="shared" si="114"/>
        <v>3.148384057875</v>
      </c>
      <c r="P235">
        <v>1000</v>
      </c>
    </row>
    <row r="236" spans="1:16" x14ac:dyDescent="0.2">
      <c r="A236" s="46" t="s">
        <v>210</v>
      </c>
      <c r="B236" s="72">
        <v>0</v>
      </c>
      <c r="C236" s="72">
        <v>0</v>
      </c>
      <c r="D236" s="72">
        <v>0</v>
      </c>
      <c r="E236" s="72">
        <v>0</v>
      </c>
      <c r="F236" s="72">
        <v>0</v>
      </c>
      <c r="G236" s="72">
        <v>0</v>
      </c>
      <c r="H236" s="72">
        <v>0</v>
      </c>
      <c r="I236" s="72">
        <v>0</v>
      </c>
      <c r="J236" s="72">
        <v>0</v>
      </c>
      <c r="K236" s="72">
        <v>0</v>
      </c>
      <c r="L236" s="72">
        <v>0</v>
      </c>
      <c r="M236" s="72">
        <v>0</v>
      </c>
      <c r="N236" s="72">
        <v>0</v>
      </c>
    </row>
    <row r="237" spans="1:16" x14ac:dyDescent="0.2">
      <c r="A237" s="46" t="s">
        <v>196</v>
      </c>
      <c r="B237" s="72">
        <f>B222</f>
        <v>430.0702529828614</v>
      </c>
      <c r="C237" s="72">
        <f t="shared" ref="C237:N237" si="115">((C222)/1000)*1000</f>
        <v>342.53757415596783</v>
      </c>
      <c r="D237" s="72">
        <f t="shared" si="115"/>
        <v>398.21248668939387</v>
      </c>
      <c r="E237" s="72">
        <f t="shared" si="115"/>
        <v>455.94417357575753</v>
      </c>
      <c r="F237" s="72">
        <f t="shared" si="115"/>
        <v>478.33382872916656</v>
      </c>
      <c r="G237" s="72">
        <f t="shared" si="115"/>
        <v>499.71416929053021</v>
      </c>
      <c r="H237" s="72">
        <f t="shared" si="115"/>
        <v>493.9897408820076</v>
      </c>
      <c r="I237" s="72">
        <f t="shared" si="115"/>
        <v>507.25285720587112</v>
      </c>
      <c r="J237" s="72">
        <f t="shared" si="115"/>
        <v>643.50843810723472</v>
      </c>
      <c r="K237" s="72">
        <f t="shared" si="115"/>
        <v>730.78390180382576</v>
      </c>
      <c r="L237" s="72">
        <f t="shared" si="115"/>
        <v>683.70076638712112</v>
      </c>
      <c r="M237" s="72">
        <f t="shared" si="115"/>
        <v>570.55600033143935</v>
      </c>
      <c r="N237" s="72">
        <f t="shared" si="115"/>
        <v>438.67165804251869</v>
      </c>
    </row>
    <row r="238" spans="1:16" x14ac:dyDescent="0.2">
      <c r="A238" s="46" t="s">
        <v>211</v>
      </c>
      <c r="B238" s="72">
        <f>B231+B232+B233+B234+B235+B236+B237</f>
        <v>1811.122198437407</v>
      </c>
      <c r="C238" s="72">
        <f t="shared" ref="C238:N238" si="116">C231+C232+C233+C234+C235+C236+C237</f>
        <v>1664.0553332468769</v>
      </c>
      <c r="D238" s="72">
        <f t="shared" si="116"/>
        <v>1778.8137185075759</v>
      </c>
      <c r="E238" s="72">
        <f t="shared" si="116"/>
        <v>2004.1478656212121</v>
      </c>
      <c r="F238" s="72">
        <f t="shared" si="116"/>
        <v>1981.5609532746212</v>
      </c>
      <c r="G238" s="72">
        <f t="shared" si="116"/>
        <v>1966.2821689496213</v>
      </c>
      <c r="H238" s="72">
        <f t="shared" si="116"/>
        <v>2020.8042767910983</v>
      </c>
      <c r="I238" s="72">
        <f t="shared" si="116"/>
        <v>2117.0734235467803</v>
      </c>
      <c r="J238" s="72">
        <f t="shared" si="116"/>
        <v>2070.48552856178</v>
      </c>
      <c r="K238" s="72">
        <f t="shared" si="116"/>
        <v>2136.5078608947347</v>
      </c>
      <c r="L238" s="72">
        <f t="shared" si="116"/>
        <v>2019.2950834325759</v>
      </c>
      <c r="M238" s="72">
        <f t="shared" si="116"/>
        <v>1889.5800450209849</v>
      </c>
      <c r="N238" s="72">
        <f t="shared" si="116"/>
        <v>14518.560250369486</v>
      </c>
    </row>
    <row r="239" spans="1:16" x14ac:dyDescent="0.2">
      <c r="A239" s="46" t="s">
        <v>204</v>
      </c>
      <c r="B239" s="72">
        <f>B230-B238</f>
        <v>525.78806971384302</v>
      </c>
      <c r="C239" s="72">
        <f t="shared" ref="C239:N239" si="117">C230-C238</f>
        <v>767.71978175312302</v>
      </c>
      <c r="D239" s="72">
        <f t="shared" si="117"/>
        <v>875.39509149242417</v>
      </c>
      <c r="E239" s="72">
        <f t="shared" si="117"/>
        <v>694.42272062878783</v>
      </c>
      <c r="F239" s="72">
        <f t="shared" si="117"/>
        <v>736.00397097537871</v>
      </c>
      <c r="G239" s="72">
        <f t="shared" si="117"/>
        <v>693.36252067537907</v>
      </c>
      <c r="H239" s="72">
        <f t="shared" si="117"/>
        <v>737.5609853339015</v>
      </c>
      <c r="I239" s="72">
        <f t="shared" si="117"/>
        <v>1109.9771287282197</v>
      </c>
      <c r="J239" s="72">
        <f t="shared" si="117"/>
        <v>1411.4890337132201</v>
      </c>
      <c r="K239" s="72">
        <f t="shared" si="117"/>
        <v>1200.2474896052654</v>
      </c>
      <c r="L239" s="72">
        <f t="shared" si="117"/>
        <v>920.45361031742391</v>
      </c>
      <c r="M239" s="72">
        <f t="shared" si="117"/>
        <v>669.62583429151482</v>
      </c>
      <c r="N239" s="72">
        <f t="shared" si="117"/>
        <v>16946.304174993013</v>
      </c>
    </row>
    <row r="240" spans="1:16" x14ac:dyDescent="0.2">
      <c r="A240" s="46" t="s">
        <v>213</v>
      </c>
      <c r="B240" s="72">
        <f>B239</f>
        <v>525.78806971384302</v>
      </c>
      <c r="C240" s="72">
        <f>C239+B240</f>
        <v>1293.507851466966</v>
      </c>
      <c r="D240" s="72">
        <f>D239+C240</f>
        <v>2168.9029429593902</v>
      </c>
      <c r="E240" s="72">
        <f t="shared" ref="E240:M240" si="118">E239+D240</f>
        <v>2863.325663588178</v>
      </c>
      <c r="F240" s="72">
        <f t="shared" si="118"/>
        <v>3599.3296345635567</v>
      </c>
      <c r="G240" s="72">
        <f t="shared" si="118"/>
        <v>4292.6921552389358</v>
      </c>
      <c r="H240" s="72">
        <f t="shared" si="118"/>
        <v>5030.2531405728369</v>
      </c>
      <c r="I240" s="72">
        <f t="shared" si="118"/>
        <v>6140.230269301057</v>
      </c>
      <c r="J240" s="72">
        <f t="shared" si="118"/>
        <v>7551.7193030142771</v>
      </c>
      <c r="K240" s="72">
        <f t="shared" si="118"/>
        <v>8751.9667926195434</v>
      </c>
      <c r="L240" s="72">
        <f t="shared" si="118"/>
        <v>9672.4204029369666</v>
      </c>
      <c r="M240" s="72">
        <f t="shared" si="118"/>
        <v>10342.046237228482</v>
      </c>
      <c r="N240" s="72"/>
    </row>
  </sheetData>
  <mergeCells count="42">
    <mergeCell ref="A3:J3"/>
    <mergeCell ref="A4:J4"/>
    <mergeCell ref="A5:J5"/>
    <mergeCell ref="A212:N212"/>
    <mergeCell ref="A226:N226"/>
    <mergeCell ref="A170:N170"/>
    <mergeCell ref="A196:N196"/>
    <mergeCell ref="A206:N206"/>
    <mergeCell ref="A200:N200"/>
    <mergeCell ref="A147:A151"/>
    <mergeCell ref="A152:A156"/>
    <mergeCell ref="A158:A162"/>
    <mergeCell ref="A163:A167"/>
    <mergeCell ref="A47:M47"/>
    <mergeCell ref="A110:N110"/>
    <mergeCell ref="A116:N116"/>
    <mergeCell ref="A1:J1"/>
    <mergeCell ref="A104:N104"/>
    <mergeCell ref="A6:M6"/>
    <mergeCell ref="A13:M13"/>
    <mergeCell ref="A25:M25"/>
    <mergeCell ref="A40:M40"/>
    <mergeCell ref="A54:M54"/>
    <mergeCell ref="A32:M32"/>
    <mergeCell ref="A99:M99"/>
    <mergeCell ref="A90:M90"/>
    <mergeCell ref="A68:M68"/>
    <mergeCell ref="A79:M79"/>
    <mergeCell ref="A84:M84"/>
    <mergeCell ref="A95:M95"/>
    <mergeCell ref="B73:M73"/>
    <mergeCell ref="A2:J2"/>
    <mergeCell ref="B190:E190"/>
    <mergeCell ref="G190:J190"/>
    <mergeCell ref="L190:O190"/>
    <mergeCell ref="P11:R11"/>
    <mergeCell ref="P18:Q18"/>
    <mergeCell ref="B64:C64"/>
    <mergeCell ref="O57:S57"/>
    <mergeCell ref="A62:M62"/>
    <mergeCell ref="A130:N130"/>
    <mergeCell ref="A144:N14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Enunciado</vt:lpstr>
      <vt:lpstr>Datos</vt:lpstr>
      <vt:lpstr>Produccion</vt:lpstr>
      <vt:lpstr>Hoja2</vt:lpstr>
      <vt:lpstr>Hoja3</vt:lpstr>
      <vt:lpstr>Hoja4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2000 Professional</dc:creator>
  <cp:lastModifiedBy>djjia</cp:lastModifiedBy>
  <cp:lastPrinted>2013-06-17T15:43:23Z</cp:lastPrinted>
  <dcterms:created xsi:type="dcterms:W3CDTF">2004-10-18T14:02:37Z</dcterms:created>
  <dcterms:modified xsi:type="dcterms:W3CDTF">2013-12-16T20:16:30Z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-823111246</vt:i4>
  </property>
  <property fmtid="{D5CDD505-2E9C-101B-9397-08002B2CF9AE}" pid="4" name="_EmailSubject">
    <vt:lpwstr>PRESUPUESTO</vt:lpwstr>
  </property>
  <property fmtid="{D5CDD505-2E9C-101B-9397-08002B2CF9AE}" pid="5" name="_AuthorEmail">
    <vt:lpwstr>oducrey@exiros.com</vt:lpwstr>
  </property>
  <property fmtid="{D5CDD505-2E9C-101B-9397-08002B2CF9AE}" pid="6" name="_AuthorEmailDisplayName">
    <vt:lpwstr>DUCREY Omar             EXIROS</vt:lpwstr>
  </property>
  <property fmtid="{D5CDD505-2E9C-101B-9397-08002B2CF9AE}" pid="7" name="_ReviewingToolsShownOnce">
    <vt:lpwstr/>
  </property>
</Properties>
</file>