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380" yWindow="0" windowWidth="10080" windowHeight="7545" firstSheet="5" activeTab="6"/>
  </bookViews>
  <sheets>
    <sheet name="Enunciado" sheetId="1" r:id="rId1"/>
    <sheet name="Hoja2" sheetId="2" state="hidden" r:id="rId2"/>
    <sheet name="Hoja3" sheetId="3" state="hidden" r:id="rId3"/>
    <sheet name="Hoja4" sheetId="4" r:id="rId4"/>
    <sheet name="Hoja5" sheetId="5" r:id="rId5"/>
    <sheet name="Pronostico de Ventas" sheetId="6" r:id="rId6"/>
    <sheet name="Producción" sheetId="7" r:id="rId7"/>
    <sheet name="Mano de Obra" sheetId="8" r:id="rId8"/>
    <sheet name="Materias Primas" sheetId="9" r:id="rId9"/>
    <sheet name="Presupuesto de Ventas" sheetId="10" r:id="rId10"/>
    <sheet name="Presupuesto de Facturación" sheetId="11" r:id="rId11"/>
    <sheet name="Presupuesto de Cobranzas" sheetId="12" r:id="rId12"/>
    <sheet name="Gastos e Inversiones" sheetId="13" r:id="rId13"/>
    <sheet name="¨Presupuesto Financiero" sheetId="14" r:id="rId14"/>
    <sheet name="Cuadro de Resultados" sheetId="15" r:id="rId15"/>
  </sheets>
  <calcPr calcId="125725"/>
</workbook>
</file>

<file path=xl/calcChain.xml><?xml version="1.0" encoding="utf-8"?>
<calcChain xmlns="http://schemas.openxmlformats.org/spreadsheetml/2006/main">
  <c r="O194" i="4"/>
  <c r="O193"/>
  <c r="D192"/>
  <c r="E192"/>
  <c r="F192"/>
  <c r="G192"/>
  <c r="H192"/>
  <c r="I192"/>
  <c r="J192"/>
  <c r="K192"/>
  <c r="L192"/>
  <c r="M192"/>
  <c r="N192"/>
  <c r="C192"/>
  <c r="O192" s="1"/>
  <c r="O191"/>
  <c r="O190"/>
  <c r="O188"/>
  <c r="O186"/>
  <c r="C186"/>
  <c r="O184"/>
  <c r="O181"/>
  <c r="O179"/>
  <c r="C9" i="7"/>
  <c r="B9"/>
  <c r="B12" s="1"/>
  <c r="B8"/>
  <c r="C284" i="4"/>
  <c r="C286"/>
  <c r="F273"/>
  <c r="F275"/>
  <c r="E273"/>
  <c r="E275"/>
  <c r="D273"/>
  <c r="D275"/>
  <c r="C273"/>
  <c r="C275"/>
  <c r="P167"/>
  <c r="C191" s="1"/>
  <c r="D186"/>
  <c r="E186"/>
  <c r="F186"/>
  <c r="G186"/>
  <c r="H186"/>
  <c r="I186"/>
  <c r="J186"/>
  <c r="K186"/>
  <c r="L186"/>
  <c r="M186"/>
  <c r="N186"/>
  <c r="D184"/>
  <c r="E184"/>
  <c r="F184"/>
  <c r="G184"/>
  <c r="H184"/>
  <c r="I184"/>
  <c r="J184"/>
  <c r="K184"/>
  <c r="L184"/>
  <c r="M184"/>
  <c r="N184"/>
  <c r="C184"/>
  <c r="D181"/>
  <c r="E181"/>
  <c r="F181"/>
  <c r="G181"/>
  <c r="H181"/>
  <c r="I181"/>
  <c r="J181"/>
  <c r="K181"/>
  <c r="L181"/>
  <c r="M181"/>
  <c r="N181"/>
  <c r="C181"/>
  <c r="D179"/>
  <c r="E179"/>
  <c r="F179"/>
  <c r="G179"/>
  <c r="H179"/>
  <c r="I179"/>
  <c r="J179"/>
  <c r="K179"/>
  <c r="L179"/>
  <c r="M179"/>
  <c r="N179"/>
  <c r="C179"/>
  <c r="D103"/>
  <c r="E103"/>
  <c r="F103"/>
  <c r="G103"/>
  <c r="H103"/>
  <c r="I103"/>
  <c r="J103"/>
  <c r="K103"/>
  <c r="L103"/>
  <c r="M103"/>
  <c r="N103"/>
  <c r="C103"/>
  <c r="S108" s="1"/>
  <c r="D102"/>
  <c r="E102"/>
  <c r="F102"/>
  <c r="G102"/>
  <c r="H102"/>
  <c r="I102"/>
  <c r="J102"/>
  <c r="K102"/>
  <c r="L102"/>
  <c r="M102"/>
  <c r="N102"/>
  <c r="C102"/>
  <c r="C108" s="1"/>
  <c r="C246" s="1"/>
  <c r="D97"/>
  <c r="E97"/>
  <c r="F97"/>
  <c r="G97"/>
  <c r="H97"/>
  <c r="I97"/>
  <c r="J97"/>
  <c r="K97"/>
  <c r="L97"/>
  <c r="M97"/>
  <c r="N97"/>
  <c r="Q118" s="1"/>
  <c r="C97"/>
  <c r="C65"/>
  <c r="O16"/>
  <c r="O56" s="1"/>
  <c r="N34" s="1"/>
  <c r="N42" s="1"/>
  <c r="O145" s="1"/>
  <c r="O20"/>
  <c r="O58" s="1"/>
  <c r="N36" s="1"/>
  <c r="N44" s="1"/>
  <c r="O156" s="1"/>
  <c r="C52"/>
  <c r="D159" s="1"/>
  <c r="C51"/>
  <c r="D154" s="1"/>
  <c r="C50"/>
  <c r="D148" s="1"/>
  <c r="C49"/>
  <c r="D143" s="1"/>
  <c r="N66"/>
  <c r="D66"/>
  <c r="E66"/>
  <c r="F66"/>
  <c r="G66"/>
  <c r="H66"/>
  <c r="I66"/>
  <c r="J66"/>
  <c r="K66"/>
  <c r="L66"/>
  <c r="M66"/>
  <c r="C66"/>
  <c r="N65"/>
  <c r="D65"/>
  <c r="E65"/>
  <c r="F65"/>
  <c r="G65"/>
  <c r="H65"/>
  <c r="I65"/>
  <c r="J65"/>
  <c r="K65"/>
  <c r="L65"/>
  <c r="M65"/>
  <c r="D20"/>
  <c r="D59" s="1"/>
  <c r="C37" s="1"/>
  <c r="C45" s="1"/>
  <c r="E20"/>
  <c r="E58" s="1"/>
  <c r="D36" s="1"/>
  <c r="D44" s="1"/>
  <c r="F20"/>
  <c r="F58" s="1"/>
  <c r="E36" s="1"/>
  <c r="G20"/>
  <c r="G58" s="1"/>
  <c r="F36" s="1"/>
  <c r="F44" s="1"/>
  <c r="H20"/>
  <c r="H59" s="1"/>
  <c r="G37" s="1"/>
  <c r="G45" s="1"/>
  <c r="I20"/>
  <c r="I58" s="1"/>
  <c r="H36" s="1"/>
  <c r="H44" s="1"/>
  <c r="J20"/>
  <c r="J58" s="1"/>
  <c r="I36" s="1"/>
  <c r="K20"/>
  <c r="K58" s="1"/>
  <c r="J36" s="1"/>
  <c r="J44" s="1"/>
  <c r="L20"/>
  <c r="L59" s="1"/>
  <c r="K37" s="1"/>
  <c r="K45" s="1"/>
  <c r="M20"/>
  <c r="M58" s="1"/>
  <c r="L36" s="1"/>
  <c r="L44" s="1"/>
  <c r="N20"/>
  <c r="N58" s="1"/>
  <c r="M36" s="1"/>
  <c r="C20"/>
  <c r="C59" s="1"/>
  <c r="D16"/>
  <c r="D57" s="1"/>
  <c r="C35" s="1"/>
  <c r="C43" s="1"/>
  <c r="E16"/>
  <c r="E57" s="1"/>
  <c r="D35" s="1"/>
  <c r="D43" s="1"/>
  <c r="F16"/>
  <c r="F57" s="1"/>
  <c r="E35" s="1"/>
  <c r="E43" s="1"/>
  <c r="G16"/>
  <c r="G57" s="1"/>
  <c r="F35" s="1"/>
  <c r="F43" s="1"/>
  <c r="H16"/>
  <c r="H57" s="1"/>
  <c r="G35" s="1"/>
  <c r="G43" s="1"/>
  <c r="I16"/>
  <c r="I57" s="1"/>
  <c r="H35" s="1"/>
  <c r="H43" s="1"/>
  <c r="J16"/>
  <c r="J57" s="1"/>
  <c r="I35" s="1"/>
  <c r="I43" s="1"/>
  <c r="K16"/>
  <c r="K57" s="1"/>
  <c r="J35" s="1"/>
  <c r="J43" s="1"/>
  <c r="L16"/>
  <c r="L57" s="1"/>
  <c r="K35" s="1"/>
  <c r="K43" s="1"/>
  <c r="M16"/>
  <c r="M57" s="1"/>
  <c r="L35" s="1"/>
  <c r="L43" s="1"/>
  <c r="N16"/>
  <c r="N57" s="1"/>
  <c r="M35" s="1"/>
  <c r="M43" s="1"/>
  <c r="C16"/>
  <c r="C57" s="1"/>
  <c r="E5" i="5"/>
  <c r="D5"/>
  <c r="D8" s="1"/>
  <c r="C4"/>
  <c r="E4" s="1"/>
  <c r="C8" i="7" l="1"/>
  <c r="B11" s="1"/>
  <c r="S107" i="4"/>
  <c r="M59"/>
  <c r="L37" s="1"/>
  <c r="L45" s="1"/>
  <c r="M161" s="1"/>
  <c r="E59"/>
  <c r="D37" s="1"/>
  <c r="D45" s="1"/>
  <c r="E52" s="1"/>
  <c r="M56"/>
  <c r="L34" s="1"/>
  <c r="L42" s="1"/>
  <c r="E56"/>
  <c r="D34" s="1"/>
  <c r="D42" s="1"/>
  <c r="I59"/>
  <c r="H37" s="1"/>
  <c r="H45" s="1"/>
  <c r="I161" s="1"/>
  <c r="C56"/>
  <c r="G56"/>
  <c r="F34" s="1"/>
  <c r="F42" s="1"/>
  <c r="K59"/>
  <c r="J37" s="1"/>
  <c r="J45" s="1"/>
  <c r="K52" s="1"/>
  <c r="I56"/>
  <c r="H34" s="1"/>
  <c r="H42" s="1"/>
  <c r="I145" s="1"/>
  <c r="K56"/>
  <c r="J34" s="1"/>
  <c r="J42" s="1"/>
  <c r="K145" s="1"/>
  <c r="C58"/>
  <c r="G59"/>
  <c r="F37" s="1"/>
  <c r="F45" s="1"/>
  <c r="G52" s="1"/>
  <c r="L150"/>
  <c r="L50"/>
  <c r="H150"/>
  <c r="H50"/>
  <c r="D50"/>
  <c r="D150"/>
  <c r="L161"/>
  <c r="L52"/>
  <c r="H161"/>
  <c r="H52"/>
  <c r="D52"/>
  <c r="D161"/>
  <c r="G49"/>
  <c r="H143" s="1"/>
  <c r="G145"/>
  <c r="M50"/>
  <c r="N148" s="1"/>
  <c r="M150"/>
  <c r="I50"/>
  <c r="I150"/>
  <c r="E50"/>
  <c r="F148" s="1"/>
  <c r="E150"/>
  <c r="M156"/>
  <c r="M51"/>
  <c r="N154" s="1"/>
  <c r="I156"/>
  <c r="I51"/>
  <c r="J154" s="1"/>
  <c r="E156"/>
  <c r="E51"/>
  <c r="F154" s="1"/>
  <c r="M52"/>
  <c r="N50"/>
  <c r="N150"/>
  <c r="J150"/>
  <c r="J50"/>
  <c r="F50"/>
  <c r="F150"/>
  <c r="M44"/>
  <c r="I44"/>
  <c r="E44"/>
  <c r="G161"/>
  <c r="K50"/>
  <c r="L148" s="1"/>
  <c r="K150"/>
  <c r="G50"/>
  <c r="H148" s="1"/>
  <c r="G150"/>
  <c r="K156"/>
  <c r="K51"/>
  <c r="L154" s="1"/>
  <c r="G51"/>
  <c r="H154" s="1"/>
  <c r="G156"/>
  <c r="M145"/>
  <c r="M49"/>
  <c r="N143" s="1"/>
  <c r="E145"/>
  <c r="E49"/>
  <c r="F143" s="1"/>
  <c r="N56"/>
  <c r="M34" s="1"/>
  <c r="J56"/>
  <c r="I34" s="1"/>
  <c r="F56"/>
  <c r="E34" s="1"/>
  <c r="N59"/>
  <c r="M37" s="1"/>
  <c r="M45" s="1"/>
  <c r="J59"/>
  <c r="I37" s="1"/>
  <c r="I45" s="1"/>
  <c r="F59"/>
  <c r="E37" s="1"/>
  <c r="E45" s="1"/>
  <c r="M190"/>
  <c r="I190"/>
  <c r="E190"/>
  <c r="L191"/>
  <c r="H191"/>
  <c r="D191"/>
  <c r="L58"/>
  <c r="K36" s="1"/>
  <c r="H58"/>
  <c r="G36" s="1"/>
  <c r="D58"/>
  <c r="C36" s="1"/>
  <c r="C44" s="1"/>
  <c r="N190"/>
  <c r="J190"/>
  <c r="F190"/>
  <c r="M191"/>
  <c r="I191"/>
  <c r="E191"/>
  <c r="L56"/>
  <c r="K34" s="1"/>
  <c r="H56"/>
  <c r="G34" s="1"/>
  <c r="D56"/>
  <c r="C34" s="1"/>
  <c r="C42" s="1"/>
  <c r="C190"/>
  <c r="K190"/>
  <c r="G190"/>
  <c r="N191"/>
  <c r="J191"/>
  <c r="F191"/>
  <c r="L190"/>
  <c r="H190"/>
  <c r="D190"/>
  <c r="K191"/>
  <c r="G191"/>
  <c r="D115"/>
  <c r="C116"/>
  <c r="C29"/>
  <c r="C28"/>
  <c r="C30"/>
  <c r="M28"/>
  <c r="E28"/>
  <c r="O57"/>
  <c r="N35" s="1"/>
  <c r="N43" s="1"/>
  <c r="O150" s="1"/>
  <c r="O59"/>
  <c r="N37" s="1"/>
  <c r="N45" s="1"/>
  <c r="O161" s="1"/>
  <c r="D4" i="5"/>
  <c r="D7" s="1"/>
  <c r="I52" i="4" l="1"/>
  <c r="I49"/>
  <c r="J143" s="1"/>
  <c r="E29"/>
  <c r="K161"/>
  <c r="M29"/>
  <c r="K49"/>
  <c r="L143" s="1"/>
  <c r="E161"/>
  <c r="G28"/>
  <c r="C27"/>
  <c r="K28"/>
  <c r="I29"/>
  <c r="K29"/>
  <c r="K44"/>
  <c r="J52"/>
  <c r="J161"/>
  <c r="M27"/>
  <c r="M42"/>
  <c r="G30"/>
  <c r="H159"/>
  <c r="E30"/>
  <c r="F159"/>
  <c r="D28"/>
  <c r="E148"/>
  <c r="K42"/>
  <c r="G29"/>
  <c r="G44"/>
  <c r="F161"/>
  <c r="F52"/>
  <c r="I42"/>
  <c r="F51"/>
  <c r="F156"/>
  <c r="N51"/>
  <c r="N156"/>
  <c r="J28"/>
  <c r="K148"/>
  <c r="H30"/>
  <c r="I159"/>
  <c r="L28"/>
  <c r="M148"/>
  <c r="G27"/>
  <c r="G42"/>
  <c r="D51"/>
  <c r="D156"/>
  <c r="E27"/>
  <c r="E42"/>
  <c r="I30"/>
  <c r="J159"/>
  <c r="F28"/>
  <c r="G148"/>
  <c r="N28"/>
  <c r="O148"/>
  <c r="M30"/>
  <c r="N159"/>
  <c r="I28"/>
  <c r="J148"/>
  <c r="K30"/>
  <c r="L159"/>
  <c r="D30"/>
  <c r="E159"/>
  <c r="D49"/>
  <c r="D145"/>
  <c r="N161"/>
  <c r="N52"/>
  <c r="J51"/>
  <c r="J156"/>
  <c r="L30"/>
  <c r="M159"/>
  <c r="H28"/>
  <c r="I148"/>
  <c r="I27" l="1"/>
  <c r="K27"/>
  <c r="D29"/>
  <c r="E154"/>
  <c r="F29"/>
  <c r="G154"/>
  <c r="N30"/>
  <c r="O159"/>
  <c r="F30"/>
  <c r="G159"/>
  <c r="L49"/>
  <c r="L145"/>
  <c r="N49"/>
  <c r="N27" s="1"/>
  <c r="N145"/>
  <c r="L51"/>
  <c r="L156"/>
  <c r="J29"/>
  <c r="K154"/>
  <c r="D27"/>
  <c r="E143"/>
  <c r="N29"/>
  <c r="O154"/>
  <c r="J30"/>
  <c r="K159"/>
  <c r="F49"/>
  <c r="F145"/>
  <c r="H49"/>
  <c r="H145"/>
  <c r="J49"/>
  <c r="J145"/>
  <c r="H51"/>
  <c r="H156"/>
  <c r="H29" l="1"/>
  <c r="I154"/>
  <c r="H27"/>
  <c r="I143"/>
  <c r="L29"/>
  <c r="M154"/>
  <c r="L27"/>
  <c r="M143"/>
  <c r="J27"/>
  <c r="K143"/>
  <c r="F27"/>
  <c r="G143"/>
  <c r="B71" l="1"/>
  <c r="B70"/>
  <c r="N199"/>
  <c r="N233" s="1"/>
  <c r="M199"/>
  <c r="M233" s="1"/>
  <c r="L199"/>
  <c r="L233" s="1"/>
  <c r="K199"/>
  <c r="K233" s="1"/>
  <c r="E199"/>
  <c r="E233" s="1"/>
  <c r="D199"/>
  <c r="D233" s="1"/>
  <c r="C199"/>
  <c r="C233" s="1"/>
  <c r="I199"/>
  <c r="I233" s="1"/>
  <c r="J199"/>
  <c r="J233" s="1"/>
  <c r="H199"/>
  <c r="H233" s="1"/>
  <c r="G199"/>
  <c r="G233" s="1"/>
  <c r="F199"/>
  <c r="F233" s="1"/>
  <c r="N209"/>
  <c r="M209"/>
  <c r="L209"/>
  <c r="K209"/>
  <c r="J209"/>
  <c r="I209"/>
  <c r="H209"/>
  <c r="G209"/>
  <c r="F209"/>
  <c r="E209"/>
  <c r="D209"/>
  <c r="C209"/>
  <c r="N204"/>
  <c r="M204"/>
  <c r="L204"/>
  <c r="K204"/>
  <c r="J204"/>
  <c r="I204"/>
  <c r="H204"/>
  <c r="G204"/>
  <c r="F204"/>
  <c r="E204"/>
  <c r="D204"/>
  <c r="C204"/>
  <c r="N203"/>
  <c r="M203"/>
  <c r="L203"/>
  <c r="L205" s="1"/>
  <c r="L234" s="1"/>
  <c r="K203"/>
  <c r="K205" s="1"/>
  <c r="K234" s="1"/>
  <c r="J203"/>
  <c r="J205" s="1"/>
  <c r="J234" s="1"/>
  <c r="I203"/>
  <c r="I205" s="1"/>
  <c r="I234" s="1"/>
  <c r="H203"/>
  <c r="H205" s="1"/>
  <c r="H234" s="1"/>
  <c r="G203"/>
  <c r="G205" s="1"/>
  <c r="G234" s="1"/>
  <c r="F203"/>
  <c r="E203"/>
  <c r="E205" s="1"/>
  <c r="E234" s="1"/>
  <c r="D203"/>
  <c r="D205" s="1"/>
  <c r="D234" s="1"/>
  <c r="C203"/>
  <c r="F205"/>
  <c r="F234" s="1"/>
  <c r="M205"/>
  <c r="M234" s="1"/>
  <c r="N205"/>
  <c r="N234" s="1"/>
  <c r="T216"/>
  <c r="U216" s="1"/>
  <c r="T215"/>
  <c r="U215" s="1"/>
  <c r="I193"/>
  <c r="M193"/>
  <c r="I188"/>
  <c r="R54"/>
  <c r="R53"/>
  <c r="D136"/>
  <c r="E136"/>
  <c r="F136"/>
  <c r="G136"/>
  <c r="H136"/>
  <c r="I136"/>
  <c r="J136"/>
  <c r="K136"/>
  <c r="L136"/>
  <c r="M136"/>
  <c r="N136"/>
  <c r="D130"/>
  <c r="E130"/>
  <c r="F130"/>
  <c r="G130"/>
  <c r="H130"/>
  <c r="I130"/>
  <c r="J130"/>
  <c r="K130"/>
  <c r="L130"/>
  <c r="M130"/>
  <c r="N130"/>
  <c r="C136"/>
  <c r="C130"/>
  <c r="D109"/>
  <c r="D247" s="1"/>
  <c r="E109"/>
  <c r="E247" s="1"/>
  <c r="F109"/>
  <c r="F247" s="1"/>
  <c r="G109"/>
  <c r="G247" s="1"/>
  <c r="H109"/>
  <c r="H247" s="1"/>
  <c r="I109"/>
  <c r="I247" s="1"/>
  <c r="J109"/>
  <c r="J247" s="1"/>
  <c r="K109"/>
  <c r="K247" s="1"/>
  <c r="L109"/>
  <c r="L247" s="1"/>
  <c r="M109"/>
  <c r="M247" s="1"/>
  <c r="N109"/>
  <c r="C109"/>
  <c r="C247" s="1"/>
  <c r="D108"/>
  <c r="D246" s="1"/>
  <c r="E108"/>
  <c r="F108"/>
  <c r="G108"/>
  <c r="H108"/>
  <c r="H246" s="1"/>
  <c r="I108"/>
  <c r="J108"/>
  <c r="K108"/>
  <c r="K246" s="1"/>
  <c r="L108"/>
  <c r="L246" s="1"/>
  <c r="M108"/>
  <c r="N108"/>
  <c r="N246" s="1"/>
  <c r="O104"/>
  <c r="N104"/>
  <c r="M104"/>
  <c r="L104"/>
  <c r="K104"/>
  <c r="J104"/>
  <c r="I104"/>
  <c r="H104"/>
  <c r="G104"/>
  <c r="F104"/>
  <c r="E104"/>
  <c r="D104"/>
  <c r="C104"/>
  <c r="N29" i="1"/>
  <c r="M29"/>
  <c r="L29"/>
  <c r="K29"/>
  <c r="J29"/>
  <c r="I29"/>
  <c r="H29"/>
  <c r="G29"/>
  <c r="F29"/>
  <c r="E29"/>
  <c r="D29"/>
  <c r="C29"/>
  <c r="O29" s="1"/>
  <c r="O28"/>
  <c r="N28"/>
  <c r="M28"/>
  <c r="L28"/>
  <c r="K28"/>
  <c r="J28"/>
  <c r="I28"/>
  <c r="H28"/>
  <c r="G28"/>
  <c r="F28"/>
  <c r="E28"/>
  <c r="D28"/>
  <c r="C28"/>
  <c r="E110" i="4" l="1"/>
  <c r="E215" s="1"/>
  <c r="E246"/>
  <c r="M110"/>
  <c r="M215" s="1"/>
  <c r="M246"/>
  <c r="I110"/>
  <c r="I215" s="1"/>
  <c r="I246"/>
  <c r="J110"/>
  <c r="J215" s="1"/>
  <c r="J246"/>
  <c r="F110"/>
  <c r="F215" s="1"/>
  <c r="F246"/>
  <c r="N120"/>
  <c r="N247"/>
  <c r="G110"/>
  <c r="G215" s="1"/>
  <c r="G246"/>
  <c r="N110"/>
  <c r="N215" s="1"/>
  <c r="O203"/>
  <c r="O204"/>
  <c r="C205"/>
  <c r="C234" s="1"/>
  <c r="O209"/>
  <c r="K116"/>
  <c r="L115"/>
  <c r="G116"/>
  <c r="H115"/>
  <c r="C120"/>
  <c r="D119"/>
  <c r="O109"/>
  <c r="K120"/>
  <c r="L119"/>
  <c r="G120"/>
  <c r="H119"/>
  <c r="C76"/>
  <c r="C135" s="1"/>
  <c r="C71"/>
  <c r="M115"/>
  <c r="L116"/>
  <c r="H116"/>
  <c r="I115"/>
  <c r="D116"/>
  <c r="E115"/>
  <c r="O108"/>
  <c r="L120"/>
  <c r="L121" s="1"/>
  <c r="M119"/>
  <c r="H120"/>
  <c r="I119"/>
  <c r="D120"/>
  <c r="E119"/>
  <c r="C70"/>
  <c r="C75"/>
  <c r="C129" s="1"/>
  <c r="M116"/>
  <c r="N115"/>
  <c r="I116"/>
  <c r="J115"/>
  <c r="E116"/>
  <c r="F115"/>
  <c r="M120"/>
  <c r="N119"/>
  <c r="N121" s="1"/>
  <c r="I120"/>
  <c r="J119"/>
  <c r="E120"/>
  <c r="F119"/>
  <c r="R121"/>
  <c r="C115" s="1"/>
  <c r="C117" s="1"/>
  <c r="N116"/>
  <c r="J116"/>
  <c r="K115"/>
  <c r="F116"/>
  <c r="G115"/>
  <c r="K119"/>
  <c r="K121" s="1"/>
  <c r="J120"/>
  <c r="G119"/>
  <c r="F120"/>
  <c r="L110"/>
  <c r="L215" s="1"/>
  <c r="S121"/>
  <c r="C119" s="1"/>
  <c r="C121" s="1"/>
  <c r="F188"/>
  <c r="L188"/>
  <c r="H188"/>
  <c r="M188"/>
  <c r="H144"/>
  <c r="N188"/>
  <c r="L193"/>
  <c r="K188"/>
  <c r="J193"/>
  <c r="J188"/>
  <c r="H193"/>
  <c r="G188"/>
  <c r="E188"/>
  <c r="G219"/>
  <c r="K219"/>
  <c r="C219"/>
  <c r="F219"/>
  <c r="J219"/>
  <c r="N219"/>
  <c r="E219"/>
  <c r="I219"/>
  <c r="M219"/>
  <c r="D219"/>
  <c r="H219"/>
  <c r="L219"/>
  <c r="O205"/>
  <c r="O234" s="1"/>
  <c r="I194"/>
  <c r="I252" s="1"/>
  <c r="M194"/>
  <c r="M252" s="1"/>
  <c r="M260" s="1"/>
  <c r="D188"/>
  <c r="C188"/>
  <c r="O199"/>
  <c r="O233" s="1"/>
  <c r="K117"/>
  <c r="H110"/>
  <c r="H215" s="1"/>
  <c r="D110"/>
  <c r="D215" s="1"/>
  <c r="K110"/>
  <c r="K215" s="1"/>
  <c r="I121"/>
  <c r="Q121"/>
  <c r="C110"/>
  <c r="C215" s="1"/>
  <c r="L92"/>
  <c r="L210" s="1"/>
  <c r="H92"/>
  <c r="H210" s="1"/>
  <c r="D92"/>
  <c r="D210" s="1"/>
  <c r="M92"/>
  <c r="M210" s="1"/>
  <c r="I92"/>
  <c r="I210" s="1"/>
  <c r="E92"/>
  <c r="E210" s="1"/>
  <c r="N92"/>
  <c r="N210" s="1"/>
  <c r="J92"/>
  <c r="J210" s="1"/>
  <c r="F92"/>
  <c r="F210" s="1"/>
  <c r="C92"/>
  <c r="C210" s="1"/>
  <c r="K92"/>
  <c r="K210" s="1"/>
  <c r="G92"/>
  <c r="G210" s="1"/>
  <c r="O23" i="1"/>
  <c r="N22"/>
  <c r="N34" s="1"/>
  <c r="N40" s="1"/>
  <c r="I22"/>
  <c r="I34" s="1"/>
  <c r="I40" s="1"/>
  <c r="H22"/>
  <c r="H34" s="1"/>
  <c r="H40" s="1"/>
  <c r="J22"/>
  <c r="J34" s="1"/>
  <c r="J40" s="1"/>
  <c r="K22"/>
  <c r="K34" s="1"/>
  <c r="K40" s="1"/>
  <c r="K35"/>
  <c r="K41" s="1"/>
  <c r="I35"/>
  <c r="I41" s="1"/>
  <c r="G35"/>
  <c r="G41" s="1"/>
  <c r="E35"/>
  <c r="E41" s="1"/>
  <c r="C35"/>
  <c r="C41" s="1"/>
  <c r="C47" s="1"/>
  <c r="L34"/>
  <c r="L40" s="1"/>
  <c r="F34"/>
  <c r="D34"/>
  <c r="D40" s="1"/>
  <c r="C34"/>
  <c r="C40" s="1"/>
  <c r="E34"/>
  <c r="E40" s="1"/>
  <c r="G34"/>
  <c r="G40" s="1"/>
  <c r="M34"/>
  <c r="M40" s="1"/>
  <c r="D35"/>
  <c r="D41" s="1"/>
  <c r="F35"/>
  <c r="F41" s="1"/>
  <c r="H35"/>
  <c r="H41" s="1"/>
  <c r="J35"/>
  <c r="J41" s="1"/>
  <c r="L35"/>
  <c r="L41" s="1"/>
  <c r="N35"/>
  <c r="M35"/>
  <c r="M41" s="1"/>
  <c r="D269" i="4" l="1"/>
  <c r="E269"/>
  <c r="F269"/>
  <c r="C269"/>
  <c r="G117"/>
  <c r="I260"/>
  <c r="F121"/>
  <c r="I232"/>
  <c r="M232"/>
  <c r="K193"/>
  <c r="K194" s="1"/>
  <c r="K252" s="1"/>
  <c r="K260" s="1"/>
  <c r="D193"/>
  <c r="D194" s="1"/>
  <c r="D252" s="1"/>
  <c r="D260" s="1"/>
  <c r="F193"/>
  <c r="F194" s="1"/>
  <c r="F252" s="1"/>
  <c r="F260" s="1"/>
  <c r="E193"/>
  <c r="E194" s="1"/>
  <c r="E252" s="1"/>
  <c r="E260" s="1"/>
  <c r="G193"/>
  <c r="G194" s="1"/>
  <c r="G252" s="1"/>
  <c r="G260" s="1"/>
  <c r="C193"/>
  <c r="C194" s="1"/>
  <c r="C252" s="1"/>
  <c r="C260" s="1"/>
  <c r="N193"/>
  <c r="N194" s="1"/>
  <c r="N252" s="1"/>
  <c r="N260" s="1"/>
  <c r="M121"/>
  <c r="D121"/>
  <c r="H121"/>
  <c r="O110"/>
  <c r="O210"/>
  <c r="N117"/>
  <c r="N123" s="1"/>
  <c r="N124" s="1"/>
  <c r="N228" s="1"/>
  <c r="N230" s="1"/>
  <c r="O116"/>
  <c r="M117"/>
  <c r="E121"/>
  <c r="J121"/>
  <c r="I117"/>
  <c r="I123" s="1"/>
  <c r="I124" s="1"/>
  <c r="O119"/>
  <c r="E117"/>
  <c r="C137"/>
  <c r="D76"/>
  <c r="D135" s="1"/>
  <c r="D71"/>
  <c r="C131"/>
  <c r="D75"/>
  <c r="D129" s="1"/>
  <c r="D70"/>
  <c r="O115"/>
  <c r="O120"/>
  <c r="K123"/>
  <c r="G121"/>
  <c r="J117"/>
  <c r="F117"/>
  <c r="H149"/>
  <c r="L194"/>
  <c r="L252" s="1"/>
  <c r="L260" s="1"/>
  <c r="J149"/>
  <c r="J194"/>
  <c r="J252" s="1"/>
  <c r="J260" s="1"/>
  <c r="H194"/>
  <c r="H252" s="1"/>
  <c r="H260" s="1"/>
  <c r="O219"/>
  <c r="E211"/>
  <c r="E235" s="1"/>
  <c r="H211"/>
  <c r="H235" s="1"/>
  <c r="K211"/>
  <c r="K235" s="1"/>
  <c r="N211"/>
  <c r="N235" s="1"/>
  <c r="D211"/>
  <c r="D235" s="1"/>
  <c r="G211"/>
  <c r="G235" s="1"/>
  <c r="J211"/>
  <c r="J235" s="1"/>
  <c r="M211"/>
  <c r="M235" s="1"/>
  <c r="F211"/>
  <c r="F235" s="1"/>
  <c r="I211"/>
  <c r="I235" s="1"/>
  <c r="L211"/>
  <c r="L235" s="1"/>
  <c r="C211"/>
  <c r="C235" s="1"/>
  <c r="D117"/>
  <c r="H117"/>
  <c r="L117"/>
  <c r="L123" s="1"/>
  <c r="L124" s="1"/>
  <c r="C123"/>
  <c r="C124" s="1"/>
  <c r="C46" i="1"/>
  <c r="L47"/>
  <c r="F47"/>
  <c r="E46"/>
  <c r="L46"/>
  <c r="I47"/>
  <c r="J46"/>
  <c r="M47"/>
  <c r="J47"/>
  <c r="D47"/>
  <c r="K47"/>
  <c r="H46"/>
  <c r="G47"/>
  <c r="H47"/>
  <c r="M46"/>
  <c r="D46"/>
  <c r="E47"/>
  <c r="I46"/>
  <c r="G46"/>
  <c r="K46"/>
  <c r="N46"/>
  <c r="O22"/>
  <c r="O34"/>
  <c r="N41"/>
  <c r="O35"/>
  <c r="F40"/>
  <c r="G123" i="4" l="1"/>
  <c r="G124" s="1"/>
  <c r="H123"/>
  <c r="H124" s="1"/>
  <c r="H228" s="1"/>
  <c r="H230" s="1"/>
  <c r="F123"/>
  <c r="F124" s="1"/>
  <c r="L232"/>
  <c r="N232"/>
  <c r="G232"/>
  <c r="F232"/>
  <c r="K232"/>
  <c r="J232"/>
  <c r="C232"/>
  <c r="E232"/>
  <c r="D232"/>
  <c r="H232"/>
  <c r="D123"/>
  <c r="D124" s="1"/>
  <c r="D228" s="1"/>
  <c r="D230" s="1"/>
  <c r="M123"/>
  <c r="M124" s="1"/>
  <c r="M228" s="1"/>
  <c r="M230" s="1"/>
  <c r="J123"/>
  <c r="J124" s="1"/>
  <c r="J228" s="1"/>
  <c r="J230" s="1"/>
  <c r="O117"/>
  <c r="E123"/>
  <c r="E124" s="1"/>
  <c r="I228"/>
  <c r="I230" s="1"/>
  <c r="O121"/>
  <c r="K124"/>
  <c r="D131"/>
  <c r="E75"/>
  <c r="E129" s="1"/>
  <c r="E70"/>
  <c r="E76"/>
  <c r="E135" s="1"/>
  <c r="D137"/>
  <c r="E71"/>
  <c r="L228"/>
  <c r="L230" s="1"/>
  <c r="F228"/>
  <c r="F230" s="1"/>
  <c r="C228"/>
  <c r="C230" s="1"/>
  <c r="H160"/>
  <c r="I160"/>
  <c r="H155"/>
  <c r="I155"/>
  <c r="N160"/>
  <c r="F160"/>
  <c r="N155"/>
  <c r="F155"/>
  <c r="M144"/>
  <c r="M149"/>
  <c r="O160"/>
  <c r="O155"/>
  <c r="O149"/>
  <c r="O144"/>
  <c r="N149"/>
  <c r="N144"/>
  <c r="I149"/>
  <c r="I144"/>
  <c r="M155"/>
  <c r="M160"/>
  <c r="L155"/>
  <c r="L160"/>
  <c r="L149"/>
  <c r="L144"/>
  <c r="K160"/>
  <c r="K155"/>
  <c r="K149"/>
  <c r="K144"/>
  <c r="J155"/>
  <c r="J160"/>
  <c r="J144"/>
  <c r="G149"/>
  <c r="G144"/>
  <c r="G160"/>
  <c r="G155"/>
  <c r="F144"/>
  <c r="F149"/>
  <c r="E160"/>
  <c r="E155"/>
  <c r="E149"/>
  <c r="E144"/>
  <c r="D160"/>
  <c r="D155"/>
  <c r="D149"/>
  <c r="D144"/>
  <c r="C132"/>
  <c r="D142" s="1"/>
  <c r="O232"/>
  <c r="H218"/>
  <c r="M218"/>
  <c r="N218"/>
  <c r="E218"/>
  <c r="F218"/>
  <c r="D218"/>
  <c r="I218"/>
  <c r="G218"/>
  <c r="L218"/>
  <c r="J218"/>
  <c r="K218"/>
  <c r="O211"/>
  <c r="O235" s="1"/>
  <c r="C218"/>
  <c r="C138"/>
  <c r="D153" s="1"/>
  <c r="O47" i="1"/>
  <c r="N47"/>
  <c r="F46"/>
  <c r="O46" s="1"/>
  <c r="O40"/>
  <c r="O41"/>
  <c r="D272" i="4" l="1"/>
  <c r="C272"/>
  <c r="E272"/>
  <c r="F272"/>
  <c r="O123"/>
  <c r="O124" s="1"/>
  <c r="O228" s="1"/>
  <c r="O230" s="1"/>
  <c r="E228"/>
  <c r="E230" s="1"/>
  <c r="G228"/>
  <c r="G230" s="1"/>
  <c r="F70"/>
  <c r="F75"/>
  <c r="F129" s="1"/>
  <c r="E131"/>
  <c r="E132" s="1"/>
  <c r="F142" s="1"/>
  <c r="K228"/>
  <c r="K230" s="1"/>
  <c r="F76"/>
  <c r="F135" s="1"/>
  <c r="E137"/>
  <c r="F71"/>
  <c r="O218"/>
  <c r="C283" s="1"/>
  <c r="D132"/>
  <c r="E142" s="1"/>
  <c r="O215" l="1"/>
  <c r="C280" s="1"/>
  <c r="G70"/>
  <c r="G75"/>
  <c r="G129" s="1"/>
  <c r="F131"/>
  <c r="F132" s="1"/>
  <c r="G76"/>
  <c r="G135" s="1"/>
  <c r="F137"/>
  <c r="G71"/>
  <c r="D138"/>
  <c r="E153" s="1"/>
  <c r="H70" l="1"/>
  <c r="G131"/>
  <c r="H75"/>
  <c r="H129" s="1"/>
  <c r="H76"/>
  <c r="H135" s="1"/>
  <c r="G137"/>
  <c r="H71"/>
  <c r="D151"/>
  <c r="D152" s="1"/>
  <c r="E138"/>
  <c r="F153" s="1"/>
  <c r="G142"/>
  <c r="I76" l="1"/>
  <c r="I135" s="1"/>
  <c r="H137"/>
  <c r="I71"/>
  <c r="I70"/>
  <c r="H131"/>
  <c r="H132" s="1"/>
  <c r="I75"/>
  <c r="I129" s="1"/>
  <c r="G132"/>
  <c r="H142" s="1"/>
  <c r="D146"/>
  <c r="D147" s="1"/>
  <c r="C254" s="1"/>
  <c r="C262" s="1"/>
  <c r="D162"/>
  <c r="D163" s="1"/>
  <c r="D157"/>
  <c r="D158" s="1"/>
  <c r="E151"/>
  <c r="E152" s="1"/>
  <c r="F138"/>
  <c r="G153" s="1"/>
  <c r="C216" l="1"/>
  <c r="C255"/>
  <c r="C263" s="1"/>
  <c r="J76"/>
  <c r="J135" s="1"/>
  <c r="I137"/>
  <c r="J71"/>
  <c r="J70"/>
  <c r="J75"/>
  <c r="J129" s="1"/>
  <c r="I131"/>
  <c r="I132" s="1"/>
  <c r="J142" s="1"/>
  <c r="D164"/>
  <c r="E146"/>
  <c r="E147" s="1"/>
  <c r="D254" s="1"/>
  <c r="D262" s="1"/>
  <c r="E157"/>
  <c r="E158" s="1"/>
  <c r="D255" s="1"/>
  <c r="D263" s="1"/>
  <c r="E162"/>
  <c r="E163" s="1"/>
  <c r="F151"/>
  <c r="F152" s="1"/>
  <c r="G138"/>
  <c r="H153" s="1"/>
  <c r="I142"/>
  <c r="C217" l="1"/>
  <c r="D216"/>
  <c r="D217" s="1"/>
  <c r="C231"/>
  <c r="K76"/>
  <c r="K135" s="1"/>
  <c r="J137"/>
  <c r="K71"/>
  <c r="J131"/>
  <c r="K75"/>
  <c r="K129" s="1"/>
  <c r="K70"/>
  <c r="E164"/>
  <c r="G151"/>
  <c r="G152" s="1"/>
  <c r="F146"/>
  <c r="F147" s="1"/>
  <c r="E254" s="1"/>
  <c r="E262" s="1"/>
  <c r="F157"/>
  <c r="F158" s="1"/>
  <c r="F162"/>
  <c r="F163" s="1"/>
  <c r="H138"/>
  <c r="I153" s="1"/>
  <c r="C220" l="1"/>
  <c r="E255"/>
  <c r="E263" s="1"/>
  <c r="E216" s="1"/>
  <c r="D220"/>
  <c r="E222" s="1"/>
  <c r="E237" s="1"/>
  <c r="D231"/>
  <c r="D222"/>
  <c r="D237" s="1"/>
  <c r="K131"/>
  <c r="K132" s="1"/>
  <c r="L142" s="1"/>
  <c r="L75"/>
  <c r="L129" s="1"/>
  <c r="L70"/>
  <c r="L76"/>
  <c r="L135" s="1"/>
  <c r="K137"/>
  <c r="L71"/>
  <c r="J132"/>
  <c r="K142" s="1"/>
  <c r="H151"/>
  <c r="H152" s="1"/>
  <c r="F164"/>
  <c r="G146"/>
  <c r="G147" s="1"/>
  <c r="F254" s="1"/>
  <c r="F262" s="1"/>
  <c r="G157"/>
  <c r="G158" s="1"/>
  <c r="G162"/>
  <c r="G163" s="1"/>
  <c r="I138"/>
  <c r="J153" s="1"/>
  <c r="E217" l="1"/>
  <c r="C271" s="1"/>
  <c r="C270"/>
  <c r="F255"/>
  <c r="F263" s="1"/>
  <c r="F216" s="1"/>
  <c r="D238"/>
  <c r="D239" s="1"/>
  <c r="E231"/>
  <c r="D223"/>
  <c r="L131"/>
  <c r="L132" s="1"/>
  <c r="M142" s="1"/>
  <c r="M75"/>
  <c r="M129" s="1"/>
  <c r="M70"/>
  <c r="M76"/>
  <c r="M135" s="1"/>
  <c r="L137"/>
  <c r="M71"/>
  <c r="G164"/>
  <c r="H146"/>
  <c r="H147" s="1"/>
  <c r="G254" s="1"/>
  <c r="G262" s="1"/>
  <c r="H162"/>
  <c r="H163" s="1"/>
  <c r="H157"/>
  <c r="H158" s="1"/>
  <c r="I151"/>
  <c r="I152" s="1"/>
  <c r="J138"/>
  <c r="K153" s="1"/>
  <c r="F217" l="1"/>
  <c r="E220"/>
  <c r="G255"/>
  <c r="G263" s="1"/>
  <c r="G216" s="1"/>
  <c r="E238"/>
  <c r="E239" s="1"/>
  <c r="F231"/>
  <c r="N76"/>
  <c r="N135" s="1"/>
  <c r="M137"/>
  <c r="N71"/>
  <c r="N137" s="1"/>
  <c r="M131"/>
  <c r="M132" s="1"/>
  <c r="N142" s="1"/>
  <c r="N70"/>
  <c r="N131" s="1"/>
  <c r="N75"/>
  <c r="N129" s="1"/>
  <c r="H164"/>
  <c r="I146"/>
  <c r="I147" s="1"/>
  <c r="H254" s="1"/>
  <c r="H262" s="1"/>
  <c r="I162"/>
  <c r="I163" s="1"/>
  <c r="I157"/>
  <c r="I158" s="1"/>
  <c r="J151"/>
  <c r="J152" s="1"/>
  <c r="K138"/>
  <c r="L153" s="1"/>
  <c r="G217" l="1"/>
  <c r="G220" s="1"/>
  <c r="E223"/>
  <c r="C274"/>
  <c r="F222"/>
  <c r="F220"/>
  <c r="H255"/>
  <c r="H263" s="1"/>
  <c r="H216" s="1"/>
  <c r="G231"/>
  <c r="J146"/>
  <c r="J147" s="1"/>
  <c r="I254" s="1"/>
  <c r="I262" s="1"/>
  <c r="I164"/>
  <c r="J157"/>
  <c r="J158" s="1"/>
  <c r="J162"/>
  <c r="J163" s="1"/>
  <c r="K151"/>
  <c r="K152" s="1"/>
  <c r="L138"/>
  <c r="M153" s="1"/>
  <c r="H217" l="1"/>
  <c r="D271" s="1"/>
  <c r="D270"/>
  <c r="F237"/>
  <c r="F238" s="1"/>
  <c r="F239" s="1"/>
  <c r="F223"/>
  <c r="G222"/>
  <c r="G237" s="1"/>
  <c r="G238" s="1"/>
  <c r="G239" s="1"/>
  <c r="I255"/>
  <c r="I263" s="1"/>
  <c r="I216" s="1"/>
  <c r="H231"/>
  <c r="H222"/>
  <c r="H237" s="1"/>
  <c r="G223"/>
  <c r="N132"/>
  <c r="O132" s="1"/>
  <c r="P142" s="1"/>
  <c r="J164"/>
  <c r="K146"/>
  <c r="K147" s="1"/>
  <c r="J254" s="1"/>
  <c r="J262" s="1"/>
  <c r="K162"/>
  <c r="K163" s="1"/>
  <c r="K157"/>
  <c r="K158" s="1"/>
  <c r="L151"/>
  <c r="L152" s="1"/>
  <c r="M138"/>
  <c r="N138"/>
  <c r="O153" s="1"/>
  <c r="I217" l="1"/>
  <c r="I220" s="1"/>
  <c r="H220"/>
  <c r="D276"/>
  <c r="J255"/>
  <c r="J263" s="1"/>
  <c r="J216" s="1"/>
  <c r="I231"/>
  <c r="H238"/>
  <c r="H239" s="1"/>
  <c r="O142"/>
  <c r="K164"/>
  <c r="L146"/>
  <c r="L147" s="1"/>
  <c r="K254" s="1"/>
  <c r="K262" s="1"/>
  <c r="L157"/>
  <c r="L158" s="1"/>
  <c r="L162"/>
  <c r="L163" s="1"/>
  <c r="M151"/>
  <c r="M152" s="1"/>
  <c r="N153"/>
  <c r="O138"/>
  <c r="P153" s="1"/>
  <c r="J217" l="1"/>
  <c r="J220" s="1"/>
  <c r="K222" s="1"/>
  <c r="K237" s="1"/>
  <c r="I222"/>
  <c r="I223" s="1"/>
  <c r="D274"/>
  <c r="H223"/>
  <c r="D277" s="1"/>
  <c r="K255"/>
  <c r="K263" s="1"/>
  <c r="K216" s="1"/>
  <c r="J231"/>
  <c r="J222"/>
  <c r="J237" s="1"/>
  <c r="L164"/>
  <c r="M146"/>
  <c r="M147" s="1"/>
  <c r="L254" s="1"/>
  <c r="L262" s="1"/>
  <c r="L216" s="1"/>
  <c r="L217" s="1"/>
  <c r="M157"/>
  <c r="M158" s="1"/>
  <c r="L255" s="1"/>
  <c r="L263" s="1"/>
  <c r="M162"/>
  <c r="M163" s="1"/>
  <c r="O151"/>
  <c r="O152" s="1"/>
  <c r="N151"/>
  <c r="N152" s="1"/>
  <c r="K217" l="1"/>
  <c r="E271" s="1"/>
  <c r="E270"/>
  <c r="I237"/>
  <c r="I238" s="1"/>
  <c r="I239" s="1"/>
  <c r="E276"/>
  <c r="K238"/>
  <c r="K239" s="1"/>
  <c r="J238"/>
  <c r="J239" s="1"/>
  <c r="K231"/>
  <c r="J223"/>
  <c r="N146"/>
  <c r="N147" s="1"/>
  <c r="M254" s="1"/>
  <c r="M262" s="1"/>
  <c r="O143"/>
  <c r="O146" s="1"/>
  <c r="O147" s="1"/>
  <c r="N254" s="1"/>
  <c r="N262" s="1"/>
  <c r="M164"/>
  <c r="N162"/>
  <c r="N163" s="1"/>
  <c r="O157"/>
  <c r="O158" s="1"/>
  <c r="N157"/>
  <c r="N158" s="1"/>
  <c r="O162"/>
  <c r="O163" s="1"/>
  <c r="K220" l="1"/>
  <c r="K223" s="1"/>
  <c r="E277" s="1"/>
  <c r="N255"/>
  <c r="N263" s="1"/>
  <c r="N216" s="1"/>
  <c r="M255"/>
  <c r="M263" s="1"/>
  <c r="M216" s="1"/>
  <c r="M217" s="1"/>
  <c r="L220"/>
  <c r="M222" s="1"/>
  <c r="M237" s="1"/>
  <c r="L231"/>
  <c r="N164"/>
  <c r="O164"/>
  <c r="E274" l="1"/>
  <c r="L238"/>
  <c r="L239" s="1"/>
  <c r="L222"/>
  <c r="L237" s="1"/>
  <c r="F270"/>
  <c r="N217"/>
  <c r="F271" s="1"/>
  <c r="M238"/>
  <c r="M239" s="1"/>
  <c r="M220"/>
  <c r="N222" s="1"/>
  <c r="M231"/>
  <c r="L223"/>
  <c r="O216"/>
  <c r="C281" s="1"/>
  <c r="N231"/>
  <c r="O231" s="1"/>
  <c r="N237" l="1"/>
  <c r="N238" s="1"/>
  <c r="N239" s="1"/>
  <c r="F276"/>
  <c r="O217"/>
  <c r="M223"/>
  <c r="N220"/>
  <c r="N223" l="1"/>
  <c r="F277" s="1"/>
  <c r="F274"/>
  <c r="O220"/>
  <c r="C285" s="1"/>
  <c r="C282"/>
  <c r="Q223"/>
  <c r="C222" s="1"/>
  <c r="C223" l="1"/>
  <c r="C276"/>
  <c r="C237"/>
  <c r="C238" s="1"/>
  <c r="C239" s="1"/>
  <c r="C240" s="1"/>
  <c r="D240" s="1"/>
  <c r="E240" s="1"/>
  <c r="F240" s="1"/>
  <c r="G240" s="1"/>
  <c r="H240" s="1"/>
  <c r="I240" s="1"/>
  <c r="J240" s="1"/>
  <c r="K240" s="1"/>
  <c r="L240" s="1"/>
  <c r="M240" s="1"/>
  <c r="N240" s="1"/>
  <c r="O222"/>
  <c r="O223" l="1"/>
  <c r="C288" s="1"/>
  <c r="C277"/>
  <c r="O237"/>
  <c r="O238" s="1"/>
  <c r="O239" s="1"/>
  <c r="C287"/>
</calcChain>
</file>

<file path=xl/sharedStrings.xml><?xml version="1.0" encoding="utf-8"?>
<sst xmlns="http://schemas.openxmlformats.org/spreadsheetml/2006/main" count="1172" uniqueCount="293">
  <si>
    <t>1.- Pronóstico de Ventas</t>
  </si>
  <si>
    <t>Producto</t>
  </si>
  <si>
    <t>TOTAL</t>
  </si>
  <si>
    <t>Enero</t>
  </si>
  <si>
    <t>Febrero</t>
  </si>
  <si>
    <t>Marzo</t>
  </si>
  <si>
    <t>Abril</t>
  </si>
  <si>
    <t>Mayo</t>
  </si>
  <si>
    <t>Junio</t>
  </si>
  <si>
    <t>Julio</t>
  </si>
  <si>
    <t>Agosto</t>
  </si>
  <si>
    <t>Septiem.</t>
  </si>
  <si>
    <t>Octubre</t>
  </si>
  <si>
    <t>Noviembre</t>
  </si>
  <si>
    <t>Diciembre</t>
  </si>
  <si>
    <t>A</t>
  </si>
  <si>
    <t>B</t>
  </si>
  <si>
    <t>2.- Datos de Facturación y Pagos</t>
  </si>
  <si>
    <t>4.-  Standard de Producción</t>
  </si>
  <si>
    <t>Materia Prima</t>
  </si>
  <si>
    <t>Costo ($/kg)</t>
  </si>
  <si>
    <t>Mano de Obra</t>
  </si>
  <si>
    <t>Proceso 1</t>
  </si>
  <si>
    <t>100 unidades p/turno</t>
  </si>
  <si>
    <t>Proceso 2</t>
  </si>
  <si>
    <t>80 unidades p/turno</t>
  </si>
  <si>
    <t>Equipos</t>
  </si>
  <si>
    <t>5.- Inversiones</t>
  </si>
  <si>
    <t>6.- Gastos Generales de Fabricación</t>
  </si>
  <si>
    <t>7.- Gastos Generales de Administración y Ventas.</t>
  </si>
  <si>
    <t>8.- Impuestos</t>
  </si>
  <si>
    <t>Grupo</t>
  </si>
  <si>
    <t>2.1.- Condicones de cobranza: 50 % Contado + 50% a 30 días Fecha Factura</t>
  </si>
  <si>
    <t xml:space="preserve">      2.3.- </t>
  </si>
  <si>
    <r>
      <t>3)</t>
    </r>
    <r>
      <rPr>
        <sz val="10"/>
        <rFont val="Arial"/>
        <family val="2"/>
      </rPr>
      <t xml:space="preserve"> 2.2.-</t>
    </r>
  </si>
  <si>
    <r>
      <t>2)</t>
    </r>
    <r>
      <rPr>
        <sz val="10"/>
        <rFont val="Arial"/>
        <family val="2"/>
      </rPr>
      <t xml:space="preserve"> 2.2.-</t>
    </r>
  </si>
  <si>
    <t>Ducrey</t>
  </si>
  <si>
    <t>Paez</t>
  </si>
  <si>
    <t>Pons</t>
  </si>
  <si>
    <t>Kg MP/U prod.</t>
  </si>
  <si>
    <t>Prod A</t>
  </si>
  <si>
    <t>Prod B</t>
  </si>
  <si>
    <t>HH / U prod.</t>
  </si>
  <si>
    <t>9.- Amortizaciones</t>
  </si>
  <si>
    <t>Galli</t>
  </si>
  <si>
    <t>Información en las Organizaciones (71 - 13)</t>
  </si>
  <si>
    <t>Un equipo de 5 personas producen</t>
  </si>
  <si>
    <t>Un equipo de 4 personas producen</t>
  </si>
  <si>
    <t>Un equipo de 3 personas producen</t>
  </si>
  <si>
    <t>Presupuesto - Datos Básicos para ejercicio de aplicación que consiste en confeccionar:</t>
  </si>
  <si>
    <t>- Presupuesto físico</t>
  </si>
  <si>
    <t>- Presupuesto económico</t>
  </si>
  <si>
    <t>- Presupuesto financiero</t>
  </si>
  <si>
    <t>- Cuadro de resultados</t>
  </si>
  <si>
    <t>2.2.-</t>
  </si>
  <si>
    <t xml:space="preserve">2.3.- </t>
  </si>
  <si>
    <t>3.2.- Para Materia Prima - Stock igual al 10 % de la cantidad de materia prima requerida para producción del mes siguiente</t>
  </si>
  <si>
    <t>Para completar los gastos de Aguinaldo , Obra social ,  Aportes patronales, Provisión por despido y Vacaciones, se asume el 80%  de la remuneración Bruta</t>
  </si>
  <si>
    <t>Unidad de Medida: Unidad de producto</t>
  </si>
  <si>
    <t xml:space="preserve">Gastos generales de Administración  se han previsto en $ 120.000.- mensuales. </t>
  </si>
  <si>
    <t>3.1.- Para producto terminado - Equivalente al 20 % de las ventas del mes siguiente</t>
  </si>
  <si>
    <t>3.-  Políticas de Stocks</t>
  </si>
  <si>
    <t>El monto de impuestos se estima en 35 % sobre la Utilidad Bruta y se pagan al mes siguiente de realizada la venta.</t>
  </si>
  <si>
    <t>Martinez</t>
  </si>
  <si>
    <t>110 unidades p/turno</t>
  </si>
  <si>
    <t>90 unidades p/turno</t>
  </si>
  <si>
    <t>Grupo Omar Ducrey</t>
  </si>
  <si>
    <t>Grupo Constantino Martinez</t>
  </si>
  <si>
    <t>Grupo Adriana Galli</t>
  </si>
  <si>
    <t>Grupo Viviana Paez</t>
  </si>
  <si>
    <t>Grupo Inés Pons</t>
  </si>
  <si>
    <t>A partir de los siguientes datos básicos:</t>
  </si>
  <si>
    <t xml:space="preserve">La empresa fundamenta las ventas del año proximo (2014) incrementando las ventas del año en curso más un 2% en terminos de unidades. </t>
  </si>
  <si>
    <t>2.2.- Porcentaje (%) que se factura de lo vendido.</t>
  </si>
  <si>
    <t>2.3.- Porcentaje (% ) de incobrabilidad.</t>
  </si>
  <si>
    <t>Código 01</t>
  </si>
  <si>
    <t>Código 02</t>
  </si>
  <si>
    <t>Código 03</t>
  </si>
  <si>
    <t>Código 04</t>
  </si>
  <si>
    <t>Remuneración Bruta Promedio 34 $/HH</t>
  </si>
  <si>
    <t>Remuneración Bruta Promedio 28 $/HH</t>
  </si>
  <si>
    <t>Remuneración Bruta Promedio 42 $/HH</t>
  </si>
  <si>
    <t>Remuneración Bruta Promedio 31 $/HH</t>
  </si>
  <si>
    <t>Lunes aViernes trabajan 8 hs por turno, Sábados 4 horas</t>
  </si>
  <si>
    <t>(Este es un indice que calcula cada empresa en función de múltiples variables)</t>
  </si>
  <si>
    <t>En la Orden de compra con el provedor de los equipos y su montaje consta que se pagará a partir de Abril en 5 cuotas iguales y mensuales.</t>
  </si>
  <si>
    <t>De acuerdo a los planes de la empresa, se renovarán equipos por  $ 950.000.-</t>
  </si>
  <si>
    <t>Mantenimiento:  $ 87.000.- por mes salvo en Enero, Febrero  y Marzo que se incrementan en $ 20.000.-</t>
  </si>
  <si>
    <t>Gastos Generales: supervisión, insumos y otros gastos no vinculados directamente a la cantidad producida se han previsto en $ 145.000.- mensuales.</t>
  </si>
  <si>
    <t>Gastos de Comercialización: calculados 5 % del monto de venta y se desembolsan dos meses antes de que se efectue la venta.</t>
  </si>
  <si>
    <t>Inmuebles, valuados en  $ 1.500.000.-  amortizables en 50 años.</t>
  </si>
  <si>
    <t>Equipos de producción y bienes muebles valuados en $ 500.000.- amortizables en 10 años.</t>
  </si>
  <si>
    <r>
      <t xml:space="preserve">NOTA: </t>
    </r>
    <r>
      <rPr>
        <sz val="10"/>
        <rFont val="Arial"/>
        <family val="2"/>
      </rPr>
      <t>todo dato, premisa o información que considere faltante se deberá / podrá agregar haciendo expresa mención de la misma y criterio que se ha asumido.</t>
    </r>
  </si>
  <si>
    <t>- Flujo de fondos (cash flow)</t>
  </si>
  <si>
    <t>Los valores de 2015, de ser necesarios, responderán a la misma premisa respecto del 2014.</t>
  </si>
  <si>
    <t>Precios de venta: Producto A = $ 850 / Unidad.-; Producto B = $ 1.200 / Unidad. Precios de venta sin IVA. Los precios en el 2014 no tendrán variación.</t>
  </si>
  <si>
    <t>Septiembre</t>
  </si>
  <si>
    <t>Procesos</t>
  </si>
  <si>
    <t>1A</t>
  </si>
  <si>
    <t>2A</t>
  </si>
  <si>
    <t>1B</t>
  </si>
  <si>
    <t>2B</t>
  </si>
  <si>
    <t>3B</t>
  </si>
  <si>
    <t>4B</t>
  </si>
  <si>
    <t>Produccion</t>
  </si>
  <si>
    <t>Materia Prima por Unidad de PT</t>
  </si>
  <si>
    <t>PT por Unidad de Proceso</t>
  </si>
  <si>
    <t>Total A</t>
  </si>
  <si>
    <t>Total B</t>
  </si>
  <si>
    <t>Factor Aumento Ventas</t>
  </si>
  <si>
    <t>Factor Stock PT</t>
  </si>
  <si>
    <t>Factor Stock MP</t>
  </si>
  <si>
    <t>Ventas Enero 2015</t>
  </si>
  <si>
    <t>Produccion Requerida</t>
  </si>
  <si>
    <t>Costos</t>
  </si>
  <si>
    <t>P1A</t>
  </si>
  <si>
    <t>P2A</t>
  </si>
  <si>
    <t>P1B</t>
  </si>
  <si>
    <t>P2B</t>
  </si>
  <si>
    <t>Material</t>
  </si>
  <si>
    <t>M.Obra</t>
  </si>
  <si>
    <t>Trabajadores por proceso</t>
  </si>
  <si>
    <t>Remuneracion/h</t>
  </si>
  <si>
    <t>Total</t>
  </si>
  <si>
    <t>Total mas Cargas</t>
  </si>
  <si>
    <t>Inversiones</t>
  </si>
  <si>
    <t>Mantenimiento</t>
  </si>
  <si>
    <t>Generales</t>
  </si>
  <si>
    <t>Administración</t>
  </si>
  <si>
    <t>Comercialización</t>
  </si>
  <si>
    <t>Precios de Venta</t>
  </si>
  <si>
    <t>Gastos Diferidos</t>
  </si>
  <si>
    <t>Incobrabilidad</t>
  </si>
  <si>
    <t>Producto A</t>
  </si>
  <si>
    <t>Producto B</t>
  </si>
  <si>
    <t>50% mes anterior</t>
  </si>
  <si>
    <t>50% mes actual</t>
  </si>
  <si>
    <t>Factor division Muestra</t>
  </si>
  <si>
    <t>Porciento</t>
  </si>
  <si>
    <t>Porcentaje Cobranza</t>
  </si>
  <si>
    <t>Total A+B</t>
  </si>
  <si>
    <t>Presupuesto de Produccion</t>
  </si>
  <si>
    <t>Stock Inicial</t>
  </si>
  <si>
    <t>Ventas</t>
  </si>
  <si>
    <t>Stock Final</t>
  </si>
  <si>
    <t>QP</t>
  </si>
  <si>
    <t>Ventas Diciembre 2013 (Miles)</t>
  </si>
  <si>
    <t>Facturacion Diciembre 2013(Miles)</t>
  </si>
  <si>
    <t>Total A+B neto inc</t>
  </si>
  <si>
    <t>Presupuesto de Materias Primas</t>
  </si>
  <si>
    <t>Supuestos</t>
  </si>
  <si>
    <t>Las ventas de Diciembre de 2013 se toman como 2% menos que las del correspondiente mes de 2014</t>
  </si>
  <si>
    <t>Valor</t>
  </si>
  <si>
    <t>Qp</t>
  </si>
  <si>
    <t>Q Necesario</t>
  </si>
  <si>
    <t>Q Total</t>
  </si>
  <si>
    <t>Q Valorizado</t>
  </si>
  <si>
    <t>MP1</t>
  </si>
  <si>
    <t>MP2</t>
  </si>
  <si>
    <t>MP3</t>
  </si>
  <si>
    <t>MP4</t>
  </si>
  <si>
    <t>MONTO TOTAL COMPRA</t>
  </si>
  <si>
    <t>Enero (2015)</t>
  </si>
  <si>
    <t>Ventas Febrero 2015</t>
  </si>
  <si>
    <t>Presupuesto de Mano de Obra</t>
  </si>
  <si>
    <t>Turnos Proceso 1</t>
  </si>
  <si>
    <t>Cantidad Operarios P1</t>
  </si>
  <si>
    <t>Turnos Proceso 2</t>
  </si>
  <si>
    <t>Cantidad Operarios P2</t>
  </si>
  <si>
    <t>Total Turnos</t>
  </si>
  <si>
    <t>Total Operarios</t>
  </si>
  <si>
    <t>Remuneracion Bruto</t>
  </si>
  <si>
    <t>Remuneracion H.Extras</t>
  </si>
  <si>
    <t>Total Bruto</t>
  </si>
  <si>
    <t>Cargos Adicionales</t>
  </si>
  <si>
    <t>Total Neto</t>
  </si>
  <si>
    <t>Gastos de Fabricación</t>
  </si>
  <si>
    <t>Gastos de Administración y Ventas</t>
  </si>
  <si>
    <t>Costos Variables</t>
  </si>
  <si>
    <t>Margen de Contribución</t>
  </si>
  <si>
    <t>Costos Fijos No Imputables</t>
  </si>
  <si>
    <t>Amortizaciones</t>
  </si>
  <si>
    <t>Utilidad Bruta</t>
  </si>
  <si>
    <t>Intereses</t>
  </si>
  <si>
    <t>Impuestos</t>
  </si>
  <si>
    <t>Utilidad Neta</t>
  </si>
  <si>
    <t>Años</t>
  </si>
  <si>
    <t>Anual</t>
  </si>
  <si>
    <t>Mensual</t>
  </si>
  <si>
    <t>Factor Impuestos</t>
  </si>
  <si>
    <t>Flujo Neto de Caja</t>
  </si>
  <si>
    <t>Cobranzas</t>
  </si>
  <si>
    <t>Otros Ingresos</t>
  </si>
  <si>
    <t>Mano de Obra Directa</t>
  </si>
  <si>
    <t>Gastos Generales de Fabricación</t>
  </si>
  <si>
    <t>Gastos Grles Administracion y Vtas</t>
  </si>
  <si>
    <t>Otros Egresos</t>
  </si>
  <si>
    <t>Total Egresos</t>
  </si>
  <si>
    <t>Total Ingresos</t>
  </si>
  <si>
    <t>Flujo Acumulado del Ejercicio</t>
  </si>
  <si>
    <t>Gastos (En Miles de Pesos)</t>
  </si>
  <si>
    <t>Utilidad Bruta Diciembre 2013</t>
  </si>
  <si>
    <t>La Empresa Inicia 2014 con Stock de MP igual al 10% de lo necesario para la produccion correspondiente a las ventas de Enero 2014</t>
  </si>
  <si>
    <t>La Empresa Inicia 2014 con stock de PT igual al 20% de lo correspondiente a las ventas de Enero 2014</t>
  </si>
  <si>
    <t>gv</t>
  </si>
  <si>
    <t>p1</t>
  </si>
  <si>
    <t>p2</t>
  </si>
  <si>
    <t>p3</t>
  </si>
  <si>
    <t>p4</t>
  </si>
  <si>
    <t>p5</t>
  </si>
  <si>
    <t>p6</t>
  </si>
  <si>
    <t>p7</t>
  </si>
  <si>
    <t>p8</t>
  </si>
  <si>
    <t>p9</t>
  </si>
  <si>
    <t>p10</t>
  </si>
  <si>
    <t>p11</t>
  </si>
  <si>
    <t>p12</t>
  </si>
  <si>
    <t>p13</t>
  </si>
  <si>
    <t>PROCESO 2</t>
  </si>
  <si>
    <t>PROCESO 1</t>
  </si>
  <si>
    <t>Leyenda</t>
  </si>
  <si>
    <t>Proceso 1 A</t>
  </si>
  <si>
    <t>Proceso 2 A</t>
  </si>
  <si>
    <t>Proceso 1 B</t>
  </si>
  <si>
    <t>Proceso 2 B</t>
  </si>
  <si>
    <t>Total Prod A</t>
  </si>
  <si>
    <t>Total Prod B</t>
  </si>
  <si>
    <t>Analisis de Abril</t>
  </si>
  <si>
    <t>Cantidad de jornadas requeridas</t>
  </si>
  <si>
    <t>Total Empleados Abril</t>
  </si>
  <si>
    <t>MP Necesaria Para Produccion</t>
  </si>
  <si>
    <t>Compras MP (MP Necesaria Para la Produccion + MP Politica de Stock - Stock Inicial)</t>
  </si>
  <si>
    <t>MP Stock Final (MP Politica de Stock)</t>
  </si>
  <si>
    <t>MP Politica de Stock (Produccion del Mes Siguiente * MP por unidad de PT * Factor Stock MP)</t>
  </si>
  <si>
    <t>MP Stock Inicial (Stock Final del Mes Anterior)</t>
  </si>
  <si>
    <t>Stock Inicial PT (Stock Final del mes Anterior)</t>
  </si>
  <si>
    <t>Politica de Stock PT (Ventas del Mes siguiente * Factor Stock PT)</t>
  </si>
  <si>
    <t>Stock Final PT (Stock Inicial PT + Produccion PT - Ventas PT)</t>
  </si>
  <si>
    <t>Ventas (En Miles de pesos) (Ventas PT * Precio de Venta de PT)</t>
  </si>
  <si>
    <t>Presupuesto de Ventas (En Miles) (Ventas PT * Precio de Venta PT)</t>
  </si>
  <si>
    <t>Presupuesto de Facturación (En Miles) (Ventas PT * Precio de Venta PT * Factor de Facturacion)</t>
  </si>
  <si>
    <t>Prespuesto de Cobranzas (En Miles) (Venta de PT * Porcentaje Cobranza Mes * Factor Incobrabilidad)</t>
  </si>
  <si>
    <t>Incobrabilidad (Porcentaje)</t>
  </si>
  <si>
    <t>Facturacion (Porcentaje)</t>
  </si>
  <si>
    <t>Cobran Proceso 1</t>
  </si>
  <si>
    <t>Cobran Proceso 2</t>
  </si>
  <si>
    <t>Cobran Maximo</t>
  </si>
  <si>
    <t>Maximo De Pago Procesos</t>
  </si>
  <si>
    <t>Horas por Jornada</t>
  </si>
  <si>
    <t>Jornadas Regulares Trabajadas</t>
  </si>
  <si>
    <t>H.Extras</t>
  </si>
  <si>
    <t>Equipo 1</t>
  </si>
  <si>
    <t>Equipo 2</t>
  </si>
  <si>
    <t>Equipo 3</t>
  </si>
  <si>
    <t>En</t>
  </si>
  <si>
    <t>Jornadas</t>
  </si>
  <si>
    <t>Factor Remuneracion H Extra</t>
  </si>
  <si>
    <t>Explicacion</t>
  </si>
  <si>
    <t>Ociosas</t>
  </si>
  <si>
    <t>Se Tomo el Mes de Abril como referencia para todos los demas meses. Para lograr llegar al stock minimo en los meses en los cuales no es suficiente con esa planificacion se tomaron horas extras, las cuales se encuentran detalladas en Hoja4 A166</t>
  </si>
  <si>
    <t>Unidades reales vendidas</t>
  </si>
  <si>
    <t>Costos Unitarios</t>
  </si>
  <si>
    <t>Mano Obra</t>
  </si>
  <si>
    <t>Costo Real</t>
  </si>
  <si>
    <t>Cuadro de Resultados Auxiliar</t>
  </si>
  <si>
    <t>1° Trimestre</t>
  </si>
  <si>
    <t>2° Trimestre</t>
  </si>
  <si>
    <t>3° Trimestre</t>
  </si>
  <si>
    <t>4° Trimestre</t>
  </si>
  <si>
    <t>Cuadro de Resultados Trimestral</t>
  </si>
  <si>
    <t>Cuadro de Resultados Anual</t>
  </si>
  <si>
    <t>Ventas Pronosticadas</t>
  </si>
  <si>
    <t>Se pronostica la siguiente distribucion de ventas para el año 2014.</t>
  </si>
  <si>
    <t>Total Producción Item A</t>
  </si>
  <si>
    <t>Total Producción Item B</t>
  </si>
  <si>
    <t>Productos</t>
  </si>
  <si>
    <t>Planificación de la Producción</t>
  </si>
  <si>
    <t>Planificacion de procesos de producción</t>
  </si>
  <si>
    <t>Analisis de personal del mes de Abril</t>
  </si>
  <si>
    <t>Analisis de Personal</t>
  </si>
  <si>
    <t>Se intenta distribuir la producción, de forma de que no tenga una variación muy grande, a la vez que se cumple con los requisitos de stock</t>
  </si>
  <si>
    <t>Para ello se tomara como prototipo un mes del año que tenga un pronostico de ventas intermedio, y se intentara extender al resto de los meses del año, variando para cumplir los requisitos</t>
  </si>
  <si>
    <t>Equipos de Trabajo</t>
  </si>
  <si>
    <t>Jornadas de Trabajo por Mes</t>
  </si>
  <si>
    <t>Operarios Proceso 1</t>
  </si>
  <si>
    <t>Operarios Proceso 2</t>
  </si>
  <si>
    <t>Costo unitario de Mano de Obra (En Pesos)</t>
  </si>
  <si>
    <t>Costo unitario de Materias Primas</t>
  </si>
  <si>
    <t xml:space="preserve">Presupuesto de Ventas </t>
  </si>
  <si>
    <t>Unidades vendidas para el costo de ventas</t>
  </si>
  <si>
    <t>Presupuesto de Facturación</t>
  </si>
  <si>
    <t>Prespuesto de Cobranzas</t>
  </si>
  <si>
    <t>Total A+B neto incobrables</t>
  </si>
</sst>
</file>

<file path=xl/styles.xml><?xml version="1.0" encoding="utf-8"?>
<styleSheet xmlns="http://schemas.openxmlformats.org/spreadsheetml/2006/main">
  <numFmts count="2">
    <numFmt numFmtId="164" formatCode="&quot;$&quot;\ #,##0"/>
    <numFmt numFmtId="165" formatCode="&quot;$&quot;\ #,##0.0"/>
  </numFmts>
  <fonts count="12">
    <font>
      <sz val="10"/>
      <name val="Arial"/>
    </font>
    <font>
      <u/>
      <sz val="10"/>
      <name val="Arial"/>
      <family val="2"/>
    </font>
    <font>
      <b/>
      <sz val="10"/>
      <name val="Arial"/>
      <family val="2"/>
    </font>
    <font>
      <sz val="9"/>
      <name val="Arial"/>
      <family val="2"/>
    </font>
    <font>
      <sz val="8"/>
      <name val="Arial"/>
      <family val="2"/>
    </font>
    <font>
      <b/>
      <sz val="11"/>
      <name val="Arial"/>
      <family val="2"/>
    </font>
    <font>
      <sz val="10"/>
      <name val="Arial"/>
      <family val="2"/>
    </font>
    <font>
      <b/>
      <sz val="12"/>
      <name val="Arial"/>
      <family val="2"/>
    </font>
    <font>
      <b/>
      <sz val="14"/>
      <name val="Arial"/>
      <family val="2"/>
    </font>
    <font>
      <b/>
      <sz val="16"/>
      <name val="Arial"/>
      <family val="2"/>
    </font>
    <font>
      <i/>
      <sz val="10"/>
      <name val="Arial"/>
      <family val="2"/>
    </font>
    <font>
      <sz val="10"/>
      <color theme="0"/>
      <name val="Arial"/>
      <family val="2"/>
    </font>
  </fonts>
  <fills count="25">
    <fill>
      <patternFill patternType="none"/>
    </fill>
    <fill>
      <patternFill patternType="gray125"/>
    </fill>
    <fill>
      <patternFill patternType="solid">
        <fgColor theme="8" tint="0.59999389629810485"/>
        <bgColor indexed="64"/>
      </patternFill>
    </fill>
    <fill>
      <patternFill patternType="solid">
        <fgColor theme="8"/>
        <bgColor indexed="64"/>
      </patternFill>
    </fill>
    <fill>
      <patternFill patternType="solid">
        <fgColor theme="6" tint="0.59999389629810485"/>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3300"/>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C00000"/>
        <bgColor indexed="64"/>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indexed="64"/>
      </left>
      <right style="thin">
        <color auto="1"/>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applyFill="0"/>
  </cellStyleXfs>
  <cellXfs count="266">
    <xf numFmtId="0" fontId="0" fillId="0" borderId="0" xfId="0"/>
    <xf numFmtId="0" fontId="0" fillId="0" borderId="1" xfId="0" applyBorder="1"/>
    <xf numFmtId="1" fontId="0" fillId="0" borderId="1" xfId="0" applyNumberFormat="1" applyBorder="1" applyAlignment="1">
      <alignment horizontal="center"/>
    </xf>
    <xf numFmtId="1" fontId="0" fillId="0" borderId="1" xfId="0" applyNumberFormat="1" applyBorder="1"/>
    <xf numFmtId="1" fontId="0" fillId="0" borderId="0" xfId="0" applyNumberFormat="1" applyBorder="1" applyAlignment="1">
      <alignment horizontal="center"/>
    </xf>
    <xf numFmtId="1" fontId="0" fillId="0" borderId="0" xfId="0" applyNumberFormat="1" applyBorder="1"/>
    <xf numFmtId="0" fontId="1" fillId="0" borderId="0" xfId="0" applyFont="1"/>
    <xf numFmtId="9" fontId="1" fillId="0" borderId="0" xfId="0" applyNumberFormat="1" applyFont="1"/>
    <xf numFmtId="9" fontId="0" fillId="0" borderId="0" xfId="0" applyNumberFormat="1"/>
    <xf numFmtId="0" fontId="4" fillId="0" borderId="0" xfId="0" applyFont="1"/>
    <xf numFmtId="0" fontId="0" fillId="0" borderId="2" xfId="0" applyBorder="1" applyAlignment="1">
      <alignment horizontal="center"/>
    </xf>
    <xf numFmtId="0" fontId="0" fillId="0" borderId="0" xfId="0" applyBorder="1"/>
    <xf numFmtId="0" fontId="0" fillId="0" borderId="3" xfId="0" applyBorder="1" applyAlignment="1">
      <alignment horizontal="center"/>
    </xf>
    <xf numFmtId="0" fontId="0" fillId="0" borderId="0" xfId="0" applyBorder="1" applyAlignment="1">
      <alignment horizontal="center"/>
    </xf>
    <xf numFmtId="1" fontId="0" fillId="0" borderId="0" xfId="0" applyNumberFormat="1" applyBorder="1" applyAlignment="1">
      <alignment horizontal="left"/>
    </xf>
    <xf numFmtId="0" fontId="0" fillId="0" borderId="0" xfId="0" applyAlignment="1">
      <alignment horizontal="left"/>
    </xf>
    <xf numFmtId="0" fontId="2" fillId="0" borderId="0" xfId="0" applyFont="1"/>
    <xf numFmtId="0" fontId="0" fillId="0" borderId="0" xfId="0" applyAlignment="1">
      <alignment wrapText="1"/>
    </xf>
    <xf numFmtId="0" fontId="0" fillId="0" borderId="0" xfId="0" applyAlignment="1"/>
    <xf numFmtId="0" fontId="0" fillId="0" borderId="0" xfId="0" applyAlignment="1">
      <alignmen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6"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6" fillId="0" borderId="0" xfId="0" applyFont="1"/>
    <xf numFmtId="0" fontId="4" fillId="0" borderId="11" xfId="0" applyFont="1" applyBorder="1" applyAlignment="1">
      <alignment horizontal="center"/>
    </xf>
    <xf numFmtId="0" fontId="4" fillId="0" borderId="4" xfId="0" applyFont="1" applyBorder="1" applyAlignment="1">
      <alignment horizontal="center"/>
    </xf>
    <xf numFmtId="0" fontId="4" fillId="0" borderId="12" xfId="0" applyFont="1" applyFill="1" applyBorder="1" applyAlignment="1">
      <alignment horizontal="center"/>
    </xf>
    <xf numFmtId="0" fontId="0" fillId="0" borderId="13" xfId="0" applyBorder="1" applyAlignment="1">
      <alignment horizontal="center"/>
    </xf>
    <xf numFmtId="0" fontId="2" fillId="0" borderId="0" xfId="0" quotePrefix="1" applyFont="1"/>
    <xf numFmtId="0" fontId="0" fillId="0" borderId="8"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1" fontId="0" fillId="0" borderId="0" xfId="0" applyNumberFormat="1"/>
    <xf numFmtId="0" fontId="6" fillId="0" borderId="0" xfId="0" applyFont="1" applyAlignment="1"/>
    <xf numFmtId="0" fontId="6" fillId="0" borderId="0" xfId="0" applyFont="1" applyAlignment="1">
      <alignment vertical="center"/>
    </xf>
    <xf numFmtId="0" fontId="0" fillId="0" borderId="0" xfId="0" applyAlignment="1">
      <alignment vertical="center" wrapText="1"/>
    </xf>
    <xf numFmtId="0" fontId="5" fillId="0" borderId="0" xfId="0" applyFont="1" applyAlignment="1">
      <alignment horizontal="center"/>
    </xf>
    <xf numFmtId="0" fontId="7" fillId="0" borderId="0" xfId="0" applyFont="1"/>
    <xf numFmtId="0" fontId="6" fillId="0" borderId="0" xfId="0" applyFont="1" applyBorder="1"/>
    <xf numFmtId="0" fontId="8" fillId="0" borderId="0" xfId="0" applyFont="1"/>
    <xf numFmtId="0" fontId="0" fillId="0" borderId="1" xfId="0" applyBorder="1" applyAlignment="1">
      <alignment horizontal="center"/>
    </xf>
    <xf numFmtId="0" fontId="6" fillId="0" borderId="0" xfId="0" applyFont="1" applyFill="1" applyBorder="1"/>
    <xf numFmtId="0" fontId="0" fillId="0" borderId="1" xfId="0" applyBorder="1" applyAlignment="1"/>
    <xf numFmtId="0" fontId="6" fillId="0" borderId="1" xfId="0" applyFont="1" applyBorder="1"/>
    <xf numFmtId="0" fontId="6" fillId="0" borderId="1" xfId="0" applyFont="1" applyFill="1" applyBorder="1"/>
    <xf numFmtId="0" fontId="6" fillId="3" borderId="1" xfId="0" applyFont="1" applyFill="1" applyBorder="1"/>
    <xf numFmtId="1" fontId="0" fillId="3" borderId="1" xfId="0" applyNumberFormat="1" applyFill="1" applyBorder="1"/>
    <xf numFmtId="0" fontId="0" fillId="0" borderId="51" xfId="0" applyBorder="1"/>
    <xf numFmtId="0" fontId="0" fillId="0" borderId="50" xfId="0" applyBorder="1"/>
    <xf numFmtId="0" fontId="0" fillId="0" borderId="49" xfId="0" applyBorder="1"/>
    <xf numFmtId="0" fontId="0" fillId="0" borderId="52" xfId="0" applyBorder="1"/>
    <xf numFmtId="0" fontId="0" fillId="0" borderId="1" xfId="0" applyBorder="1"/>
    <xf numFmtId="0" fontId="0" fillId="0" borderId="1" xfId="0" applyBorder="1"/>
    <xf numFmtId="0" fontId="0" fillId="0" borderId="1" xfId="0" applyFont="1" applyFill="1" applyBorder="1"/>
    <xf numFmtId="164" fontId="0" fillId="0" borderId="1" xfId="0" applyNumberFormat="1" applyBorder="1"/>
    <xf numFmtId="0" fontId="10" fillId="0" borderId="1" xfId="0" applyFont="1" applyBorder="1"/>
    <xf numFmtId="0" fontId="10" fillId="0" borderId="1" xfId="0" applyFont="1" applyFill="1" applyBorder="1"/>
    <xf numFmtId="17" fontId="6" fillId="0" borderId="1" xfId="0" applyNumberFormat="1" applyFont="1" applyBorder="1"/>
    <xf numFmtId="0" fontId="0" fillId="0" borderId="53" xfId="0" applyFill="1" applyBorder="1"/>
    <xf numFmtId="1" fontId="0" fillId="0" borderId="1" xfId="0" applyNumberFormat="1" applyFill="1" applyBorder="1"/>
    <xf numFmtId="0" fontId="0" fillId="0" borderId="51" xfId="0" applyFont="1" applyFill="1" applyBorder="1"/>
    <xf numFmtId="0" fontId="6" fillId="10" borderId="1" xfId="0" applyFont="1" applyFill="1" applyBorder="1"/>
    <xf numFmtId="0" fontId="6" fillId="0" borderId="38" xfId="0" applyFont="1" applyBorder="1"/>
    <xf numFmtId="0" fontId="6" fillId="12" borderId="1" xfId="0" applyFont="1" applyFill="1" applyBorder="1"/>
    <xf numFmtId="1" fontId="6" fillId="0" borderId="1" xfId="0" applyNumberFormat="1" applyFont="1" applyBorder="1"/>
    <xf numFmtId="0" fontId="0" fillId="0" borderId="1" xfId="0" applyBorder="1"/>
    <xf numFmtId="165" fontId="0" fillId="0" borderId="54" xfId="0" applyNumberFormat="1" applyFill="1" applyBorder="1"/>
    <xf numFmtId="165" fontId="0" fillId="0" borderId="0" xfId="0" applyNumberFormat="1" applyBorder="1"/>
    <xf numFmtId="0" fontId="0" fillId="0" borderId="0" xfId="0" applyBorder="1" applyAlignment="1"/>
    <xf numFmtId="0" fontId="0" fillId="0" borderId="1" xfId="0" applyBorder="1"/>
    <xf numFmtId="0" fontId="0" fillId="15" borderId="0" xfId="0" applyFill="1"/>
    <xf numFmtId="0" fontId="0" fillId="16" borderId="0" xfId="0" applyFill="1"/>
    <xf numFmtId="0" fontId="0" fillId="17" borderId="0" xfId="0" applyFill="1"/>
    <xf numFmtId="0" fontId="0" fillId="18" borderId="0" xfId="0" applyFill="1"/>
    <xf numFmtId="0" fontId="0" fillId="16" borderId="1" xfId="0" applyFill="1" applyBorder="1"/>
    <xf numFmtId="0" fontId="0" fillId="15" borderId="1" xfId="0" applyFill="1" applyBorder="1"/>
    <xf numFmtId="0" fontId="2" fillId="0" borderId="1" xfId="0" applyFont="1" applyFill="1" applyBorder="1" applyAlignment="1">
      <alignment horizontal="center"/>
    </xf>
    <xf numFmtId="0" fontId="0" fillId="17" borderId="1" xfId="0" applyFill="1" applyBorder="1"/>
    <xf numFmtId="0" fontId="0" fillId="18" borderId="1" xfId="0" applyFill="1" applyBorder="1"/>
    <xf numFmtId="0" fontId="0" fillId="0" borderId="1" xfId="0" applyFill="1" applyBorder="1"/>
    <xf numFmtId="0" fontId="0" fillId="0" borderId="54" xfId="0" applyFont="1" applyFill="1" applyBorder="1"/>
    <xf numFmtId="0" fontId="0" fillId="0" borderId="54" xfId="0" applyFill="1" applyBorder="1"/>
    <xf numFmtId="164" fontId="2" fillId="0" borderId="1" xfId="0" applyNumberFormat="1" applyFont="1" applyBorder="1"/>
    <xf numFmtId="1" fontId="2" fillId="0" borderId="1" xfId="0" applyNumberFormat="1" applyFont="1" applyBorder="1"/>
    <xf numFmtId="0" fontId="2" fillId="0" borderId="1" xfId="0" applyFont="1" applyBorder="1"/>
    <xf numFmtId="164" fontId="0" fillId="0" borderId="0" xfId="0" applyNumberFormat="1"/>
    <xf numFmtId="0" fontId="6" fillId="0" borderId="0" xfId="0" applyFont="1" applyBorder="1" applyAlignment="1"/>
    <xf numFmtId="0" fontId="0" fillId="0" borderId="0" xfId="0" applyBorder="1" applyAlignment="1"/>
    <xf numFmtId="3" fontId="0" fillId="0" borderId="0" xfId="0" applyNumberFormat="1"/>
    <xf numFmtId="0" fontId="0" fillId="0" borderId="0" xfId="0" applyFont="1" applyFill="1" applyBorder="1"/>
    <xf numFmtId="0" fontId="6" fillId="0" borderId="1" xfId="0" applyFont="1" applyBorder="1" applyAlignment="1"/>
    <xf numFmtId="0" fontId="6" fillId="0" borderId="2" xfId="0" applyFont="1" applyBorder="1" applyAlignment="1"/>
    <xf numFmtId="0" fontId="6" fillId="0" borderId="0" xfId="0" applyFont="1" applyFill="1" applyBorder="1" applyAlignment="1"/>
    <xf numFmtId="0" fontId="0" fillId="0" borderId="0" xfId="0" applyFill="1" applyBorder="1" applyAlignment="1"/>
    <xf numFmtId="0" fontId="6" fillId="0" borderId="54" xfId="0" applyFont="1" applyFill="1" applyBorder="1" applyAlignment="1"/>
    <xf numFmtId="164" fontId="0" fillId="20" borderId="1" xfId="0" applyNumberFormat="1" applyFill="1" applyBorder="1"/>
    <xf numFmtId="164" fontId="0" fillId="12" borderId="1" xfId="0" applyNumberFormat="1" applyFill="1" applyBorder="1"/>
    <xf numFmtId="1" fontId="0" fillId="0" borderId="1" xfId="0" applyNumberFormat="1" applyBorder="1" applyAlignment="1">
      <alignment horizontal="right"/>
    </xf>
    <xf numFmtId="0" fontId="0" fillId="0" borderId="1" xfId="0" applyBorder="1" applyAlignment="1">
      <alignment horizontal="right"/>
    </xf>
    <xf numFmtId="1" fontId="6" fillId="0" borderId="1" xfId="0" applyNumberFormat="1" applyFont="1" applyFill="1" applyBorder="1" applyAlignment="1">
      <alignment horizontal="right"/>
    </xf>
    <xf numFmtId="3" fontId="0" fillId="0" borderId="1" xfId="0" applyNumberFormat="1" applyBorder="1"/>
    <xf numFmtId="0" fontId="6" fillId="20" borderId="1" xfId="0" applyFont="1" applyFill="1" applyBorder="1"/>
    <xf numFmtId="164" fontId="2" fillId="20" borderId="1" xfId="0" applyNumberFormat="1" applyFont="1" applyFill="1" applyBorder="1"/>
    <xf numFmtId="0" fontId="6" fillId="0" borderId="11" xfId="0" applyFont="1" applyBorder="1" applyAlignment="1">
      <alignment horizontal="center"/>
    </xf>
    <xf numFmtId="0" fontId="0" fillId="0" borderId="12" xfId="0" applyBorder="1" applyAlignment="1">
      <alignment horizontal="center"/>
    </xf>
    <xf numFmtId="0" fontId="4" fillId="0" borderId="24" xfId="0" applyFont="1" applyBorder="1" applyAlignment="1">
      <alignment horizontal="center"/>
    </xf>
    <xf numFmtId="0" fontId="4" fillId="0" borderId="26" xfId="0" applyFont="1" applyBorder="1" applyAlignment="1">
      <alignment horizontal="center"/>
    </xf>
    <xf numFmtId="0" fontId="2" fillId="0" borderId="48"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6" fillId="0" borderId="40" xfId="0" applyFont="1" applyBorder="1" applyAlignment="1">
      <alignment horizontal="center"/>
    </xf>
    <xf numFmtId="0" fontId="0" fillId="0" borderId="41" xfId="0" applyBorder="1" applyAlignment="1">
      <alignment horizontal="center"/>
    </xf>
    <xf numFmtId="0" fontId="0" fillId="0" borderId="39" xfId="0" applyBorder="1" applyAlignment="1">
      <alignment horizontal="center"/>
    </xf>
    <xf numFmtId="0" fontId="0" fillId="0" borderId="35" xfId="0" applyBorder="1" applyAlignment="1">
      <alignment horizontal="center"/>
    </xf>
    <xf numFmtId="0" fontId="0" fillId="0" borderId="10"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0" fillId="0" borderId="3" xfId="0"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0" fillId="0" borderId="5" xfId="0" applyBorder="1" applyAlignment="1">
      <alignment horizontal="center"/>
    </xf>
    <xf numFmtId="0" fontId="0" fillId="0" borderId="37" xfId="0" applyBorder="1" applyAlignment="1">
      <alignment horizontal="center"/>
    </xf>
    <xf numFmtId="0" fontId="0" fillId="0" borderId="2" xfId="0" applyBorder="1" applyAlignment="1">
      <alignment horizontal="center"/>
    </xf>
    <xf numFmtId="0" fontId="9" fillId="0" borderId="0" xfId="0" applyFont="1" applyAlignment="1">
      <alignment horizontal="center"/>
    </xf>
    <xf numFmtId="0" fontId="0" fillId="0" borderId="31" xfId="0" applyBorder="1" applyAlignment="1">
      <alignment horizontal="center"/>
    </xf>
    <xf numFmtId="0" fontId="0" fillId="0" borderId="30" xfId="0" applyBorder="1" applyAlignment="1">
      <alignment horizontal="center"/>
    </xf>
    <xf numFmtId="2" fontId="0" fillId="0" borderId="10" xfId="0" applyNumberFormat="1" applyBorder="1" applyAlignment="1">
      <alignment horizontal="center"/>
    </xf>
    <xf numFmtId="2" fontId="0" fillId="0" borderId="5"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4" xfId="0" applyBorder="1" applyAlignment="1">
      <alignment horizontal="center"/>
    </xf>
    <xf numFmtId="0" fontId="0" fillId="0" borderId="33" xfId="0" applyBorder="1" applyAlignment="1">
      <alignment horizontal="center" vertical="center"/>
    </xf>
    <xf numFmtId="0" fontId="0" fillId="0" borderId="2"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2" fontId="0" fillId="0" borderId="36" xfId="0" applyNumberFormat="1" applyBorder="1" applyAlignment="1">
      <alignment horizontal="center"/>
    </xf>
    <xf numFmtId="0" fontId="0" fillId="0" borderId="29"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18" xfId="0" applyBorder="1" applyAlignment="1"/>
    <xf numFmtId="0" fontId="0" fillId="0" borderId="0" xfId="0" applyBorder="1" applyAlignment="1"/>
    <xf numFmtId="0" fontId="6" fillId="0" borderId="18" xfId="0" applyFont="1" applyBorder="1" applyAlignment="1"/>
    <xf numFmtId="0" fontId="0" fillId="0" borderId="19" xfId="0" applyBorder="1" applyAlignment="1"/>
    <xf numFmtId="0" fontId="0" fillId="0" borderId="18" xfId="0" applyBorder="1" applyAlignment="1">
      <alignment horizontal="center" vertical="center"/>
    </xf>
    <xf numFmtId="0" fontId="0" fillId="0" borderId="19"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6" fillId="0" borderId="24" xfId="0" applyFont="1" applyBorder="1" applyAlignment="1"/>
    <xf numFmtId="0" fontId="0" fillId="0" borderId="25" xfId="0" applyBorder="1" applyAlignment="1"/>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3" xfId="0" applyFont="1" applyBorder="1" applyAlignment="1">
      <alignment horizontal="center" vertical="center"/>
    </xf>
    <xf numFmtId="0" fontId="2" fillId="0" borderId="26" xfId="0" applyFont="1" applyBorder="1" applyAlignment="1">
      <alignment horizontal="center" vertical="center"/>
    </xf>
    <xf numFmtId="0" fontId="6" fillId="0" borderId="1" xfId="0" applyFont="1" applyBorder="1" applyAlignment="1">
      <alignment horizontal="center"/>
    </xf>
    <xf numFmtId="0" fontId="0" fillId="0" borderId="26" xfId="0" applyBorder="1" applyAlignment="1"/>
    <xf numFmtId="0" fontId="3" fillId="0" borderId="27" xfId="0" applyFont="1" applyBorder="1" applyAlignment="1">
      <alignment horizontal="center" vertical="center" wrapText="1"/>
    </xf>
    <xf numFmtId="0" fontId="0" fillId="0" borderId="28" xfId="0" applyBorder="1" applyAlignment="1">
      <alignment horizontal="center" vertical="center" wrapText="1"/>
    </xf>
    <xf numFmtId="0" fontId="3" fillId="0" borderId="28" xfId="0" applyFont="1" applyBorder="1" applyAlignment="1">
      <alignment horizontal="center" vertical="center" wrapText="1"/>
    </xf>
    <xf numFmtId="0" fontId="6" fillId="13" borderId="49" xfId="0" applyFont="1" applyFill="1" applyBorder="1" applyAlignment="1">
      <alignment horizontal="center"/>
    </xf>
    <xf numFmtId="0" fontId="6" fillId="13" borderId="50" xfId="0" applyFont="1" applyFill="1" applyBorder="1" applyAlignment="1">
      <alignment horizontal="center"/>
    </xf>
    <xf numFmtId="0" fontId="6" fillId="14" borderId="1" xfId="0" applyFont="1" applyFill="1" applyBorder="1" applyAlignment="1">
      <alignment horizontal="center"/>
    </xf>
    <xf numFmtId="0" fontId="6" fillId="0" borderId="49" xfId="0" applyFont="1" applyBorder="1" applyAlignment="1">
      <alignment horizontal="center"/>
    </xf>
    <xf numFmtId="0" fontId="6" fillId="0" borderId="50" xfId="0" applyFont="1" applyBorder="1" applyAlignment="1">
      <alignment horizontal="center"/>
    </xf>
    <xf numFmtId="0" fontId="6" fillId="0" borderId="51" xfId="0" applyFont="1" applyBorder="1" applyAlignment="1">
      <alignment horizontal="center"/>
    </xf>
    <xf numFmtId="0" fontId="6" fillId="6" borderId="0" xfId="0" applyFont="1" applyFill="1" applyAlignment="1">
      <alignment horizontal="center"/>
    </xf>
    <xf numFmtId="0" fontId="0" fillId="6" borderId="0" xfId="0" applyFill="1" applyAlignment="1">
      <alignment horizontal="center"/>
    </xf>
    <xf numFmtId="0" fontId="0" fillId="6" borderId="49" xfId="0" applyFill="1" applyBorder="1" applyAlignment="1">
      <alignment horizontal="center"/>
    </xf>
    <xf numFmtId="0" fontId="0" fillId="6" borderId="50" xfId="0" applyFill="1" applyBorder="1" applyAlignment="1">
      <alignment horizontal="center"/>
    </xf>
    <xf numFmtId="0" fontId="0" fillId="6" borderId="51" xfId="0" applyFill="1" applyBorder="1" applyAlignment="1">
      <alignment horizontal="center"/>
    </xf>
    <xf numFmtId="0" fontId="6" fillId="4" borderId="49" xfId="0" applyFont="1" applyFill="1" applyBorder="1" applyAlignment="1">
      <alignment horizontal="center"/>
    </xf>
    <xf numFmtId="0" fontId="6" fillId="4" borderId="50" xfId="0" applyFont="1" applyFill="1" applyBorder="1" applyAlignment="1">
      <alignment horizontal="center"/>
    </xf>
    <xf numFmtId="0" fontId="6" fillId="4" borderId="51" xfId="0" applyFont="1" applyFill="1" applyBorder="1" applyAlignment="1">
      <alignment horizontal="center"/>
    </xf>
    <xf numFmtId="0" fontId="6" fillId="4" borderId="1" xfId="0" applyFont="1" applyFill="1" applyBorder="1" applyAlignment="1">
      <alignment horizontal="center"/>
    </xf>
    <xf numFmtId="0" fontId="6" fillId="5" borderId="1" xfId="0" applyFont="1" applyFill="1" applyBorder="1" applyAlignment="1">
      <alignment horizontal="center"/>
    </xf>
    <xf numFmtId="0" fontId="6" fillId="14" borderId="49" xfId="0" applyFont="1" applyFill="1" applyBorder="1" applyAlignment="1">
      <alignment horizontal="center"/>
    </xf>
    <xf numFmtId="0" fontId="0" fillId="14" borderId="50" xfId="0" applyFill="1" applyBorder="1" applyAlignment="1">
      <alignment horizontal="center"/>
    </xf>
    <xf numFmtId="0" fontId="0" fillId="14" borderId="51" xfId="0" applyFill="1" applyBorder="1" applyAlignment="1">
      <alignment horizontal="center"/>
    </xf>
    <xf numFmtId="0" fontId="6" fillId="19" borderId="1" xfId="0" applyFont="1" applyFill="1" applyBorder="1" applyAlignment="1">
      <alignment horizontal="center"/>
    </xf>
    <xf numFmtId="0" fontId="0" fillId="19" borderId="1" xfId="0" applyFill="1" applyBorder="1"/>
    <xf numFmtId="0" fontId="6" fillId="2" borderId="1" xfId="0" applyFont="1" applyFill="1" applyBorder="1" applyAlignment="1">
      <alignment horizontal="center"/>
    </xf>
    <xf numFmtId="0" fontId="6" fillId="13" borderId="1" xfId="0" applyFont="1" applyFill="1" applyBorder="1" applyAlignment="1">
      <alignment horizontal="center"/>
    </xf>
    <xf numFmtId="0" fontId="0" fillId="13" borderId="1" xfId="0" applyFill="1" applyBorder="1" applyAlignment="1">
      <alignment horizontal="center"/>
    </xf>
    <xf numFmtId="0" fontId="6" fillId="0" borderId="1" xfId="0" applyFont="1" applyBorder="1" applyAlignment="1">
      <alignment horizontal="center" vertical="center"/>
    </xf>
    <xf numFmtId="0" fontId="6" fillId="7" borderId="1" xfId="0" applyFont="1" applyFill="1" applyBorder="1" applyAlignment="1">
      <alignment horizontal="center"/>
    </xf>
    <xf numFmtId="0" fontId="0" fillId="7" borderId="1" xfId="0" applyFill="1" applyBorder="1" applyAlignment="1">
      <alignment horizontal="center"/>
    </xf>
    <xf numFmtId="0" fontId="11" fillId="9" borderId="1" xfId="0" applyFont="1" applyFill="1" applyBorder="1" applyAlignment="1">
      <alignment horizontal="center"/>
    </xf>
    <xf numFmtId="0" fontId="0" fillId="9" borderId="1" xfId="0" applyFill="1" applyBorder="1" applyAlignment="1">
      <alignment horizontal="center"/>
    </xf>
    <xf numFmtId="0" fontId="6" fillId="14" borderId="50" xfId="0" applyFont="1" applyFill="1" applyBorder="1" applyAlignment="1">
      <alignment horizontal="center"/>
    </xf>
    <xf numFmtId="0" fontId="6" fillId="14" borderId="51" xfId="0" applyFont="1" applyFill="1" applyBorder="1" applyAlignment="1">
      <alignment horizontal="center"/>
    </xf>
    <xf numFmtId="0" fontId="11" fillId="8" borderId="1" xfId="0" applyFont="1" applyFill="1" applyBorder="1" applyAlignment="1">
      <alignment horizontal="center"/>
    </xf>
    <xf numFmtId="0" fontId="6" fillId="11" borderId="49" xfId="0" applyFont="1" applyFill="1" applyBorder="1" applyAlignment="1">
      <alignment horizontal="center"/>
    </xf>
    <xf numFmtId="0" fontId="0" fillId="11" borderId="50" xfId="0" applyFill="1" applyBorder="1" applyAlignment="1">
      <alignment horizontal="center"/>
    </xf>
    <xf numFmtId="0" fontId="0" fillId="11" borderId="51" xfId="0" applyFill="1" applyBorder="1" applyAlignment="1">
      <alignment horizontal="center"/>
    </xf>
    <xf numFmtId="0" fontId="6" fillId="11" borderId="1" xfId="0" applyFont="1" applyFill="1" applyBorder="1" applyAlignment="1">
      <alignment horizontal="center"/>
    </xf>
    <xf numFmtId="0" fontId="0" fillId="11" borderId="1" xfId="0" applyFill="1" applyBorder="1" applyAlignment="1">
      <alignment horizontal="center"/>
    </xf>
    <xf numFmtId="0" fontId="6" fillId="11" borderId="50" xfId="0" applyFont="1" applyFill="1" applyBorder="1" applyAlignment="1">
      <alignment horizontal="center"/>
    </xf>
    <xf numFmtId="0" fontId="6" fillId="11" borderId="51" xfId="0" applyFont="1" applyFill="1" applyBorder="1" applyAlignment="1">
      <alignment horizontal="center"/>
    </xf>
    <xf numFmtId="0" fontId="6" fillId="13" borderId="51" xfId="0" applyFont="1" applyFill="1" applyBorder="1" applyAlignment="1">
      <alignment horizontal="center"/>
    </xf>
    <xf numFmtId="0" fontId="6" fillId="0" borderId="0" xfId="0" applyFont="1" applyAlignment="1">
      <alignment horizontal="center"/>
    </xf>
    <xf numFmtId="0" fontId="6" fillId="0" borderId="1" xfId="0" applyFont="1" applyBorder="1" applyAlignment="1">
      <alignment horizontal="center" textRotation="255"/>
    </xf>
    <xf numFmtId="0" fontId="0" fillId="0" borderId="1" xfId="0" applyBorder="1" applyAlignment="1">
      <alignment horizontal="center" textRotation="255"/>
    </xf>
    <xf numFmtId="1" fontId="0" fillId="0" borderId="49"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0" fontId="0" fillId="0" borderId="0" xfId="0" applyAlignment="1">
      <alignment horizontal="center"/>
    </xf>
    <xf numFmtId="0" fontId="6" fillId="0" borderId="1" xfId="0" applyFont="1" applyBorder="1" applyAlignment="1">
      <alignment horizontal="center" textRotation="45"/>
    </xf>
    <xf numFmtId="0" fontId="0" fillId="0" borderId="1" xfId="0" applyBorder="1" applyAlignment="1">
      <alignment horizontal="center" textRotation="45"/>
    </xf>
    <xf numFmtId="0" fontId="6" fillId="0" borderId="57" xfId="0" applyFont="1" applyBorder="1" applyAlignment="1">
      <alignment horizontal="center"/>
    </xf>
    <xf numFmtId="0" fontId="6" fillId="0" borderId="55" xfId="0" applyFont="1" applyBorder="1" applyAlignment="1">
      <alignment horizontal="center"/>
    </xf>
    <xf numFmtId="0" fontId="6" fillId="0" borderId="56" xfId="0" applyFont="1" applyBorder="1" applyAlignment="1">
      <alignment horizontal="center"/>
    </xf>
    <xf numFmtId="0" fontId="6" fillId="0" borderId="38" xfId="0" applyFont="1" applyBorder="1" applyAlignment="1">
      <alignment horizontal="center"/>
    </xf>
    <xf numFmtId="0" fontId="6" fillId="0" borderId="39" xfId="0" applyFont="1" applyBorder="1" applyAlignment="1">
      <alignment horizontal="center"/>
    </xf>
    <xf numFmtId="0" fontId="6" fillId="0" borderId="3" xfId="0" applyFont="1" applyBorder="1" applyAlignment="1">
      <alignment horizontal="center"/>
    </xf>
    <xf numFmtId="0" fontId="11" fillId="23" borderId="1" xfId="0" applyFont="1" applyFill="1" applyBorder="1" applyAlignment="1">
      <alignment horizontal="center"/>
    </xf>
    <xf numFmtId="164" fontId="11" fillId="8" borderId="1" xfId="0" applyNumberFormat="1" applyFont="1" applyFill="1" applyBorder="1" applyAlignment="1">
      <alignment horizontal="center"/>
    </xf>
    <xf numFmtId="0" fontId="6" fillId="22" borderId="0" xfId="0" applyFont="1" applyFill="1" applyAlignment="1">
      <alignment horizontal="center"/>
    </xf>
    <xf numFmtId="0" fontId="0" fillId="22" borderId="0" xfId="0" applyFill="1" applyAlignment="1">
      <alignment horizontal="center"/>
    </xf>
    <xf numFmtId="0" fontId="6" fillId="22" borderId="39" xfId="0" applyFont="1"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6" fillId="12" borderId="1" xfId="0" applyFont="1" applyFill="1" applyBorder="1" applyAlignment="1">
      <alignment horizontal="center"/>
    </xf>
    <xf numFmtId="0" fontId="6" fillId="0" borderId="1" xfId="0" applyFont="1" applyFill="1" applyBorder="1" applyAlignment="1">
      <alignment horizontal="center"/>
    </xf>
    <xf numFmtId="0" fontId="6" fillId="21" borderId="1" xfId="0" applyFont="1" applyFill="1" applyBorder="1" applyAlignment="1">
      <alignment horizontal="center"/>
    </xf>
    <xf numFmtId="164" fontId="0" fillId="0" borderId="1" xfId="0" applyNumberFormat="1" applyBorder="1" applyAlignment="1">
      <alignment horizontal="center"/>
    </xf>
    <xf numFmtId="164" fontId="0" fillId="12" borderId="1" xfId="0" applyNumberFormat="1" applyFill="1" applyBorder="1" applyAlignment="1">
      <alignment horizontal="center"/>
    </xf>
    <xf numFmtId="0" fontId="6" fillId="21" borderId="49" xfId="0" applyFont="1" applyFill="1" applyBorder="1" applyAlignment="1">
      <alignment horizontal="center"/>
    </xf>
    <xf numFmtId="0" fontId="6" fillId="21" borderId="50" xfId="0" applyFont="1" applyFill="1" applyBorder="1" applyAlignment="1">
      <alignment horizontal="center"/>
    </xf>
    <xf numFmtId="0" fontId="6" fillId="21" borderId="51" xfId="0" applyFont="1" applyFill="1" applyBorder="1" applyAlignment="1">
      <alignment horizontal="center"/>
    </xf>
    <xf numFmtId="0" fontId="0" fillId="24" borderId="0" xfId="0" applyFill="1"/>
    <xf numFmtId="0" fontId="6" fillId="24" borderId="0" xfId="0" applyFont="1" applyFill="1" applyAlignment="1">
      <alignment horizontal="center"/>
    </xf>
    <xf numFmtId="0" fontId="0" fillId="24" borderId="0" xfId="0" applyFill="1" applyAlignment="1">
      <alignment horizontal="center"/>
    </xf>
    <xf numFmtId="0" fontId="6" fillId="24" borderId="0" xfId="0" applyFont="1" applyFill="1" applyAlignment="1">
      <alignment horizontal="center"/>
    </xf>
    <xf numFmtId="0" fontId="0" fillId="24" borderId="0" xfId="0" applyFill="1" applyAlignment="1">
      <alignment horizontal="center"/>
    </xf>
    <xf numFmtId="0" fontId="0" fillId="24" borderId="0" xfId="0" applyFill="1" applyBorder="1"/>
    <xf numFmtId="0" fontId="0" fillId="24" borderId="55" xfId="0" applyFill="1" applyBorder="1" applyAlignment="1"/>
    <xf numFmtId="0" fontId="0" fillId="24" borderId="0" xfId="0" applyFill="1" applyBorder="1" applyAlignment="1"/>
    <xf numFmtId="164" fontId="0" fillId="24" borderId="0" xfId="0" applyNumberFormat="1" applyFill="1"/>
  </cellXfs>
  <cellStyles count="1">
    <cellStyle name="Normal" xfId="0" builtinId="0"/>
  </cellStyles>
  <dxfs count="0"/>
  <tableStyles count="0" defaultTableStyle="TableStyleMedium9" defaultPivotStyle="PivotStyleLight16"/>
  <colors>
    <mruColors>
      <color rgb="FFFF33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s-AR"/>
  <c:chart>
    <c:title>
      <c:tx>
        <c:rich>
          <a:bodyPr/>
          <a:lstStyle/>
          <a:p>
            <a:pPr>
              <a:defRPr sz="1100" b="1" i="0" u="none" strike="noStrike" baseline="0">
                <a:solidFill>
                  <a:srgbClr val="000000"/>
                </a:solidFill>
                <a:latin typeface="Arial"/>
                <a:ea typeface="Arial"/>
                <a:cs typeface="Arial"/>
              </a:defRPr>
            </a:pPr>
            <a:r>
              <a:rPr lang="es-AR"/>
              <a:t>PRONOSTICO DE VENTAS </a:t>
            </a:r>
          </a:p>
          <a:p>
            <a:pPr>
              <a:defRPr sz="1100" b="1" i="0" u="none" strike="noStrike" baseline="0">
                <a:solidFill>
                  <a:srgbClr val="000000"/>
                </a:solidFill>
                <a:latin typeface="Arial"/>
                <a:ea typeface="Arial"/>
                <a:cs typeface="Arial"/>
              </a:defRPr>
            </a:pPr>
            <a:r>
              <a:rPr lang="es-AR" sz="900"/>
              <a:t>(Grupo  Imes Pons)</a:t>
            </a:r>
          </a:p>
        </c:rich>
      </c:tx>
      <c:layout>
        <c:manualLayout>
          <c:xMode val="edge"/>
          <c:yMode val="edge"/>
          <c:x val="0.39760638297872464"/>
          <c:y val="3.2171623884184292E-2"/>
        </c:manualLayout>
      </c:layout>
      <c:spPr>
        <a:noFill/>
        <a:ln w="25400">
          <a:noFill/>
        </a:ln>
      </c:spPr>
    </c:title>
    <c:plotArea>
      <c:layout>
        <c:manualLayout>
          <c:layoutTarget val="inner"/>
          <c:xMode val="edge"/>
          <c:yMode val="edge"/>
          <c:x val="7.934583280356948E-2"/>
          <c:y val="0.18766780599107491"/>
          <c:w val="0.89530734681446666"/>
          <c:h val="0.65153558507889264"/>
        </c:manualLayout>
      </c:layout>
      <c:barChart>
        <c:barDir val="col"/>
        <c:grouping val="stacked"/>
        <c:ser>
          <c:idx val="0"/>
          <c:order val="0"/>
          <c:tx>
            <c:v>Producto A</c:v>
          </c:tx>
          <c:spPr>
            <a:solidFill>
              <a:srgbClr val="9999FF"/>
            </a:solidFill>
            <a:ln w="12700">
              <a:solidFill>
                <a:srgbClr val="000000"/>
              </a:solidFill>
              <a:prstDash val="solid"/>
            </a:ln>
          </c:spPr>
          <c:cat>
            <c:strRef>
              <c:f>Enunciado!$C$21:$N$21</c:f>
              <c:strCache>
                <c:ptCount val="12"/>
                <c:pt idx="0">
                  <c:v>Enero</c:v>
                </c:pt>
                <c:pt idx="1">
                  <c:v>Febrero</c:v>
                </c:pt>
                <c:pt idx="2">
                  <c:v>Marzo</c:v>
                </c:pt>
                <c:pt idx="3">
                  <c:v>Abril</c:v>
                </c:pt>
                <c:pt idx="4">
                  <c:v>Mayo</c:v>
                </c:pt>
                <c:pt idx="5">
                  <c:v>Junio</c:v>
                </c:pt>
                <c:pt idx="6">
                  <c:v>Julio</c:v>
                </c:pt>
                <c:pt idx="7">
                  <c:v>Agosto</c:v>
                </c:pt>
                <c:pt idx="8">
                  <c:v>Septiem.</c:v>
                </c:pt>
                <c:pt idx="9">
                  <c:v>Octubre</c:v>
                </c:pt>
                <c:pt idx="10">
                  <c:v>Noviembre</c:v>
                </c:pt>
                <c:pt idx="11">
                  <c:v>Diciembre</c:v>
                </c:pt>
              </c:strCache>
            </c:strRef>
          </c:cat>
          <c:val>
            <c:numRef>
              <c:f>Enunciado!$C$22:$N$22</c:f>
              <c:numCache>
                <c:formatCode>0</c:formatCode>
                <c:ptCount val="12"/>
                <c:pt idx="0">
                  <c:v>2000</c:v>
                </c:pt>
                <c:pt idx="1">
                  <c:v>2100</c:v>
                </c:pt>
                <c:pt idx="2">
                  <c:v>2100</c:v>
                </c:pt>
                <c:pt idx="3">
                  <c:v>2275</c:v>
                </c:pt>
                <c:pt idx="4">
                  <c:v>2300</c:v>
                </c:pt>
                <c:pt idx="5">
                  <c:v>1997.5</c:v>
                </c:pt>
                <c:pt idx="6">
                  <c:v>2730</c:v>
                </c:pt>
                <c:pt idx="7">
                  <c:v>2606.5</c:v>
                </c:pt>
                <c:pt idx="8">
                  <c:v>2730</c:v>
                </c:pt>
                <c:pt idx="9">
                  <c:v>2300</c:v>
                </c:pt>
                <c:pt idx="10">
                  <c:v>2325</c:v>
                </c:pt>
                <c:pt idx="11">
                  <c:v>1933.75</c:v>
                </c:pt>
              </c:numCache>
            </c:numRef>
          </c:val>
        </c:ser>
        <c:ser>
          <c:idx val="1"/>
          <c:order val="1"/>
          <c:tx>
            <c:v>Producto B</c:v>
          </c:tx>
          <c:spPr>
            <a:solidFill>
              <a:srgbClr val="993366"/>
            </a:solidFill>
            <a:ln w="12700">
              <a:solidFill>
                <a:srgbClr val="000000"/>
              </a:solidFill>
              <a:prstDash val="solid"/>
            </a:ln>
          </c:spPr>
          <c:cat>
            <c:strRef>
              <c:f>Enunciado!$C$21:$N$21</c:f>
              <c:strCache>
                <c:ptCount val="12"/>
                <c:pt idx="0">
                  <c:v>Enero</c:v>
                </c:pt>
                <c:pt idx="1">
                  <c:v>Febrero</c:v>
                </c:pt>
                <c:pt idx="2">
                  <c:v>Marzo</c:v>
                </c:pt>
                <c:pt idx="3">
                  <c:v>Abril</c:v>
                </c:pt>
                <c:pt idx="4">
                  <c:v>Mayo</c:v>
                </c:pt>
                <c:pt idx="5">
                  <c:v>Junio</c:v>
                </c:pt>
                <c:pt idx="6">
                  <c:v>Julio</c:v>
                </c:pt>
                <c:pt idx="7">
                  <c:v>Agosto</c:v>
                </c:pt>
                <c:pt idx="8">
                  <c:v>Septiem.</c:v>
                </c:pt>
                <c:pt idx="9">
                  <c:v>Octubre</c:v>
                </c:pt>
                <c:pt idx="10">
                  <c:v>Noviembre</c:v>
                </c:pt>
                <c:pt idx="11">
                  <c:v>Diciembre</c:v>
                </c:pt>
              </c:strCache>
            </c:strRef>
          </c:cat>
          <c:val>
            <c:numRef>
              <c:f>Enunciado!$C$23:$N$23</c:f>
              <c:numCache>
                <c:formatCode>0</c:formatCode>
                <c:ptCount val="12"/>
                <c:pt idx="0">
                  <c:v>500</c:v>
                </c:pt>
                <c:pt idx="1">
                  <c:v>650</c:v>
                </c:pt>
                <c:pt idx="2">
                  <c:v>800</c:v>
                </c:pt>
                <c:pt idx="3">
                  <c:v>600</c:v>
                </c:pt>
                <c:pt idx="4">
                  <c:v>690</c:v>
                </c:pt>
                <c:pt idx="5">
                  <c:v>700</c:v>
                </c:pt>
                <c:pt idx="6">
                  <c:v>550</c:v>
                </c:pt>
                <c:pt idx="7">
                  <c:v>1050</c:v>
                </c:pt>
                <c:pt idx="8">
                  <c:v>975</c:v>
                </c:pt>
                <c:pt idx="9">
                  <c:v>1025</c:v>
                </c:pt>
                <c:pt idx="10">
                  <c:v>600</c:v>
                </c:pt>
                <c:pt idx="11">
                  <c:v>650</c:v>
                </c:pt>
              </c:numCache>
            </c:numRef>
          </c:val>
        </c:ser>
        <c:overlap val="100"/>
        <c:axId val="87928832"/>
        <c:axId val="87930368"/>
      </c:barChart>
      <c:catAx>
        <c:axId val="87928832"/>
        <c:scaling>
          <c:orientation val="minMax"/>
        </c:scaling>
        <c:axPos val="b"/>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AR"/>
          </a:p>
        </c:txPr>
        <c:crossAx val="87930368"/>
        <c:crosses val="autoZero"/>
        <c:auto val="1"/>
        <c:lblAlgn val="ctr"/>
        <c:lblOffset val="100"/>
        <c:tickLblSkip val="1"/>
        <c:tickMarkSkip val="1"/>
      </c:catAx>
      <c:valAx>
        <c:axId val="87930368"/>
        <c:scaling>
          <c:orientation val="minMax"/>
        </c:scaling>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s-AR"/>
                  <a:t>Unidades</a:t>
                </a:r>
              </a:p>
            </c:rich>
          </c:tx>
          <c:layout>
            <c:manualLayout>
              <c:xMode val="edge"/>
              <c:yMode val="edge"/>
              <c:x val="7.4134612257208314E-3"/>
              <c:y val="0.4584457483355121"/>
            </c:manualLayout>
          </c:layout>
          <c:spPr>
            <a:noFill/>
            <a:ln w="25400">
              <a:noFill/>
            </a:ln>
          </c:spPr>
        </c:title>
        <c:numFmt formatCode="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AR"/>
          </a:p>
        </c:txPr>
        <c:crossAx val="87928832"/>
        <c:crosses val="autoZero"/>
        <c:crossBetween val="between"/>
      </c:valAx>
      <c:spPr>
        <a:solidFill>
          <a:srgbClr val="C0C0C0"/>
        </a:solidFill>
        <a:ln w="12700">
          <a:solidFill>
            <a:srgbClr val="808080"/>
          </a:solidFill>
          <a:prstDash val="solid"/>
        </a:ln>
      </c:spPr>
    </c:plotArea>
    <c:legend>
      <c:legendPos val="r"/>
      <c:layout>
        <c:manualLayout>
          <c:xMode val="edge"/>
          <c:yMode val="edge"/>
          <c:x val="0.59327334928045516"/>
          <c:y val="0.9134011491806765"/>
          <c:w val="0.30946886614764851"/>
          <c:h val="8.3465296567659192E-2"/>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AR"/>
        </a:p>
      </c:txPr>
    </c:legend>
    <c:plotVisOnly val="1"/>
    <c:dispBlanksAs val="gap"/>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s-AR"/>
    </a:p>
  </c:txPr>
  <c:printSettings>
    <c:headerFooter alignWithMargins="0"/>
    <c:pageMargins b="1" l="0.75000000000000178" r="0.75000000000000178" t="1" header="0" footer="0"/>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AR"/>
  <c:chart>
    <c:plotArea>
      <c:layout>
        <c:manualLayout>
          <c:layoutTarget val="inner"/>
          <c:xMode val="edge"/>
          <c:yMode val="edge"/>
          <c:x val="7.1895516614987512E-2"/>
          <c:y val="6.5822784810127002E-2"/>
          <c:w val="0.9098050829823876"/>
          <c:h val="0.82278481012658577"/>
        </c:manualLayout>
      </c:layout>
      <c:barChart>
        <c:barDir val="col"/>
        <c:grouping val="clustered"/>
        <c:ser>
          <c:idx val="0"/>
          <c:order val="0"/>
          <c:spPr>
            <a:solidFill>
              <a:srgbClr val="9999FF"/>
            </a:solidFill>
            <a:ln w="12700">
              <a:solidFill>
                <a:srgbClr val="000000"/>
              </a:solidFill>
              <a:prstDash val="solid"/>
            </a:ln>
          </c:spPr>
          <c:val>
            <c:numRef>
              <c:f>Enunciado!$C$22:$N$22</c:f>
              <c:numCache>
                <c:formatCode>0</c:formatCode>
                <c:ptCount val="12"/>
                <c:pt idx="0">
                  <c:v>2000</c:v>
                </c:pt>
                <c:pt idx="1">
                  <c:v>2100</c:v>
                </c:pt>
                <c:pt idx="2">
                  <c:v>2100</c:v>
                </c:pt>
                <c:pt idx="3">
                  <c:v>2275</c:v>
                </c:pt>
                <c:pt idx="4">
                  <c:v>2300</c:v>
                </c:pt>
                <c:pt idx="5">
                  <c:v>1997.5</c:v>
                </c:pt>
                <c:pt idx="6">
                  <c:v>2730</c:v>
                </c:pt>
                <c:pt idx="7">
                  <c:v>2606.5</c:v>
                </c:pt>
                <c:pt idx="8">
                  <c:v>2730</c:v>
                </c:pt>
                <c:pt idx="9">
                  <c:v>2300</c:v>
                </c:pt>
                <c:pt idx="10">
                  <c:v>2325</c:v>
                </c:pt>
                <c:pt idx="11">
                  <c:v>1933.75</c:v>
                </c:pt>
              </c:numCache>
            </c:numRef>
          </c:val>
        </c:ser>
        <c:ser>
          <c:idx val="1"/>
          <c:order val="1"/>
          <c:spPr>
            <a:solidFill>
              <a:srgbClr val="993366"/>
            </a:solidFill>
            <a:ln w="12700">
              <a:solidFill>
                <a:srgbClr val="000000"/>
              </a:solidFill>
              <a:prstDash val="solid"/>
            </a:ln>
          </c:spPr>
          <c:val>
            <c:numRef>
              <c:f>Enunciado!$C$28:$N$28</c:f>
              <c:numCache>
                <c:formatCode>0</c:formatCode>
                <c:ptCount val="12"/>
                <c:pt idx="0">
                  <c:v>2019.6000000000001</c:v>
                </c:pt>
                <c:pt idx="1">
                  <c:v>2120.58</c:v>
                </c:pt>
                <c:pt idx="2">
                  <c:v>2120.58</c:v>
                </c:pt>
                <c:pt idx="3">
                  <c:v>2297.2950000000001</c:v>
                </c:pt>
                <c:pt idx="4">
                  <c:v>2322.54</c:v>
                </c:pt>
                <c:pt idx="5">
                  <c:v>2017.0755000000001</c:v>
                </c:pt>
                <c:pt idx="6">
                  <c:v>2756.7539999999999</c:v>
                </c:pt>
                <c:pt idx="7">
                  <c:v>2632.0437000000002</c:v>
                </c:pt>
                <c:pt idx="8">
                  <c:v>2756.7539999999999</c:v>
                </c:pt>
                <c:pt idx="9">
                  <c:v>2322.54</c:v>
                </c:pt>
                <c:pt idx="10">
                  <c:v>2347.7849999999999</c:v>
                </c:pt>
                <c:pt idx="11">
                  <c:v>1952.70075</c:v>
                </c:pt>
              </c:numCache>
            </c:numRef>
          </c:val>
        </c:ser>
        <c:ser>
          <c:idx val="2"/>
          <c:order val="2"/>
          <c:spPr>
            <a:solidFill>
              <a:srgbClr val="FFFFCC"/>
            </a:solidFill>
            <a:ln w="12700">
              <a:solidFill>
                <a:srgbClr val="000000"/>
              </a:solidFill>
              <a:prstDash val="solid"/>
            </a:ln>
          </c:spPr>
          <c:val>
            <c:numRef>
              <c:f>Enunciado!$C$34:$N$34</c:f>
              <c:numCache>
                <c:formatCode>0</c:formatCode>
                <c:ptCount val="12"/>
                <c:pt idx="0">
                  <c:v>1999.4040000000002</c:v>
                </c:pt>
                <c:pt idx="1">
                  <c:v>2099.3741999999997</c:v>
                </c:pt>
                <c:pt idx="2">
                  <c:v>2099.3741999999997</c:v>
                </c:pt>
                <c:pt idx="3">
                  <c:v>2274.3220500000002</c:v>
                </c:pt>
                <c:pt idx="4">
                  <c:v>2299.3146000000002</c:v>
                </c:pt>
                <c:pt idx="5">
                  <c:v>1996.904745</c:v>
                </c:pt>
                <c:pt idx="6">
                  <c:v>2729.1864599999999</c:v>
                </c:pt>
                <c:pt idx="7">
                  <c:v>2605.7232630000003</c:v>
                </c:pt>
                <c:pt idx="8">
                  <c:v>2729.1864599999999</c:v>
                </c:pt>
                <c:pt idx="9">
                  <c:v>2299.3146000000002</c:v>
                </c:pt>
                <c:pt idx="10">
                  <c:v>2324.3071499999996</c:v>
                </c:pt>
                <c:pt idx="11">
                  <c:v>1933.1737424999999</c:v>
                </c:pt>
              </c:numCache>
            </c:numRef>
          </c:val>
        </c:ser>
        <c:ser>
          <c:idx val="3"/>
          <c:order val="3"/>
          <c:spPr>
            <a:solidFill>
              <a:srgbClr val="CCFFFF"/>
            </a:solidFill>
            <a:ln w="12700">
              <a:solidFill>
                <a:srgbClr val="000000"/>
              </a:solidFill>
              <a:prstDash val="solid"/>
            </a:ln>
          </c:spPr>
          <c:val>
            <c:numRef>
              <c:f>Enunciado!$C$40:$N$40</c:f>
              <c:numCache>
                <c:formatCode>0</c:formatCode>
                <c:ptCount val="12"/>
                <c:pt idx="0">
                  <c:v>1979.4099600000002</c:v>
                </c:pt>
                <c:pt idx="1">
                  <c:v>2078.3804579999996</c:v>
                </c:pt>
                <c:pt idx="2">
                  <c:v>2078.3804579999996</c:v>
                </c:pt>
                <c:pt idx="3">
                  <c:v>2251.5788295000002</c:v>
                </c:pt>
                <c:pt idx="4">
                  <c:v>2276.3214540000004</c:v>
                </c:pt>
                <c:pt idx="5">
                  <c:v>1976.93569755</c:v>
                </c:pt>
                <c:pt idx="6">
                  <c:v>2701.8945954000001</c:v>
                </c:pt>
                <c:pt idx="7">
                  <c:v>2579.6660303700005</c:v>
                </c:pt>
                <c:pt idx="8">
                  <c:v>2701.8945954000001</c:v>
                </c:pt>
                <c:pt idx="9">
                  <c:v>2276.3214540000004</c:v>
                </c:pt>
                <c:pt idx="10">
                  <c:v>2301.0640784999996</c:v>
                </c:pt>
                <c:pt idx="11">
                  <c:v>1913.8420050749999</c:v>
                </c:pt>
              </c:numCache>
            </c:numRef>
          </c:val>
        </c:ser>
        <c:ser>
          <c:idx val="4"/>
          <c:order val="4"/>
          <c:spPr>
            <a:solidFill>
              <a:srgbClr val="660066"/>
            </a:solidFill>
            <a:ln w="12700">
              <a:solidFill>
                <a:srgbClr val="000000"/>
              </a:solidFill>
              <a:prstDash val="solid"/>
            </a:ln>
          </c:spPr>
          <c:val>
            <c:numRef>
              <c:f>Enunciado!$C$46:$N$46</c:f>
              <c:numCache>
                <c:formatCode>0</c:formatCode>
                <c:ptCount val="12"/>
                <c:pt idx="0">
                  <c:v>2009.1011094</c:v>
                </c:pt>
                <c:pt idx="1">
                  <c:v>2109.5561648699995</c:v>
                </c:pt>
                <c:pt idx="2">
                  <c:v>2109.5561648699995</c:v>
                </c:pt>
                <c:pt idx="3">
                  <c:v>2285.3525119424999</c:v>
                </c:pt>
                <c:pt idx="4">
                  <c:v>2310.4662758100003</c:v>
                </c:pt>
                <c:pt idx="5">
                  <c:v>2006.5897330132498</c:v>
                </c:pt>
                <c:pt idx="6">
                  <c:v>2742.4230143309996</c:v>
                </c:pt>
                <c:pt idx="7">
                  <c:v>2618.3610208255504</c:v>
                </c:pt>
                <c:pt idx="8">
                  <c:v>2742.4230143309996</c:v>
                </c:pt>
                <c:pt idx="9">
                  <c:v>2310.4662758100003</c:v>
                </c:pt>
                <c:pt idx="10">
                  <c:v>2335.5800396774994</c:v>
                </c:pt>
                <c:pt idx="11">
                  <c:v>1942.5496351511247</c:v>
                </c:pt>
              </c:numCache>
            </c:numRef>
          </c:val>
        </c:ser>
        <c:ser>
          <c:idx val="5"/>
          <c:order val="5"/>
          <c:spPr>
            <a:solidFill>
              <a:srgbClr val="FF8080"/>
            </a:solidFill>
            <a:ln w="12700">
              <a:solidFill>
                <a:srgbClr val="000000"/>
              </a:solidFill>
              <a:prstDash val="solid"/>
            </a:ln>
          </c:spPr>
          <c:val>
            <c:numRef>
              <c:f>Hoja1!#REF!</c:f>
              <c:numCache>
                <c:formatCode>0</c:formatCode>
                <c:ptCount val="12"/>
                <c:pt idx="0">
                  <c:v>2028.7981790999997</c:v>
                </c:pt>
                <c:pt idx="1">
                  <c:v>2130.2380880549936</c:v>
                </c:pt>
                <c:pt idx="2">
                  <c:v>2130.2380880549936</c:v>
                </c:pt>
                <c:pt idx="3">
                  <c:v>2307.7579287262497</c:v>
                </c:pt>
                <c:pt idx="4">
                  <c:v>2333.1179059649999</c:v>
                </c:pt>
                <c:pt idx="5">
                  <c:v>2026.262181376125</c:v>
                </c:pt>
                <c:pt idx="6">
                  <c:v>2769.3095144715076</c:v>
                </c:pt>
                <c:pt idx="7">
                  <c:v>2644.0312269120805</c:v>
                </c:pt>
                <c:pt idx="8">
                  <c:v>2769.3095144715076</c:v>
                </c:pt>
                <c:pt idx="9">
                  <c:v>2333.1179059649999</c:v>
                </c:pt>
                <c:pt idx="10">
                  <c:v>2358.4778832037496</c:v>
                </c:pt>
                <c:pt idx="11">
                  <c:v>1961.5942394173076</c:v>
                </c:pt>
              </c:numCache>
            </c:numRef>
          </c:val>
        </c:ser>
        <c:axId val="88492288"/>
        <c:axId val="88514560"/>
      </c:barChart>
      <c:catAx>
        <c:axId val="88492288"/>
        <c:scaling>
          <c:orientation val="minMax"/>
        </c:scaling>
        <c:axPos val="b"/>
        <c:numFmt formatCode="General" sourceLinked="1"/>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s-AR"/>
          </a:p>
        </c:txPr>
        <c:crossAx val="88514560"/>
        <c:crosses val="autoZero"/>
        <c:auto val="1"/>
        <c:lblAlgn val="ctr"/>
        <c:lblOffset val="100"/>
        <c:tickLblSkip val="1"/>
        <c:tickMarkSkip val="1"/>
      </c:catAx>
      <c:valAx>
        <c:axId val="88514560"/>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s-AR"/>
          </a:p>
        </c:txPr>
        <c:crossAx val="88492288"/>
        <c:crosses val="autoZero"/>
        <c:crossBetween val="between"/>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s-AR"/>
    </a:p>
  </c:txPr>
  <c:printSettings>
    <c:headerFooter alignWithMargins="0"/>
    <c:pageMargins b="1" l="0.75000000000000178" r="0.75000000000000178"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AR"/>
  <c:chart>
    <c:plotArea>
      <c:layout>
        <c:manualLayout>
          <c:layoutTarget val="inner"/>
          <c:xMode val="edge"/>
          <c:yMode val="edge"/>
          <c:x val="7.1989528795811525E-2"/>
          <c:y val="6.8241644730265547E-2"/>
          <c:w val="0.90968586387434569"/>
          <c:h val="0.81627505811971701"/>
        </c:manualLayout>
      </c:layout>
      <c:barChart>
        <c:barDir val="col"/>
        <c:grouping val="clustered"/>
        <c:ser>
          <c:idx val="0"/>
          <c:order val="0"/>
          <c:spPr>
            <a:solidFill>
              <a:srgbClr val="9999FF"/>
            </a:solidFill>
            <a:ln w="12700">
              <a:solidFill>
                <a:srgbClr val="000000"/>
              </a:solidFill>
              <a:prstDash val="solid"/>
            </a:ln>
          </c:spPr>
          <c:val>
            <c:numRef>
              <c:f>Enunciado!$C$23:$N$23</c:f>
              <c:numCache>
                <c:formatCode>0</c:formatCode>
                <c:ptCount val="12"/>
                <c:pt idx="0">
                  <c:v>500</c:v>
                </c:pt>
                <c:pt idx="1">
                  <c:v>650</c:v>
                </c:pt>
                <c:pt idx="2">
                  <c:v>800</c:v>
                </c:pt>
                <c:pt idx="3">
                  <c:v>600</c:v>
                </c:pt>
                <c:pt idx="4">
                  <c:v>690</c:v>
                </c:pt>
                <c:pt idx="5">
                  <c:v>700</c:v>
                </c:pt>
                <c:pt idx="6">
                  <c:v>550</c:v>
                </c:pt>
                <c:pt idx="7">
                  <c:v>1050</c:v>
                </c:pt>
                <c:pt idx="8">
                  <c:v>975</c:v>
                </c:pt>
                <c:pt idx="9">
                  <c:v>1025</c:v>
                </c:pt>
                <c:pt idx="10">
                  <c:v>600</c:v>
                </c:pt>
                <c:pt idx="11">
                  <c:v>650</c:v>
                </c:pt>
              </c:numCache>
            </c:numRef>
          </c:val>
        </c:ser>
        <c:ser>
          <c:idx val="1"/>
          <c:order val="1"/>
          <c:spPr>
            <a:solidFill>
              <a:srgbClr val="993366"/>
            </a:solidFill>
            <a:ln w="12700">
              <a:solidFill>
                <a:srgbClr val="000000"/>
              </a:solidFill>
              <a:prstDash val="solid"/>
            </a:ln>
          </c:spPr>
          <c:val>
            <c:numRef>
              <c:f>Enunciado!$C$29:$N$29</c:f>
              <c:numCache>
                <c:formatCode>0</c:formatCode>
                <c:ptCount val="12"/>
                <c:pt idx="0">
                  <c:v>504.90000000000003</c:v>
                </c:pt>
                <c:pt idx="1">
                  <c:v>656.37</c:v>
                </c:pt>
                <c:pt idx="2">
                  <c:v>807.84</c:v>
                </c:pt>
                <c:pt idx="3">
                  <c:v>605.88</c:v>
                </c:pt>
                <c:pt idx="4">
                  <c:v>696.76200000000006</c:v>
                </c:pt>
                <c:pt idx="5">
                  <c:v>706.86</c:v>
                </c:pt>
                <c:pt idx="6">
                  <c:v>555.39</c:v>
                </c:pt>
                <c:pt idx="7">
                  <c:v>1060.29</c:v>
                </c:pt>
                <c:pt idx="8">
                  <c:v>984.55500000000006</c:v>
                </c:pt>
                <c:pt idx="9">
                  <c:v>1035.0450000000001</c:v>
                </c:pt>
                <c:pt idx="10">
                  <c:v>605.88</c:v>
                </c:pt>
                <c:pt idx="11">
                  <c:v>656.37</c:v>
                </c:pt>
              </c:numCache>
            </c:numRef>
          </c:val>
        </c:ser>
        <c:ser>
          <c:idx val="2"/>
          <c:order val="2"/>
          <c:spPr>
            <a:solidFill>
              <a:srgbClr val="FFFFCC"/>
            </a:solidFill>
            <a:ln w="12700">
              <a:solidFill>
                <a:srgbClr val="000000"/>
              </a:solidFill>
              <a:prstDash val="solid"/>
            </a:ln>
          </c:spPr>
          <c:val>
            <c:numRef>
              <c:f>Enunciado!$C$35:$N$35</c:f>
              <c:numCache>
                <c:formatCode>0</c:formatCode>
                <c:ptCount val="12"/>
                <c:pt idx="0">
                  <c:v>499.85100000000006</c:v>
                </c:pt>
                <c:pt idx="1">
                  <c:v>649.80629999999996</c:v>
                </c:pt>
                <c:pt idx="2">
                  <c:v>799.76160000000004</c:v>
                </c:pt>
                <c:pt idx="3">
                  <c:v>599.82119999999998</c:v>
                </c:pt>
                <c:pt idx="4">
                  <c:v>689.79438000000005</c:v>
                </c:pt>
                <c:pt idx="5">
                  <c:v>699.79139999999995</c:v>
                </c:pt>
                <c:pt idx="6">
                  <c:v>549.83609999999999</c:v>
                </c:pt>
                <c:pt idx="7">
                  <c:v>1049.6870999999999</c:v>
                </c:pt>
                <c:pt idx="8">
                  <c:v>974.70945000000006</c:v>
                </c:pt>
                <c:pt idx="9">
                  <c:v>1024.6945500000002</c:v>
                </c:pt>
                <c:pt idx="10">
                  <c:v>599.82119999999998</c:v>
                </c:pt>
                <c:pt idx="11">
                  <c:v>649.80629999999996</c:v>
                </c:pt>
              </c:numCache>
            </c:numRef>
          </c:val>
        </c:ser>
        <c:ser>
          <c:idx val="3"/>
          <c:order val="3"/>
          <c:spPr>
            <a:solidFill>
              <a:srgbClr val="CCFFFF"/>
            </a:solidFill>
            <a:ln w="12700">
              <a:solidFill>
                <a:srgbClr val="000000"/>
              </a:solidFill>
              <a:prstDash val="solid"/>
            </a:ln>
          </c:spPr>
          <c:val>
            <c:numRef>
              <c:f>Enunciado!$C$41:$N$41</c:f>
              <c:numCache>
                <c:formatCode>0</c:formatCode>
                <c:ptCount val="12"/>
                <c:pt idx="0">
                  <c:v>494.85249000000005</c:v>
                </c:pt>
                <c:pt idx="1">
                  <c:v>643.30823699999996</c:v>
                </c:pt>
                <c:pt idx="2">
                  <c:v>791.76398400000005</c:v>
                </c:pt>
                <c:pt idx="3">
                  <c:v>593.82298800000001</c:v>
                </c:pt>
                <c:pt idx="4">
                  <c:v>682.89643620000004</c:v>
                </c:pt>
                <c:pt idx="5">
                  <c:v>692.79348599999992</c:v>
                </c:pt>
                <c:pt idx="6">
                  <c:v>544.33773899999994</c:v>
                </c:pt>
                <c:pt idx="7">
                  <c:v>1039.1902289999998</c:v>
                </c:pt>
                <c:pt idx="8">
                  <c:v>964.96235550000006</c:v>
                </c:pt>
                <c:pt idx="9">
                  <c:v>1014.4476045000001</c:v>
                </c:pt>
                <c:pt idx="10">
                  <c:v>593.82298800000001</c:v>
                </c:pt>
                <c:pt idx="11">
                  <c:v>643.30823699999996</c:v>
                </c:pt>
              </c:numCache>
            </c:numRef>
          </c:val>
        </c:ser>
        <c:ser>
          <c:idx val="4"/>
          <c:order val="4"/>
          <c:spPr>
            <a:solidFill>
              <a:srgbClr val="660066"/>
            </a:solidFill>
            <a:ln w="12700">
              <a:solidFill>
                <a:srgbClr val="000000"/>
              </a:solidFill>
              <a:prstDash val="solid"/>
            </a:ln>
          </c:spPr>
          <c:val>
            <c:numRef>
              <c:f>Enunciado!$C$47:$N$47</c:f>
              <c:numCache>
                <c:formatCode>0</c:formatCode>
                <c:ptCount val="12"/>
                <c:pt idx="0">
                  <c:v>502.27527735000001</c:v>
                </c:pt>
                <c:pt idx="1">
                  <c:v>652.95786055499991</c:v>
                </c:pt>
                <c:pt idx="2">
                  <c:v>803.64044375999993</c:v>
                </c:pt>
                <c:pt idx="3">
                  <c:v>602.73033281999994</c:v>
                </c:pt>
                <c:pt idx="4">
                  <c:v>693.13988274299993</c:v>
                </c:pt>
                <c:pt idx="5">
                  <c:v>703.18538828999988</c:v>
                </c:pt>
                <c:pt idx="6">
                  <c:v>552.50280508499986</c:v>
                </c:pt>
                <c:pt idx="7">
                  <c:v>1054.7780824349998</c:v>
                </c:pt>
                <c:pt idx="8">
                  <c:v>979.43679083249992</c:v>
                </c:pt>
                <c:pt idx="9">
                  <c:v>1029.6643185675</c:v>
                </c:pt>
                <c:pt idx="10">
                  <c:v>602.73033281999994</c:v>
                </c:pt>
                <c:pt idx="11">
                  <c:v>652.95786055499991</c:v>
                </c:pt>
              </c:numCache>
            </c:numRef>
          </c:val>
        </c:ser>
        <c:ser>
          <c:idx val="5"/>
          <c:order val="5"/>
          <c:spPr>
            <a:solidFill>
              <a:srgbClr val="FF8080"/>
            </a:solidFill>
            <a:ln w="12700">
              <a:solidFill>
                <a:srgbClr val="000000"/>
              </a:solidFill>
              <a:prstDash val="solid"/>
            </a:ln>
          </c:spPr>
          <c:val>
            <c:numRef>
              <c:f>Hoja1!#REF!</c:f>
              <c:numCache>
                <c:formatCode>0</c:formatCode>
                <c:ptCount val="12"/>
                <c:pt idx="0">
                  <c:v>507.19954477499994</c:v>
                </c:pt>
                <c:pt idx="1">
                  <c:v>659.3594082075</c:v>
                </c:pt>
                <c:pt idx="2">
                  <c:v>811.51927163999994</c:v>
                </c:pt>
                <c:pt idx="3">
                  <c:v>608.6394537299999</c:v>
                </c:pt>
                <c:pt idx="4">
                  <c:v>699.93537178949998</c:v>
                </c:pt>
                <c:pt idx="5">
                  <c:v>710.07936268500009</c:v>
                </c:pt>
                <c:pt idx="6">
                  <c:v>557.91949925250003</c:v>
                </c:pt>
                <c:pt idx="7">
                  <c:v>1065.1190440274968</c:v>
                </c:pt>
                <c:pt idx="8">
                  <c:v>989.03911231124948</c:v>
                </c:pt>
                <c:pt idx="9">
                  <c:v>1039.7590667887528</c:v>
                </c:pt>
                <c:pt idx="10">
                  <c:v>608.6394537299999</c:v>
                </c:pt>
                <c:pt idx="11">
                  <c:v>659.3594082075</c:v>
                </c:pt>
              </c:numCache>
            </c:numRef>
          </c:val>
        </c:ser>
        <c:axId val="98585216"/>
        <c:axId val="98587008"/>
      </c:barChart>
      <c:catAx>
        <c:axId val="98585216"/>
        <c:scaling>
          <c:orientation val="minMax"/>
        </c:scaling>
        <c:axPos val="b"/>
        <c:numFmt formatCode="General" sourceLinked="1"/>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s-AR"/>
          </a:p>
        </c:txPr>
        <c:crossAx val="98587008"/>
        <c:crosses val="autoZero"/>
        <c:auto val="1"/>
        <c:lblAlgn val="ctr"/>
        <c:lblOffset val="100"/>
        <c:tickLblSkip val="1"/>
        <c:tickMarkSkip val="1"/>
      </c:catAx>
      <c:valAx>
        <c:axId val="98587008"/>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s-AR"/>
          </a:p>
        </c:txPr>
        <c:crossAx val="98585216"/>
        <c:crosses val="autoZero"/>
        <c:crossBetween val="between"/>
      </c:valAx>
      <c:spPr>
        <a:solidFill>
          <a:srgbClr val="C0C0C0"/>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s-AR"/>
    </a:p>
  </c:txPr>
  <c:printSettings>
    <c:headerFooter alignWithMargins="0"/>
    <c:pageMargins b="1" l="0.75000000000000178" r="0.75000000000000178"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AR"/>
  <c:chart>
    <c:plotArea>
      <c:layout/>
      <c:scatterChart>
        <c:scatterStyle val="smoothMarker"/>
        <c:ser>
          <c:idx val="0"/>
          <c:order val="0"/>
          <c:tx>
            <c:v>Pronostico de Ventas</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Enunciado!$C$28:$N$28</c:f>
              <c:numCache>
                <c:formatCode>0</c:formatCode>
                <c:ptCount val="12"/>
                <c:pt idx="0">
                  <c:v>2019.6000000000001</c:v>
                </c:pt>
                <c:pt idx="1">
                  <c:v>2120.58</c:v>
                </c:pt>
                <c:pt idx="2">
                  <c:v>2120.58</c:v>
                </c:pt>
                <c:pt idx="3">
                  <c:v>2297.2950000000001</c:v>
                </c:pt>
                <c:pt idx="4">
                  <c:v>2322.54</c:v>
                </c:pt>
                <c:pt idx="5">
                  <c:v>2017.0755000000001</c:v>
                </c:pt>
                <c:pt idx="6">
                  <c:v>2756.7539999999999</c:v>
                </c:pt>
                <c:pt idx="7">
                  <c:v>2632.0437000000002</c:v>
                </c:pt>
                <c:pt idx="8">
                  <c:v>2756.7539999999999</c:v>
                </c:pt>
                <c:pt idx="9">
                  <c:v>2322.54</c:v>
                </c:pt>
                <c:pt idx="10">
                  <c:v>2347.7849999999999</c:v>
                </c:pt>
                <c:pt idx="11">
                  <c:v>1952.70075</c:v>
                </c:pt>
              </c:numCache>
            </c:numRef>
          </c:yVal>
          <c:smooth val="1"/>
        </c:ser>
        <c:ser>
          <c:idx val="1"/>
          <c:order val="1"/>
          <c:tx>
            <c:v>Producción Planificada</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Hoja4!$C$16:$N$16</c:f>
              <c:numCache>
                <c:formatCode>General</c:formatCode>
                <c:ptCount val="12"/>
                <c:pt idx="0">
                  <c:v>2320</c:v>
                </c:pt>
                <c:pt idx="1">
                  <c:v>2320</c:v>
                </c:pt>
                <c:pt idx="2">
                  <c:v>2320</c:v>
                </c:pt>
                <c:pt idx="3">
                  <c:v>2320</c:v>
                </c:pt>
                <c:pt idx="4">
                  <c:v>2320</c:v>
                </c:pt>
                <c:pt idx="5">
                  <c:v>2320</c:v>
                </c:pt>
                <c:pt idx="6">
                  <c:v>2320</c:v>
                </c:pt>
                <c:pt idx="7">
                  <c:v>2320</c:v>
                </c:pt>
                <c:pt idx="8">
                  <c:v>2560</c:v>
                </c:pt>
                <c:pt idx="9">
                  <c:v>2320</c:v>
                </c:pt>
                <c:pt idx="10">
                  <c:v>2320</c:v>
                </c:pt>
                <c:pt idx="11">
                  <c:v>1920</c:v>
                </c:pt>
              </c:numCache>
            </c:numRef>
          </c:yVal>
          <c:smooth val="1"/>
        </c:ser>
        <c:axId val="100228096"/>
        <c:axId val="100233984"/>
      </c:scatterChart>
      <c:valAx>
        <c:axId val="100228096"/>
        <c:scaling>
          <c:orientation val="minMax"/>
        </c:scaling>
        <c:axPos val="b"/>
        <c:tickLblPos val="nextTo"/>
        <c:crossAx val="100233984"/>
        <c:crosses val="autoZero"/>
        <c:crossBetween val="midCat"/>
      </c:valAx>
      <c:valAx>
        <c:axId val="100233984"/>
        <c:scaling>
          <c:orientation val="minMax"/>
        </c:scaling>
        <c:axPos val="l"/>
        <c:majorGridlines/>
        <c:numFmt formatCode="0" sourceLinked="1"/>
        <c:tickLblPos val="nextTo"/>
        <c:crossAx val="100228096"/>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AR"/>
  <c:chart>
    <c:plotArea>
      <c:layout/>
      <c:scatterChart>
        <c:scatterStyle val="smoothMarker"/>
        <c:ser>
          <c:idx val="0"/>
          <c:order val="0"/>
          <c:tx>
            <c:v>Pronostico de Ventas</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Enunciado!$C$29:$N$29</c:f>
              <c:numCache>
                <c:formatCode>0</c:formatCode>
                <c:ptCount val="12"/>
                <c:pt idx="0">
                  <c:v>504.90000000000003</c:v>
                </c:pt>
                <c:pt idx="1">
                  <c:v>656.37</c:v>
                </c:pt>
                <c:pt idx="2">
                  <c:v>807.84</c:v>
                </c:pt>
                <c:pt idx="3">
                  <c:v>605.88</c:v>
                </c:pt>
                <c:pt idx="4">
                  <c:v>696.76200000000006</c:v>
                </c:pt>
                <c:pt idx="5">
                  <c:v>706.86</c:v>
                </c:pt>
                <c:pt idx="6">
                  <c:v>555.39</c:v>
                </c:pt>
                <c:pt idx="7">
                  <c:v>1060.29</c:v>
                </c:pt>
                <c:pt idx="8">
                  <c:v>984.55500000000006</c:v>
                </c:pt>
                <c:pt idx="9">
                  <c:v>1035.0450000000001</c:v>
                </c:pt>
                <c:pt idx="10">
                  <c:v>605.88</c:v>
                </c:pt>
                <c:pt idx="11">
                  <c:v>656.37</c:v>
                </c:pt>
              </c:numCache>
            </c:numRef>
          </c:yVal>
          <c:smooth val="1"/>
        </c:ser>
        <c:ser>
          <c:idx val="1"/>
          <c:order val="1"/>
          <c:tx>
            <c:v>Producción Planificada</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Hoja4!$C$20:$N$20</c:f>
              <c:numCache>
                <c:formatCode>General</c:formatCode>
                <c:ptCount val="12"/>
                <c:pt idx="0">
                  <c:v>630</c:v>
                </c:pt>
                <c:pt idx="1">
                  <c:v>630</c:v>
                </c:pt>
                <c:pt idx="2">
                  <c:v>880</c:v>
                </c:pt>
                <c:pt idx="3">
                  <c:v>630</c:v>
                </c:pt>
                <c:pt idx="4">
                  <c:v>630</c:v>
                </c:pt>
                <c:pt idx="5">
                  <c:v>630</c:v>
                </c:pt>
                <c:pt idx="6">
                  <c:v>720</c:v>
                </c:pt>
                <c:pt idx="7">
                  <c:v>990</c:v>
                </c:pt>
                <c:pt idx="8">
                  <c:v>990</c:v>
                </c:pt>
                <c:pt idx="9">
                  <c:v>990</c:v>
                </c:pt>
                <c:pt idx="10">
                  <c:v>540</c:v>
                </c:pt>
                <c:pt idx="11">
                  <c:v>630</c:v>
                </c:pt>
              </c:numCache>
            </c:numRef>
          </c:yVal>
          <c:smooth val="1"/>
        </c:ser>
        <c:axId val="92996352"/>
        <c:axId val="92997888"/>
      </c:scatterChart>
      <c:valAx>
        <c:axId val="92996352"/>
        <c:scaling>
          <c:orientation val="minMax"/>
        </c:scaling>
        <c:axPos val="b"/>
        <c:tickLblPos val="nextTo"/>
        <c:crossAx val="92997888"/>
        <c:crosses val="autoZero"/>
        <c:crossBetween val="midCat"/>
      </c:valAx>
      <c:valAx>
        <c:axId val="92997888"/>
        <c:scaling>
          <c:orientation val="minMax"/>
        </c:scaling>
        <c:axPos val="l"/>
        <c:majorGridlines/>
        <c:numFmt formatCode="0" sourceLinked="1"/>
        <c:tickLblPos val="nextTo"/>
        <c:crossAx val="92996352"/>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AR"/>
  <c:chart>
    <c:title>
      <c:tx>
        <c:rich>
          <a:bodyPr/>
          <a:lstStyle/>
          <a:p>
            <a:pPr>
              <a:defRPr/>
            </a:pPr>
            <a:r>
              <a:rPr lang="es-AR"/>
              <a:t>Curvas</a:t>
            </a:r>
            <a:r>
              <a:rPr lang="es-AR" baseline="0"/>
              <a:t> de Producción y Ventas para el producto A</a:t>
            </a:r>
            <a:endParaRPr lang="es-AR"/>
          </a:p>
        </c:rich>
      </c:tx>
      <c:layout/>
    </c:title>
    <c:plotArea>
      <c:layout/>
      <c:scatterChart>
        <c:scatterStyle val="smoothMarker"/>
        <c:ser>
          <c:idx val="0"/>
          <c:order val="0"/>
          <c:tx>
            <c:v>Pronostico de Ventas</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Enunciado!$C$28:$N$28</c:f>
              <c:numCache>
                <c:formatCode>0</c:formatCode>
                <c:ptCount val="12"/>
                <c:pt idx="0">
                  <c:v>2019.6000000000001</c:v>
                </c:pt>
                <c:pt idx="1">
                  <c:v>2120.58</c:v>
                </c:pt>
                <c:pt idx="2">
                  <c:v>2120.58</c:v>
                </c:pt>
                <c:pt idx="3">
                  <c:v>2297.2950000000001</c:v>
                </c:pt>
                <c:pt idx="4">
                  <c:v>2322.54</c:v>
                </c:pt>
                <c:pt idx="5">
                  <c:v>2017.0755000000001</c:v>
                </c:pt>
                <c:pt idx="6">
                  <c:v>2756.7539999999999</c:v>
                </c:pt>
                <c:pt idx="7">
                  <c:v>2632.0437000000002</c:v>
                </c:pt>
                <c:pt idx="8">
                  <c:v>2756.7539999999999</c:v>
                </c:pt>
                <c:pt idx="9">
                  <c:v>2322.54</c:v>
                </c:pt>
                <c:pt idx="10">
                  <c:v>2347.7849999999999</c:v>
                </c:pt>
                <c:pt idx="11">
                  <c:v>1952.70075</c:v>
                </c:pt>
              </c:numCache>
            </c:numRef>
          </c:yVal>
          <c:smooth val="1"/>
        </c:ser>
        <c:ser>
          <c:idx val="1"/>
          <c:order val="1"/>
          <c:tx>
            <c:v>Producción Planificada</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Hoja4!$C$16:$N$16</c:f>
              <c:numCache>
                <c:formatCode>General</c:formatCode>
                <c:ptCount val="12"/>
                <c:pt idx="0">
                  <c:v>2320</c:v>
                </c:pt>
                <c:pt idx="1">
                  <c:v>2320</c:v>
                </c:pt>
                <c:pt idx="2">
                  <c:v>2320</c:v>
                </c:pt>
                <c:pt idx="3">
                  <c:v>2320</c:v>
                </c:pt>
                <c:pt idx="4">
                  <c:v>2320</c:v>
                </c:pt>
                <c:pt idx="5">
                  <c:v>2320</c:v>
                </c:pt>
                <c:pt idx="6">
                  <c:v>2320</c:v>
                </c:pt>
                <c:pt idx="7">
                  <c:v>2320</c:v>
                </c:pt>
                <c:pt idx="8">
                  <c:v>2560</c:v>
                </c:pt>
                <c:pt idx="9">
                  <c:v>2320</c:v>
                </c:pt>
                <c:pt idx="10">
                  <c:v>2320</c:v>
                </c:pt>
                <c:pt idx="11">
                  <c:v>1920</c:v>
                </c:pt>
              </c:numCache>
            </c:numRef>
          </c:yVal>
          <c:smooth val="1"/>
        </c:ser>
        <c:axId val="100301824"/>
        <c:axId val="103158912"/>
      </c:scatterChart>
      <c:valAx>
        <c:axId val="100301824"/>
        <c:scaling>
          <c:orientation val="minMax"/>
          <c:max val="12"/>
          <c:min val="1"/>
        </c:scaling>
        <c:axPos val="b"/>
        <c:title>
          <c:tx>
            <c:rich>
              <a:bodyPr/>
              <a:lstStyle/>
              <a:p>
                <a:pPr>
                  <a:defRPr/>
                </a:pPr>
                <a:r>
                  <a:rPr lang="es-AR"/>
                  <a:t>Mes</a:t>
                </a:r>
              </a:p>
            </c:rich>
          </c:tx>
          <c:layout/>
        </c:title>
        <c:majorTickMark val="none"/>
        <c:tickLblPos val="nextTo"/>
        <c:crossAx val="103158912"/>
        <c:crosses val="autoZero"/>
        <c:crossBetween val="midCat"/>
        <c:majorUnit val="1"/>
      </c:valAx>
      <c:valAx>
        <c:axId val="103158912"/>
        <c:scaling>
          <c:orientation val="minMax"/>
        </c:scaling>
        <c:axPos val="l"/>
        <c:majorGridlines/>
        <c:title>
          <c:tx>
            <c:rich>
              <a:bodyPr/>
              <a:lstStyle/>
              <a:p>
                <a:pPr>
                  <a:defRPr/>
                </a:pPr>
                <a:r>
                  <a:rPr lang="es-AR"/>
                  <a:t>Cantidad</a:t>
                </a:r>
                <a:r>
                  <a:rPr lang="es-AR" baseline="0"/>
                  <a:t> de Unidades de Producto B</a:t>
                </a:r>
                <a:endParaRPr lang="es-AR"/>
              </a:p>
            </c:rich>
          </c:tx>
          <c:layout/>
        </c:title>
        <c:numFmt formatCode="0" sourceLinked="1"/>
        <c:majorTickMark val="none"/>
        <c:tickLblPos val="nextTo"/>
        <c:crossAx val="100301824"/>
        <c:crosses val="autoZero"/>
        <c:crossBetween val="midCat"/>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AR"/>
  <c:chart>
    <c:title>
      <c:tx>
        <c:rich>
          <a:bodyPr/>
          <a:lstStyle/>
          <a:p>
            <a:pPr>
              <a:defRPr/>
            </a:pPr>
            <a:r>
              <a:rPr lang="es-AR"/>
              <a:t>Curvas de Producción</a:t>
            </a:r>
            <a:r>
              <a:rPr lang="es-AR" baseline="0"/>
              <a:t> y de Ventas para el Producto B</a:t>
            </a:r>
            <a:endParaRPr lang="es-AR"/>
          </a:p>
        </c:rich>
      </c:tx>
      <c:layout/>
    </c:title>
    <c:plotArea>
      <c:layout/>
      <c:scatterChart>
        <c:scatterStyle val="smoothMarker"/>
        <c:ser>
          <c:idx val="0"/>
          <c:order val="0"/>
          <c:tx>
            <c:v>Pronostico de Ventas</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Enunciado!$C$29:$N$29</c:f>
              <c:numCache>
                <c:formatCode>0</c:formatCode>
                <c:ptCount val="12"/>
                <c:pt idx="0">
                  <c:v>504.90000000000003</c:v>
                </c:pt>
                <c:pt idx="1">
                  <c:v>656.37</c:v>
                </c:pt>
                <c:pt idx="2">
                  <c:v>807.84</c:v>
                </c:pt>
                <c:pt idx="3">
                  <c:v>605.88</c:v>
                </c:pt>
                <c:pt idx="4">
                  <c:v>696.76200000000006</c:v>
                </c:pt>
                <c:pt idx="5">
                  <c:v>706.86</c:v>
                </c:pt>
                <c:pt idx="6">
                  <c:v>555.39</c:v>
                </c:pt>
                <c:pt idx="7">
                  <c:v>1060.29</c:v>
                </c:pt>
                <c:pt idx="8">
                  <c:v>984.55500000000006</c:v>
                </c:pt>
                <c:pt idx="9">
                  <c:v>1035.0450000000001</c:v>
                </c:pt>
                <c:pt idx="10">
                  <c:v>605.88</c:v>
                </c:pt>
                <c:pt idx="11">
                  <c:v>656.37</c:v>
                </c:pt>
              </c:numCache>
            </c:numRef>
          </c:yVal>
          <c:smooth val="1"/>
        </c:ser>
        <c:ser>
          <c:idx val="1"/>
          <c:order val="1"/>
          <c:tx>
            <c:v>Producción Planificada</c:v>
          </c:tx>
          <c:xVal>
            <c:strRef>
              <c:f>Hoja4!$C$7:$N$7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xVal>
          <c:yVal>
            <c:numRef>
              <c:f>Hoja4!$C$20:$N$20</c:f>
              <c:numCache>
                <c:formatCode>General</c:formatCode>
                <c:ptCount val="12"/>
                <c:pt idx="0">
                  <c:v>630</c:v>
                </c:pt>
                <c:pt idx="1">
                  <c:v>630</c:v>
                </c:pt>
                <c:pt idx="2">
                  <c:v>880</c:v>
                </c:pt>
                <c:pt idx="3">
                  <c:v>630</c:v>
                </c:pt>
                <c:pt idx="4">
                  <c:v>630</c:v>
                </c:pt>
                <c:pt idx="5">
                  <c:v>630</c:v>
                </c:pt>
                <c:pt idx="6">
                  <c:v>720</c:v>
                </c:pt>
                <c:pt idx="7">
                  <c:v>990</c:v>
                </c:pt>
                <c:pt idx="8">
                  <c:v>990</c:v>
                </c:pt>
                <c:pt idx="9">
                  <c:v>990</c:v>
                </c:pt>
                <c:pt idx="10">
                  <c:v>540</c:v>
                </c:pt>
                <c:pt idx="11">
                  <c:v>630</c:v>
                </c:pt>
              </c:numCache>
            </c:numRef>
          </c:yVal>
          <c:smooth val="1"/>
        </c:ser>
        <c:axId val="103180928"/>
        <c:axId val="103195392"/>
      </c:scatterChart>
      <c:valAx>
        <c:axId val="103180928"/>
        <c:scaling>
          <c:orientation val="minMax"/>
          <c:max val="12"/>
          <c:min val="1"/>
        </c:scaling>
        <c:axPos val="b"/>
        <c:title>
          <c:tx>
            <c:rich>
              <a:bodyPr/>
              <a:lstStyle/>
              <a:p>
                <a:pPr>
                  <a:defRPr/>
                </a:pPr>
                <a:r>
                  <a:rPr lang="es-AR"/>
                  <a:t>Mes</a:t>
                </a:r>
              </a:p>
            </c:rich>
          </c:tx>
          <c:layout/>
        </c:title>
        <c:majorTickMark val="none"/>
        <c:tickLblPos val="nextTo"/>
        <c:crossAx val="103195392"/>
        <c:crosses val="autoZero"/>
        <c:crossBetween val="midCat"/>
        <c:majorUnit val="1"/>
      </c:valAx>
      <c:valAx>
        <c:axId val="103195392"/>
        <c:scaling>
          <c:orientation val="minMax"/>
        </c:scaling>
        <c:axPos val="l"/>
        <c:majorGridlines/>
        <c:title>
          <c:tx>
            <c:rich>
              <a:bodyPr/>
              <a:lstStyle/>
              <a:p>
                <a:pPr>
                  <a:defRPr/>
                </a:pPr>
                <a:r>
                  <a:rPr lang="es-AR"/>
                  <a:t>Cantidad</a:t>
                </a:r>
                <a:r>
                  <a:rPr lang="es-AR" baseline="0"/>
                  <a:t> de Unidades de Producto B</a:t>
                </a:r>
                <a:endParaRPr lang="es-AR"/>
              </a:p>
            </c:rich>
          </c:tx>
          <c:layout/>
        </c:title>
        <c:numFmt formatCode="0" sourceLinked="1"/>
        <c:majorTickMark val="none"/>
        <c:tickLblPos val="nextTo"/>
        <c:crossAx val="103180928"/>
        <c:crosses val="autoZero"/>
        <c:crossBetween val="midCat"/>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16</xdr:col>
      <xdr:colOff>155575</xdr:colOff>
      <xdr:row>19</xdr:row>
      <xdr:rowOff>53975</xdr:rowOff>
    </xdr:from>
    <xdr:to>
      <xdr:col>27</xdr:col>
      <xdr:colOff>228600</xdr:colOff>
      <xdr:row>44</xdr:row>
      <xdr:rowOff>38100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428625</xdr:colOff>
      <xdr:row>23</xdr:row>
      <xdr:rowOff>38100</xdr:rowOff>
    </xdr:to>
    <xdr:graphicFrame macro="">
      <xdr:nvGraphicFramePr>
        <xdr:cNvPr id="20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9</xdr:col>
      <xdr:colOff>419100</xdr:colOff>
      <xdr:row>50</xdr:row>
      <xdr:rowOff>66675</xdr:rowOff>
    </xdr:to>
    <xdr:graphicFrame macro="">
      <xdr:nvGraphicFramePr>
        <xdr:cNvPr id="20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114300</xdr:colOff>
      <xdr:row>78</xdr:row>
      <xdr:rowOff>133350</xdr:rowOff>
    </xdr:from>
    <xdr:to>
      <xdr:col>17</xdr:col>
      <xdr:colOff>933450</xdr:colOff>
      <xdr:row>95</xdr:row>
      <xdr:rowOff>123825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85725</xdr:colOff>
      <xdr:row>78</xdr:row>
      <xdr:rowOff>114300</xdr:rowOff>
    </xdr:from>
    <xdr:to>
      <xdr:col>24</xdr:col>
      <xdr:colOff>85725</xdr:colOff>
      <xdr:row>95</xdr:row>
      <xdr:rowOff>104775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25</xdr:row>
      <xdr:rowOff>161924</xdr:rowOff>
    </xdr:from>
    <xdr:to>
      <xdr:col>6</xdr:col>
      <xdr:colOff>38100</xdr:colOff>
      <xdr:row>48</xdr:row>
      <xdr:rowOff>123825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25</xdr:row>
      <xdr:rowOff>161924</xdr:rowOff>
    </xdr:from>
    <xdr:to>
      <xdr:col>13</xdr:col>
      <xdr:colOff>38101</xdr:colOff>
      <xdr:row>48</xdr:row>
      <xdr:rowOff>114300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C131"/>
  <sheetViews>
    <sheetView showGridLines="0" topLeftCell="A61" zoomScaleNormal="100" workbookViewId="0">
      <selection activeCell="Q51" sqref="Q51"/>
    </sheetView>
  </sheetViews>
  <sheetFormatPr baseColWidth="10" defaultColWidth="11.42578125" defaultRowHeight="12.75"/>
  <cols>
    <col min="1" max="14" width="9.7109375" customWidth="1"/>
    <col min="15" max="15" width="13.140625" customWidth="1"/>
    <col min="24" max="24" width="13.140625" bestFit="1" customWidth="1"/>
    <col min="28" max="28" width="12.85546875" bestFit="1" customWidth="1"/>
    <col min="29" max="29" width="13.85546875" bestFit="1" customWidth="1"/>
  </cols>
  <sheetData>
    <row r="1" spans="1:15" ht="20.25">
      <c r="A1" s="128" t="s">
        <v>45</v>
      </c>
      <c r="B1" s="128"/>
      <c r="C1" s="128"/>
      <c r="D1" s="128"/>
      <c r="E1" s="128"/>
      <c r="F1" s="128"/>
      <c r="G1" s="128"/>
      <c r="H1" s="128"/>
      <c r="I1" s="128"/>
      <c r="J1" s="128"/>
      <c r="K1" s="128"/>
      <c r="L1" s="128"/>
      <c r="M1" s="128"/>
      <c r="N1" s="128"/>
      <c r="O1" s="128"/>
    </row>
    <row r="2" spans="1:15" ht="15">
      <c r="A2" s="41"/>
      <c r="B2" s="41"/>
      <c r="C2" s="41"/>
      <c r="D2" s="41"/>
      <c r="E2" s="41"/>
      <c r="F2" s="41"/>
      <c r="G2" s="41"/>
      <c r="H2" s="41"/>
      <c r="I2" s="41"/>
      <c r="J2" s="41"/>
      <c r="K2" s="41"/>
      <c r="L2" s="41"/>
      <c r="M2" s="41"/>
      <c r="N2" s="41"/>
      <c r="O2" s="41"/>
    </row>
    <row r="3" spans="1:15" ht="18">
      <c r="A3" s="44" t="s">
        <v>49</v>
      </c>
      <c r="B3" s="16"/>
      <c r="C3" s="16"/>
    </row>
    <row r="4" spans="1:15" ht="6" customHeight="1">
      <c r="A4" s="44"/>
      <c r="B4" s="16"/>
      <c r="C4" s="16"/>
    </row>
    <row r="5" spans="1:15">
      <c r="A5" s="16"/>
      <c r="C5" s="32" t="s">
        <v>50</v>
      </c>
    </row>
    <row r="6" spans="1:15">
      <c r="A6" s="16"/>
      <c r="C6" s="32" t="s">
        <v>51</v>
      </c>
    </row>
    <row r="7" spans="1:15">
      <c r="A7" s="16"/>
      <c r="C7" s="32" t="s">
        <v>52</v>
      </c>
    </row>
    <row r="8" spans="1:15">
      <c r="A8" s="16"/>
      <c r="C8" s="32" t="s">
        <v>53</v>
      </c>
    </row>
    <row r="9" spans="1:15">
      <c r="A9" s="16"/>
      <c r="C9" s="32" t="s">
        <v>93</v>
      </c>
    </row>
    <row r="10" spans="1:15">
      <c r="A10" s="16"/>
      <c r="B10" s="32"/>
      <c r="C10" s="16"/>
    </row>
    <row r="11" spans="1:15" ht="15.75">
      <c r="A11" s="42" t="s">
        <v>71</v>
      </c>
    </row>
    <row r="12" spans="1:15" ht="15.75">
      <c r="A12" s="42"/>
    </row>
    <row r="13" spans="1:15">
      <c r="A13" s="16" t="s">
        <v>0</v>
      </c>
    </row>
    <row r="14" spans="1:15" ht="6" customHeight="1">
      <c r="A14" s="16"/>
    </row>
    <row r="15" spans="1:15">
      <c r="B15" s="27" t="s">
        <v>72</v>
      </c>
    </row>
    <row r="16" spans="1:15">
      <c r="B16" s="27" t="s">
        <v>94</v>
      </c>
    </row>
    <row r="17" spans="2:28">
      <c r="B17" t="s">
        <v>58</v>
      </c>
    </row>
    <row r="19" spans="2:28">
      <c r="B19" s="14" t="s">
        <v>70</v>
      </c>
    </row>
    <row r="20" spans="2:28">
      <c r="B20" s="144" t="s">
        <v>1</v>
      </c>
      <c r="C20" s="145">
        <v>2013</v>
      </c>
      <c r="D20" s="145"/>
      <c r="E20" s="145"/>
      <c r="F20" s="145"/>
      <c r="G20" s="145"/>
      <c r="H20" s="145"/>
      <c r="I20" s="145"/>
      <c r="J20" s="145"/>
      <c r="K20" s="145"/>
      <c r="L20" s="145"/>
      <c r="M20" s="145"/>
      <c r="N20" s="145"/>
      <c r="O20" s="145" t="s">
        <v>2</v>
      </c>
    </row>
    <row r="21" spans="2:28">
      <c r="B21" s="144"/>
      <c r="C21" s="1" t="s">
        <v>3</v>
      </c>
      <c r="D21" s="1" t="s">
        <v>4</v>
      </c>
      <c r="E21" s="1" t="s">
        <v>5</v>
      </c>
      <c r="F21" s="1" t="s">
        <v>6</v>
      </c>
      <c r="G21" s="1" t="s">
        <v>7</v>
      </c>
      <c r="H21" s="1" t="s">
        <v>8</v>
      </c>
      <c r="I21" s="1" t="s">
        <v>9</v>
      </c>
      <c r="J21" s="1" t="s">
        <v>10</v>
      </c>
      <c r="K21" s="1" t="s">
        <v>11</v>
      </c>
      <c r="L21" s="1" t="s">
        <v>12</v>
      </c>
      <c r="M21" s="1" t="s">
        <v>13</v>
      </c>
      <c r="N21" s="1" t="s">
        <v>14</v>
      </c>
      <c r="O21" s="145"/>
    </row>
    <row r="22" spans="2:28">
      <c r="B22" s="2" t="s">
        <v>15</v>
      </c>
      <c r="C22" s="3">
        <v>2000</v>
      </c>
      <c r="D22" s="3">
        <v>2100</v>
      </c>
      <c r="E22" s="3">
        <v>2100</v>
      </c>
      <c r="F22" s="3">
        <v>2275</v>
      </c>
      <c r="G22" s="3">
        <v>2300</v>
      </c>
      <c r="H22" s="3">
        <f>2350*0.85</f>
        <v>1997.5</v>
      </c>
      <c r="I22" s="3">
        <f>2275*1.2</f>
        <v>2730</v>
      </c>
      <c r="J22" s="3">
        <f>2005*1.3</f>
        <v>2606.5</v>
      </c>
      <c r="K22" s="3">
        <f>2100*1.3</f>
        <v>2730</v>
      </c>
      <c r="L22" s="3">
        <v>2300</v>
      </c>
      <c r="M22" s="3">
        <v>2325</v>
      </c>
      <c r="N22" s="3">
        <f>2275*0.85</f>
        <v>1933.75</v>
      </c>
      <c r="O22" s="3">
        <f>SUM(C22:N22)</f>
        <v>27397.75</v>
      </c>
      <c r="AB22" s="37"/>
    </row>
    <row r="23" spans="2:28">
      <c r="B23" s="2" t="s">
        <v>16</v>
      </c>
      <c r="C23" s="3">
        <v>500</v>
      </c>
      <c r="D23" s="3">
        <v>650</v>
      </c>
      <c r="E23" s="3">
        <v>800</v>
      </c>
      <c r="F23" s="3">
        <v>600</v>
      </c>
      <c r="G23" s="3">
        <v>690</v>
      </c>
      <c r="H23" s="3">
        <v>700</v>
      </c>
      <c r="I23" s="3">
        <v>550</v>
      </c>
      <c r="J23" s="3">
        <v>1050</v>
      </c>
      <c r="K23" s="3">
        <v>975</v>
      </c>
      <c r="L23" s="3">
        <v>1025</v>
      </c>
      <c r="M23" s="3">
        <v>600</v>
      </c>
      <c r="N23" s="3">
        <v>650</v>
      </c>
      <c r="O23" s="3">
        <f>SUM(C23:N23)</f>
        <v>8790</v>
      </c>
    </row>
    <row r="24" spans="2:28">
      <c r="B24" s="4"/>
      <c r="C24" s="5"/>
      <c r="D24" s="5"/>
      <c r="E24" s="5"/>
      <c r="F24" s="5"/>
      <c r="G24" s="5"/>
      <c r="H24" s="5"/>
      <c r="I24" s="5"/>
      <c r="J24" s="5"/>
      <c r="K24" s="5"/>
      <c r="L24" s="5"/>
      <c r="M24" s="5"/>
      <c r="N24" s="5"/>
      <c r="O24" s="5"/>
    </row>
    <row r="25" spans="2:28">
      <c r="B25" s="14" t="s">
        <v>68</v>
      </c>
    </row>
    <row r="26" spans="2:28">
      <c r="B26" s="137" t="s">
        <v>1</v>
      </c>
      <c r="C26" s="182" t="s">
        <v>271</v>
      </c>
      <c r="D26" s="145"/>
      <c r="E26" s="145"/>
      <c r="F26" s="145"/>
      <c r="G26" s="145"/>
      <c r="H26" s="145"/>
      <c r="I26" s="145"/>
      <c r="J26" s="145"/>
      <c r="K26" s="145"/>
      <c r="L26" s="145"/>
      <c r="M26" s="145"/>
      <c r="N26" s="145"/>
      <c r="O26" s="147" t="s">
        <v>2</v>
      </c>
    </row>
    <row r="27" spans="2:28">
      <c r="B27" s="138"/>
      <c r="C27" s="1" t="s">
        <v>3</v>
      </c>
      <c r="D27" s="1" t="s">
        <v>4</v>
      </c>
      <c r="E27" s="1" t="s">
        <v>5</v>
      </c>
      <c r="F27" s="1" t="s">
        <v>6</v>
      </c>
      <c r="G27" s="1" t="s">
        <v>7</v>
      </c>
      <c r="H27" s="1" t="s">
        <v>8</v>
      </c>
      <c r="I27" s="1" t="s">
        <v>9</v>
      </c>
      <c r="J27" s="1" t="s">
        <v>10</v>
      </c>
      <c r="K27" s="1" t="s">
        <v>11</v>
      </c>
      <c r="L27" s="1" t="s">
        <v>12</v>
      </c>
      <c r="M27" s="1" t="s">
        <v>13</v>
      </c>
      <c r="N27" s="1" t="s">
        <v>14</v>
      </c>
      <c r="O27" s="127"/>
    </row>
    <row r="28" spans="2:28">
      <c r="B28" s="2" t="s">
        <v>15</v>
      </c>
      <c r="C28" s="3">
        <f t="shared" ref="C28:N28" si="0">(C22*0.99)*1.02</f>
        <v>2019.6000000000001</v>
      </c>
      <c r="D28" s="3">
        <f t="shared" si="0"/>
        <v>2120.58</v>
      </c>
      <c r="E28" s="3">
        <f t="shared" si="0"/>
        <v>2120.58</v>
      </c>
      <c r="F28" s="3">
        <f t="shared" si="0"/>
        <v>2297.2950000000001</v>
      </c>
      <c r="G28" s="3">
        <f t="shared" si="0"/>
        <v>2322.54</v>
      </c>
      <c r="H28" s="3">
        <f t="shared" si="0"/>
        <v>2017.0755000000001</v>
      </c>
      <c r="I28" s="3">
        <f t="shared" si="0"/>
        <v>2756.7539999999999</v>
      </c>
      <c r="J28" s="3">
        <f t="shared" si="0"/>
        <v>2632.0437000000002</v>
      </c>
      <c r="K28" s="3">
        <f t="shared" si="0"/>
        <v>2756.7539999999999</v>
      </c>
      <c r="L28" s="3">
        <f t="shared" si="0"/>
        <v>2322.54</v>
      </c>
      <c r="M28" s="3">
        <f t="shared" si="0"/>
        <v>2347.7849999999999</v>
      </c>
      <c r="N28" s="3">
        <f t="shared" si="0"/>
        <v>1952.70075</v>
      </c>
      <c r="O28" s="3">
        <f>(SUM(C28:N28))*1.02</f>
        <v>28219.572909000006</v>
      </c>
      <c r="AB28" s="37"/>
    </row>
    <row r="29" spans="2:28">
      <c r="B29" s="2" t="s">
        <v>16</v>
      </c>
      <c r="C29" s="3">
        <f t="shared" ref="C29:N29" si="1">(C23*0.99)*1.02</f>
        <v>504.90000000000003</v>
      </c>
      <c r="D29" s="3">
        <f t="shared" si="1"/>
        <v>656.37</v>
      </c>
      <c r="E29" s="3">
        <f t="shared" si="1"/>
        <v>807.84</v>
      </c>
      <c r="F29" s="3">
        <f t="shared" si="1"/>
        <v>605.88</v>
      </c>
      <c r="G29" s="3">
        <f t="shared" si="1"/>
        <v>696.76200000000006</v>
      </c>
      <c r="H29" s="3">
        <f t="shared" si="1"/>
        <v>706.86</v>
      </c>
      <c r="I29" s="3">
        <f t="shared" si="1"/>
        <v>555.39</v>
      </c>
      <c r="J29" s="3">
        <f t="shared" si="1"/>
        <v>1060.29</v>
      </c>
      <c r="K29" s="3">
        <f t="shared" si="1"/>
        <v>984.55500000000006</v>
      </c>
      <c r="L29" s="3">
        <f t="shared" si="1"/>
        <v>1035.0450000000001</v>
      </c>
      <c r="M29" s="3">
        <f t="shared" si="1"/>
        <v>605.88</v>
      </c>
      <c r="N29" s="3">
        <f t="shared" si="1"/>
        <v>656.37</v>
      </c>
      <c r="O29" s="3">
        <f>(SUM(C29:N29))*1.02</f>
        <v>9053.6648400000013</v>
      </c>
    </row>
    <row r="30" spans="2:28">
      <c r="B30" s="4"/>
      <c r="C30" s="5"/>
      <c r="D30" s="5"/>
      <c r="E30" s="5"/>
      <c r="F30" s="5"/>
      <c r="G30" s="5"/>
      <c r="H30" s="5"/>
      <c r="I30" s="5"/>
      <c r="J30" s="5"/>
      <c r="K30" s="5"/>
      <c r="L30" s="5"/>
      <c r="M30" s="5"/>
      <c r="N30" s="5"/>
      <c r="O30" s="5"/>
    </row>
    <row r="31" spans="2:28">
      <c r="B31" s="27" t="s">
        <v>67</v>
      </c>
      <c r="C31" s="5"/>
      <c r="D31" s="5"/>
      <c r="E31" s="5"/>
      <c r="F31" s="5"/>
      <c r="G31" s="5"/>
      <c r="H31" s="5"/>
      <c r="I31" s="5"/>
      <c r="J31" s="5"/>
      <c r="K31" s="5"/>
      <c r="L31" s="5"/>
      <c r="M31" s="5"/>
      <c r="N31" s="5"/>
      <c r="O31" s="5"/>
    </row>
    <row r="32" spans="2:28">
      <c r="B32" s="144" t="s">
        <v>1</v>
      </c>
      <c r="C32" s="145">
        <v>2013</v>
      </c>
      <c r="D32" s="145"/>
      <c r="E32" s="145"/>
      <c r="F32" s="145"/>
      <c r="G32" s="145"/>
      <c r="H32" s="145"/>
      <c r="I32" s="145"/>
      <c r="J32" s="145"/>
      <c r="K32" s="145"/>
      <c r="L32" s="145"/>
      <c r="M32" s="145"/>
      <c r="N32" s="145"/>
      <c r="O32" s="145" t="s">
        <v>2</v>
      </c>
    </row>
    <row r="33" spans="2:28">
      <c r="B33" s="144"/>
      <c r="C33" s="1" t="s">
        <v>3</v>
      </c>
      <c r="D33" s="1" t="s">
        <v>4</v>
      </c>
      <c r="E33" s="1" t="s">
        <v>5</v>
      </c>
      <c r="F33" s="1" t="s">
        <v>6</v>
      </c>
      <c r="G33" s="1" t="s">
        <v>7</v>
      </c>
      <c r="H33" s="1" t="s">
        <v>8</v>
      </c>
      <c r="I33" s="1" t="s">
        <v>9</v>
      </c>
      <c r="J33" s="1" t="s">
        <v>10</v>
      </c>
      <c r="K33" s="1" t="s">
        <v>11</v>
      </c>
      <c r="L33" s="1" t="s">
        <v>12</v>
      </c>
      <c r="M33" s="1" t="s">
        <v>13</v>
      </c>
      <c r="N33" s="1" t="s">
        <v>14</v>
      </c>
      <c r="O33" s="145"/>
    </row>
    <row r="34" spans="2:28">
      <c r="B34" s="2" t="s">
        <v>15</v>
      </c>
      <c r="C34" s="3">
        <f t="shared" ref="C34:N34" si="2">C28*0.99</f>
        <v>1999.4040000000002</v>
      </c>
      <c r="D34" s="3">
        <f t="shared" si="2"/>
        <v>2099.3741999999997</v>
      </c>
      <c r="E34" s="3">
        <f t="shared" si="2"/>
        <v>2099.3741999999997</v>
      </c>
      <c r="F34" s="3">
        <f t="shared" si="2"/>
        <v>2274.3220500000002</v>
      </c>
      <c r="G34" s="3">
        <f t="shared" si="2"/>
        <v>2299.3146000000002</v>
      </c>
      <c r="H34" s="3">
        <f t="shared" si="2"/>
        <v>1996.904745</v>
      </c>
      <c r="I34" s="3">
        <f t="shared" si="2"/>
        <v>2729.1864599999999</v>
      </c>
      <c r="J34" s="3">
        <f t="shared" si="2"/>
        <v>2605.7232630000003</v>
      </c>
      <c r="K34" s="3">
        <f t="shared" si="2"/>
        <v>2729.1864599999999</v>
      </c>
      <c r="L34" s="3">
        <f t="shared" si="2"/>
        <v>2299.3146000000002</v>
      </c>
      <c r="M34" s="3">
        <f t="shared" si="2"/>
        <v>2324.3071499999996</v>
      </c>
      <c r="N34" s="3">
        <f t="shared" si="2"/>
        <v>1933.1737424999999</v>
      </c>
      <c r="O34" s="3">
        <f>SUM(C34:N34)</f>
        <v>27389.585470500002</v>
      </c>
      <c r="AB34" s="37"/>
    </row>
    <row r="35" spans="2:28">
      <c r="B35" s="2" t="s">
        <v>16</v>
      </c>
      <c r="C35" s="3">
        <f t="shared" ref="C35:N35" si="3">C29*0.99</f>
        <v>499.85100000000006</v>
      </c>
      <c r="D35" s="3">
        <f t="shared" si="3"/>
        <v>649.80629999999996</v>
      </c>
      <c r="E35" s="3">
        <f t="shared" si="3"/>
        <v>799.76160000000004</v>
      </c>
      <c r="F35" s="3">
        <f t="shared" si="3"/>
        <v>599.82119999999998</v>
      </c>
      <c r="G35" s="3">
        <f t="shared" si="3"/>
        <v>689.79438000000005</v>
      </c>
      <c r="H35" s="3">
        <f t="shared" si="3"/>
        <v>699.79139999999995</v>
      </c>
      <c r="I35" s="3">
        <f t="shared" si="3"/>
        <v>549.83609999999999</v>
      </c>
      <c r="J35" s="3">
        <f t="shared" si="3"/>
        <v>1049.6870999999999</v>
      </c>
      <c r="K35" s="3">
        <f t="shared" si="3"/>
        <v>974.70945000000006</v>
      </c>
      <c r="L35" s="3">
        <f t="shared" si="3"/>
        <v>1024.6945500000002</v>
      </c>
      <c r="M35" s="3">
        <f t="shared" si="3"/>
        <v>599.82119999999998</v>
      </c>
      <c r="N35" s="3">
        <f t="shared" si="3"/>
        <v>649.80629999999996</v>
      </c>
      <c r="O35" s="3">
        <f>SUM(C35:N35)</f>
        <v>8787.3805800000009</v>
      </c>
    </row>
    <row r="36" spans="2:28">
      <c r="B36" s="4"/>
      <c r="C36" s="5"/>
      <c r="D36" s="5"/>
      <c r="E36" s="5"/>
      <c r="F36" s="5"/>
      <c r="G36" s="5"/>
      <c r="H36" s="5"/>
      <c r="I36" s="5"/>
      <c r="J36" s="5"/>
      <c r="K36" s="5"/>
      <c r="L36" s="5"/>
      <c r="M36" s="5"/>
      <c r="N36" s="5"/>
      <c r="O36" s="5"/>
    </row>
    <row r="37" spans="2:28">
      <c r="B37" s="15" t="s">
        <v>69</v>
      </c>
      <c r="C37" s="5"/>
      <c r="D37" s="5"/>
      <c r="E37" s="5"/>
      <c r="F37" s="5"/>
      <c r="G37" s="5"/>
      <c r="H37" s="5"/>
      <c r="I37" s="5"/>
      <c r="J37" s="5"/>
      <c r="K37" s="5"/>
      <c r="L37" s="5"/>
      <c r="M37" s="5"/>
      <c r="N37" s="5"/>
      <c r="O37" s="5"/>
    </row>
    <row r="38" spans="2:28">
      <c r="B38" s="144" t="s">
        <v>1</v>
      </c>
      <c r="C38" s="145">
        <v>2013</v>
      </c>
      <c r="D38" s="145"/>
      <c r="E38" s="145"/>
      <c r="F38" s="145"/>
      <c r="G38" s="145"/>
      <c r="H38" s="145"/>
      <c r="I38" s="145"/>
      <c r="J38" s="145"/>
      <c r="K38" s="145"/>
      <c r="L38" s="145"/>
      <c r="M38" s="145"/>
      <c r="N38" s="145"/>
      <c r="O38" s="145" t="s">
        <v>2</v>
      </c>
    </row>
    <row r="39" spans="2:28">
      <c r="B39" s="144"/>
      <c r="C39" s="1" t="s">
        <v>3</v>
      </c>
      <c r="D39" s="1" t="s">
        <v>4</v>
      </c>
      <c r="E39" s="1" t="s">
        <v>5</v>
      </c>
      <c r="F39" s="1" t="s">
        <v>6</v>
      </c>
      <c r="G39" s="1" t="s">
        <v>7</v>
      </c>
      <c r="H39" s="1" t="s">
        <v>8</v>
      </c>
      <c r="I39" s="1" t="s">
        <v>9</v>
      </c>
      <c r="J39" s="1" t="s">
        <v>10</v>
      </c>
      <c r="K39" s="1" t="s">
        <v>11</v>
      </c>
      <c r="L39" s="1" t="s">
        <v>12</v>
      </c>
      <c r="M39" s="1" t="s">
        <v>13</v>
      </c>
      <c r="N39" s="1" t="s">
        <v>14</v>
      </c>
      <c r="O39" s="145"/>
    </row>
    <row r="40" spans="2:28">
      <c r="B40" s="2" t="s">
        <v>15</v>
      </c>
      <c r="C40" s="3">
        <f>C34*0.99</f>
        <v>1979.4099600000002</v>
      </c>
      <c r="D40" s="3">
        <f t="shared" ref="D40:N40" si="4">D34*0.99</f>
        <v>2078.3804579999996</v>
      </c>
      <c r="E40" s="3">
        <f t="shared" si="4"/>
        <v>2078.3804579999996</v>
      </c>
      <c r="F40" s="3">
        <f t="shared" si="4"/>
        <v>2251.5788295000002</v>
      </c>
      <c r="G40" s="3">
        <f t="shared" si="4"/>
        <v>2276.3214540000004</v>
      </c>
      <c r="H40" s="3">
        <f t="shared" si="4"/>
        <v>1976.93569755</v>
      </c>
      <c r="I40" s="3">
        <f t="shared" si="4"/>
        <v>2701.8945954000001</v>
      </c>
      <c r="J40" s="3">
        <f t="shared" si="4"/>
        <v>2579.6660303700005</v>
      </c>
      <c r="K40" s="3">
        <f t="shared" si="4"/>
        <v>2701.8945954000001</v>
      </c>
      <c r="L40" s="3">
        <f t="shared" si="4"/>
        <v>2276.3214540000004</v>
      </c>
      <c r="M40" s="3">
        <f t="shared" si="4"/>
        <v>2301.0640784999996</v>
      </c>
      <c r="N40" s="3">
        <f t="shared" si="4"/>
        <v>1913.8420050749999</v>
      </c>
      <c r="O40" s="3">
        <f>SUM(C40:N40)</f>
        <v>27115.689615795</v>
      </c>
      <c r="AB40" s="37"/>
    </row>
    <row r="41" spans="2:28">
      <c r="B41" s="2" t="s">
        <v>16</v>
      </c>
      <c r="C41" s="3">
        <f>C35*0.99</f>
        <v>494.85249000000005</v>
      </c>
      <c r="D41" s="3">
        <f t="shared" ref="D41:N41" si="5">D35*0.99</f>
        <v>643.30823699999996</v>
      </c>
      <c r="E41" s="3">
        <f t="shared" si="5"/>
        <v>791.76398400000005</v>
      </c>
      <c r="F41" s="3">
        <f t="shared" si="5"/>
        <v>593.82298800000001</v>
      </c>
      <c r="G41" s="3">
        <f t="shared" si="5"/>
        <v>682.89643620000004</v>
      </c>
      <c r="H41" s="3">
        <f t="shared" si="5"/>
        <v>692.79348599999992</v>
      </c>
      <c r="I41" s="3">
        <f t="shared" si="5"/>
        <v>544.33773899999994</v>
      </c>
      <c r="J41" s="3">
        <f t="shared" si="5"/>
        <v>1039.1902289999998</v>
      </c>
      <c r="K41" s="3">
        <f t="shared" si="5"/>
        <v>964.96235550000006</v>
      </c>
      <c r="L41" s="3">
        <f t="shared" si="5"/>
        <v>1014.4476045000001</v>
      </c>
      <c r="M41" s="3">
        <f t="shared" si="5"/>
        <v>593.82298800000001</v>
      </c>
      <c r="N41" s="3">
        <f t="shared" si="5"/>
        <v>643.30823699999996</v>
      </c>
      <c r="O41" s="3">
        <f>SUM(C41:N41)</f>
        <v>8699.5067741999992</v>
      </c>
    </row>
    <row r="42" spans="2:28">
      <c r="B42" s="4"/>
      <c r="C42" s="5"/>
      <c r="D42" s="5"/>
      <c r="E42" s="5"/>
      <c r="F42" s="5"/>
      <c r="G42" s="5"/>
      <c r="H42" s="5"/>
      <c r="I42" s="5"/>
      <c r="J42" s="5"/>
      <c r="K42" s="5"/>
      <c r="L42" s="5"/>
      <c r="M42" s="5"/>
      <c r="N42" s="5"/>
      <c r="O42" s="5"/>
    </row>
    <row r="43" spans="2:28">
      <c r="B43" s="27" t="s">
        <v>66</v>
      </c>
      <c r="C43" s="5"/>
      <c r="D43" s="5"/>
      <c r="E43" s="5"/>
      <c r="F43" s="5"/>
      <c r="G43" s="5"/>
      <c r="H43" s="5"/>
      <c r="I43" s="5"/>
      <c r="J43" s="5"/>
      <c r="K43" s="5"/>
      <c r="L43" s="5"/>
      <c r="M43" s="5"/>
      <c r="N43" s="5"/>
      <c r="O43" s="5"/>
    </row>
    <row r="44" spans="2:28">
      <c r="B44" s="137" t="s">
        <v>1</v>
      </c>
      <c r="C44" s="139">
        <v>2013</v>
      </c>
      <c r="D44" s="140"/>
      <c r="E44" s="140"/>
      <c r="F44" s="140"/>
      <c r="G44" s="140"/>
      <c r="H44" s="140"/>
      <c r="I44" s="140"/>
      <c r="J44" s="140"/>
      <c r="K44" s="140"/>
      <c r="L44" s="140"/>
      <c r="M44" s="140"/>
      <c r="N44" s="141"/>
      <c r="O44" s="147" t="s">
        <v>2</v>
      </c>
    </row>
    <row r="45" spans="2:28">
      <c r="B45" s="138"/>
      <c r="C45" s="1" t="s">
        <v>3</v>
      </c>
      <c r="D45" s="1" t="s">
        <v>4</v>
      </c>
      <c r="E45" s="1" t="s">
        <v>5</v>
      </c>
      <c r="F45" s="1" t="s">
        <v>6</v>
      </c>
      <c r="G45" s="1" t="s">
        <v>7</v>
      </c>
      <c r="H45" s="1" t="s">
        <v>8</v>
      </c>
      <c r="I45" s="1" t="s">
        <v>9</v>
      </c>
      <c r="J45" s="1" t="s">
        <v>10</v>
      </c>
      <c r="K45" s="1" t="s">
        <v>11</v>
      </c>
      <c r="L45" s="1" t="s">
        <v>12</v>
      </c>
      <c r="M45" s="1" t="s">
        <v>13</v>
      </c>
      <c r="N45" s="1" t="s">
        <v>14</v>
      </c>
      <c r="O45" s="127"/>
    </row>
    <row r="46" spans="2:28">
      <c r="B46" s="2" t="s">
        <v>15</v>
      </c>
      <c r="C46" s="3">
        <f>C40*1.015</f>
        <v>2009.1011094</v>
      </c>
      <c r="D46" s="3">
        <f t="shared" ref="D46:N46" si="6">D40*1.015</f>
        <v>2109.5561648699995</v>
      </c>
      <c r="E46" s="3">
        <f t="shared" si="6"/>
        <v>2109.5561648699995</v>
      </c>
      <c r="F46" s="3">
        <f t="shared" si="6"/>
        <v>2285.3525119424999</v>
      </c>
      <c r="G46" s="3">
        <f t="shared" si="6"/>
        <v>2310.4662758100003</v>
      </c>
      <c r="H46" s="3">
        <f t="shared" si="6"/>
        <v>2006.5897330132498</v>
      </c>
      <c r="I46" s="3">
        <f t="shared" si="6"/>
        <v>2742.4230143309996</v>
      </c>
      <c r="J46" s="3">
        <f t="shared" si="6"/>
        <v>2618.3610208255504</v>
      </c>
      <c r="K46" s="3">
        <f t="shared" si="6"/>
        <v>2742.4230143309996</v>
      </c>
      <c r="L46" s="3">
        <f t="shared" si="6"/>
        <v>2310.4662758100003</v>
      </c>
      <c r="M46" s="3">
        <f t="shared" si="6"/>
        <v>2335.5800396774994</v>
      </c>
      <c r="N46" s="3">
        <f t="shared" si="6"/>
        <v>1942.5496351511247</v>
      </c>
      <c r="O46" s="3">
        <f>SUM(C46:N46)</f>
        <v>27522.424960031924</v>
      </c>
      <c r="AB46" s="37"/>
    </row>
    <row r="47" spans="2:28">
      <c r="B47" s="2" t="s">
        <v>16</v>
      </c>
      <c r="C47" s="3">
        <f>C41*1.015</f>
        <v>502.27527735000001</v>
      </c>
      <c r="D47" s="3">
        <f t="shared" ref="D47:N47" si="7">D41*1.015</f>
        <v>652.95786055499991</v>
      </c>
      <c r="E47" s="3">
        <f t="shared" si="7"/>
        <v>803.64044375999993</v>
      </c>
      <c r="F47" s="3">
        <f t="shared" si="7"/>
        <v>602.73033281999994</v>
      </c>
      <c r="G47" s="3">
        <f t="shared" si="7"/>
        <v>693.13988274299993</v>
      </c>
      <c r="H47" s="3">
        <f t="shared" si="7"/>
        <v>703.18538828999988</v>
      </c>
      <c r="I47" s="3">
        <f t="shared" si="7"/>
        <v>552.50280508499986</v>
      </c>
      <c r="J47" s="3">
        <f t="shared" si="7"/>
        <v>1054.7780824349998</v>
      </c>
      <c r="K47" s="3">
        <f t="shared" si="7"/>
        <v>979.43679083249992</v>
      </c>
      <c r="L47" s="3">
        <f t="shared" si="7"/>
        <v>1029.6643185675</v>
      </c>
      <c r="M47" s="3">
        <f t="shared" si="7"/>
        <v>602.73033281999994</v>
      </c>
      <c r="N47" s="3">
        <f t="shared" si="7"/>
        <v>652.95786055499991</v>
      </c>
      <c r="O47" s="3">
        <f>SUM(C47:N47)</f>
        <v>8829.9993758129986</v>
      </c>
    </row>
    <row r="48" spans="2:28">
      <c r="B48" s="4"/>
      <c r="C48" s="5"/>
      <c r="D48" s="5"/>
      <c r="E48" s="5"/>
      <c r="F48" s="5"/>
      <c r="G48" s="5"/>
      <c r="H48" s="5"/>
      <c r="I48" s="5"/>
      <c r="J48" s="5"/>
      <c r="K48" s="5"/>
      <c r="L48" s="5"/>
      <c r="M48" s="5"/>
      <c r="N48" s="5"/>
      <c r="O48" s="5"/>
    </row>
    <row r="49" spans="1:29">
      <c r="B49" s="4"/>
      <c r="C49" s="5"/>
      <c r="D49" s="5"/>
      <c r="E49" s="5"/>
      <c r="F49" s="5"/>
      <c r="G49" s="5"/>
      <c r="H49" s="5"/>
      <c r="I49" s="5"/>
      <c r="J49" s="5"/>
      <c r="K49" s="5"/>
      <c r="L49" s="5"/>
      <c r="M49" s="5"/>
      <c r="N49" s="5"/>
      <c r="O49" s="5"/>
    </row>
    <row r="50" spans="1:29" s="6" customFormat="1">
      <c r="B50" s="27" t="s">
        <v>95</v>
      </c>
      <c r="C50" s="27"/>
      <c r="D50" s="27"/>
      <c r="E50" s="27"/>
      <c r="F50" s="27"/>
      <c r="G50" s="27"/>
      <c r="I50" s="27"/>
      <c r="AC50"/>
    </row>
    <row r="51" spans="1:29" s="6" customFormat="1">
      <c r="B51" s="27"/>
      <c r="C51" s="27"/>
      <c r="D51" s="27"/>
      <c r="E51" s="27"/>
      <c r="F51" s="27"/>
      <c r="G51" s="27"/>
      <c r="H51" s="27"/>
      <c r="I51" s="27"/>
    </row>
    <row r="52" spans="1:29" s="6" customFormat="1"/>
    <row r="53" spans="1:29" s="6" customFormat="1">
      <c r="A53" s="16" t="s">
        <v>17</v>
      </c>
    </row>
    <row r="54" spans="1:29" s="6" customFormat="1" ht="6" customHeight="1"/>
    <row r="55" spans="1:29" s="6" customFormat="1">
      <c r="B55" t="s">
        <v>32</v>
      </c>
      <c r="G55" s="7"/>
    </row>
    <row r="56" spans="1:29">
      <c r="B56" t="s">
        <v>73</v>
      </c>
      <c r="G56" s="8"/>
    </row>
    <row r="57" spans="1:29">
      <c r="B57" t="s">
        <v>74</v>
      </c>
    </row>
    <row r="58" spans="1:29" ht="13.5" thickBot="1"/>
    <row r="59" spans="1:29" ht="13.5" thickBot="1">
      <c r="C59" s="26" t="s">
        <v>31</v>
      </c>
      <c r="D59" s="133" t="s">
        <v>38</v>
      </c>
      <c r="E59" s="134"/>
      <c r="F59" s="133" t="s">
        <v>37</v>
      </c>
      <c r="G59" s="134"/>
      <c r="H59" s="133" t="s">
        <v>44</v>
      </c>
      <c r="I59" s="134"/>
      <c r="J59" s="133" t="s">
        <v>63</v>
      </c>
      <c r="K59" s="134"/>
      <c r="L59" s="148" t="s">
        <v>36</v>
      </c>
      <c r="M59" s="149"/>
      <c r="N59" s="148"/>
      <c r="O59" s="149"/>
    </row>
    <row r="60" spans="1:29">
      <c r="C60" s="33" t="s">
        <v>54</v>
      </c>
      <c r="D60" s="129">
        <v>97</v>
      </c>
      <c r="E60" s="130"/>
      <c r="F60" s="143">
        <v>98</v>
      </c>
      <c r="G60" s="130"/>
      <c r="H60" s="135">
        <v>99</v>
      </c>
      <c r="I60" s="135"/>
      <c r="J60" s="135">
        <v>99</v>
      </c>
      <c r="K60" s="135"/>
      <c r="L60" s="143">
        <v>98</v>
      </c>
      <c r="M60" s="130"/>
      <c r="N60" s="129"/>
      <c r="O60" s="146"/>
    </row>
    <row r="61" spans="1:29" ht="13.5" thickBot="1">
      <c r="C61" s="23" t="s">
        <v>55</v>
      </c>
      <c r="D61" s="131">
        <v>0.5</v>
      </c>
      <c r="E61" s="132"/>
      <c r="F61" s="126">
        <v>0.75</v>
      </c>
      <c r="G61" s="125"/>
      <c r="H61" s="136">
        <v>0.9</v>
      </c>
      <c r="I61" s="136"/>
      <c r="J61" s="136">
        <v>0.85</v>
      </c>
      <c r="K61" s="136"/>
      <c r="L61" s="126">
        <v>0.75</v>
      </c>
      <c r="M61" s="125"/>
      <c r="N61" s="131"/>
      <c r="O61" s="142"/>
    </row>
    <row r="62" spans="1:29" hidden="1">
      <c r="C62" s="25" t="s">
        <v>35</v>
      </c>
      <c r="D62" s="129">
        <v>99</v>
      </c>
      <c r="E62" s="130"/>
      <c r="F62" s="143">
        <v>97</v>
      </c>
      <c r="G62" s="130"/>
      <c r="H62" s="135">
        <v>98</v>
      </c>
      <c r="I62" s="135"/>
      <c r="J62" s="135">
        <v>97.5</v>
      </c>
      <c r="K62" s="135"/>
      <c r="L62" s="143">
        <v>97</v>
      </c>
      <c r="M62" s="130"/>
      <c r="N62" s="129"/>
      <c r="O62" s="146"/>
    </row>
    <row r="63" spans="1:29" ht="13.5" hidden="1" thickBot="1">
      <c r="C63" s="23" t="s">
        <v>33</v>
      </c>
      <c r="D63" s="119">
        <v>0.6</v>
      </c>
      <c r="E63" s="125"/>
      <c r="F63" s="126">
        <v>0.7</v>
      </c>
      <c r="G63" s="125"/>
      <c r="H63" s="136">
        <v>0.8</v>
      </c>
      <c r="I63" s="136"/>
      <c r="J63" s="136">
        <v>0.8</v>
      </c>
      <c r="K63" s="136"/>
      <c r="L63" s="126">
        <v>0.7</v>
      </c>
      <c r="M63" s="125"/>
      <c r="N63" s="119"/>
      <c r="O63" s="120"/>
    </row>
    <row r="64" spans="1:29" hidden="1">
      <c r="C64" s="24" t="s">
        <v>34</v>
      </c>
      <c r="D64" s="117">
        <v>98</v>
      </c>
      <c r="E64" s="122"/>
      <c r="F64" s="121">
        <v>97.5</v>
      </c>
      <c r="G64" s="122"/>
      <c r="H64" s="127">
        <v>98.5</v>
      </c>
      <c r="I64" s="127"/>
      <c r="J64" s="127">
        <v>97</v>
      </c>
      <c r="K64" s="127"/>
      <c r="L64" s="121">
        <v>97.5</v>
      </c>
      <c r="M64" s="122"/>
      <c r="N64" s="117"/>
      <c r="O64" s="118"/>
    </row>
    <row r="65" spans="1:18" ht="13.5" hidden="1" thickBot="1">
      <c r="C65" s="23" t="s">
        <v>33</v>
      </c>
      <c r="D65" s="119">
        <v>0.65</v>
      </c>
      <c r="E65" s="125"/>
      <c r="F65" s="126">
        <v>0.7</v>
      </c>
      <c r="G65" s="125"/>
      <c r="H65" s="136">
        <v>0.8</v>
      </c>
      <c r="I65" s="136"/>
      <c r="J65" s="136">
        <v>0.8</v>
      </c>
      <c r="K65" s="136"/>
      <c r="L65" s="126">
        <v>0.7</v>
      </c>
      <c r="M65" s="125"/>
      <c r="N65" s="119"/>
      <c r="O65" s="120"/>
    </row>
    <row r="66" spans="1:18">
      <c r="G66" s="11"/>
      <c r="H66" s="13"/>
      <c r="I66" s="13"/>
      <c r="J66" s="13"/>
      <c r="K66" s="13"/>
      <c r="L66" s="13"/>
      <c r="M66" s="13"/>
      <c r="N66" s="13"/>
    </row>
    <row r="67" spans="1:18">
      <c r="G67" s="11"/>
      <c r="H67" s="13"/>
      <c r="I67" s="13"/>
      <c r="J67" s="13"/>
      <c r="K67" s="13"/>
      <c r="L67" s="13"/>
      <c r="M67" s="13"/>
      <c r="N67" s="13"/>
    </row>
    <row r="68" spans="1:18">
      <c r="A68" s="16" t="s">
        <v>61</v>
      </c>
      <c r="G68" s="11"/>
      <c r="H68" s="13"/>
      <c r="I68" s="13"/>
      <c r="J68" s="13"/>
      <c r="K68" s="13"/>
      <c r="L68" s="13"/>
      <c r="M68" s="13"/>
      <c r="N68" s="13"/>
    </row>
    <row r="69" spans="1:18" ht="6" customHeight="1"/>
    <row r="70" spans="1:18">
      <c r="B70" t="s">
        <v>60</v>
      </c>
    </row>
    <row r="71" spans="1:18">
      <c r="B71" t="s">
        <v>56</v>
      </c>
    </row>
    <row r="74" spans="1:18">
      <c r="A74" s="16" t="s">
        <v>18</v>
      </c>
    </row>
    <row r="75" spans="1:18" ht="9" customHeight="1" thickBot="1"/>
    <row r="76" spans="1:18" ht="12.75" customHeight="1">
      <c r="B76" s="123" t="s">
        <v>19</v>
      </c>
      <c r="C76" s="124"/>
      <c r="D76" s="112" t="s">
        <v>40</v>
      </c>
      <c r="E76" s="113"/>
      <c r="F76" s="113"/>
      <c r="G76" s="113"/>
      <c r="H76" s="113"/>
      <c r="I76" s="113"/>
      <c r="J76" s="114"/>
      <c r="K76" s="184" t="s">
        <v>20</v>
      </c>
    </row>
    <row r="77" spans="1:18" ht="13.5" thickBot="1">
      <c r="A77" s="9"/>
      <c r="B77" s="110" t="s">
        <v>39</v>
      </c>
      <c r="C77" s="111"/>
      <c r="D77" s="28" t="s">
        <v>38</v>
      </c>
      <c r="E77" s="29" t="s">
        <v>37</v>
      </c>
      <c r="F77" s="29" t="s">
        <v>44</v>
      </c>
      <c r="G77" s="29" t="s">
        <v>63</v>
      </c>
      <c r="H77" s="29" t="s">
        <v>36</v>
      </c>
      <c r="I77" s="29"/>
      <c r="J77" s="30"/>
      <c r="K77" s="186"/>
      <c r="M77" s="9"/>
      <c r="N77" s="9"/>
      <c r="O77" s="9"/>
      <c r="P77" s="9"/>
      <c r="Q77" s="9"/>
      <c r="R77" s="9"/>
    </row>
    <row r="78" spans="1:18">
      <c r="B78" s="115" t="s">
        <v>75</v>
      </c>
      <c r="C78" s="116"/>
      <c r="D78" s="12">
        <v>9</v>
      </c>
      <c r="E78" s="10">
        <v>12</v>
      </c>
      <c r="F78" s="10">
        <v>10</v>
      </c>
      <c r="G78" s="10">
        <v>9</v>
      </c>
      <c r="H78" s="31">
        <v>10</v>
      </c>
      <c r="I78" s="35"/>
      <c r="J78" s="13"/>
      <c r="K78" s="22">
        <v>9</v>
      </c>
      <c r="M78" s="9"/>
      <c r="N78" s="9"/>
      <c r="O78" s="9"/>
      <c r="P78" s="9"/>
      <c r="Q78" s="9"/>
      <c r="R78" s="9"/>
    </row>
    <row r="79" spans="1:18" ht="13.5" thickBot="1">
      <c r="B79" s="108" t="s">
        <v>76</v>
      </c>
      <c r="C79" s="109"/>
      <c r="D79" s="21">
        <v>14</v>
      </c>
      <c r="E79" s="20">
        <v>13</v>
      </c>
      <c r="F79" s="20">
        <v>14</v>
      </c>
      <c r="G79" s="20">
        <v>14</v>
      </c>
      <c r="H79" s="20">
        <v>15</v>
      </c>
      <c r="I79" s="34"/>
      <c r="J79" s="36"/>
      <c r="K79" s="23">
        <v>10</v>
      </c>
      <c r="M79" s="9"/>
      <c r="N79" s="9"/>
      <c r="O79" s="9"/>
      <c r="P79" s="9"/>
      <c r="Q79" s="9"/>
      <c r="R79" s="9"/>
    </row>
    <row r="80" spans="1:18" ht="13.5" thickBot="1">
      <c r="M80" s="9"/>
      <c r="N80" s="9"/>
      <c r="O80" s="9"/>
      <c r="P80" s="9"/>
      <c r="Q80" s="9"/>
      <c r="R80" s="9"/>
    </row>
    <row r="81" spans="2:18">
      <c r="B81" s="123" t="s">
        <v>19</v>
      </c>
      <c r="C81" s="124"/>
      <c r="D81" s="112" t="s">
        <v>41</v>
      </c>
      <c r="E81" s="113"/>
      <c r="F81" s="113"/>
      <c r="G81" s="113"/>
      <c r="H81" s="113"/>
      <c r="I81" s="113"/>
      <c r="J81" s="114"/>
      <c r="K81" s="184" t="s">
        <v>20</v>
      </c>
      <c r="M81" s="9"/>
      <c r="N81" s="9"/>
      <c r="O81" s="9"/>
      <c r="P81" s="9"/>
      <c r="Q81" s="9"/>
      <c r="R81" s="9"/>
    </row>
    <row r="82" spans="2:18" ht="12.75" customHeight="1" thickBot="1">
      <c r="B82" s="110" t="s">
        <v>39</v>
      </c>
      <c r="C82" s="111"/>
      <c r="D82" s="28" t="s">
        <v>38</v>
      </c>
      <c r="E82" s="29" t="s">
        <v>37</v>
      </c>
      <c r="F82" s="29" t="s">
        <v>44</v>
      </c>
      <c r="G82" s="29" t="s">
        <v>63</v>
      </c>
      <c r="H82" s="29" t="s">
        <v>36</v>
      </c>
      <c r="I82" s="29"/>
      <c r="J82" s="30"/>
      <c r="K82" s="185"/>
      <c r="M82" s="9"/>
      <c r="N82" s="9"/>
      <c r="O82" s="9"/>
      <c r="P82" s="9"/>
      <c r="Q82" s="9"/>
      <c r="R82" s="9"/>
    </row>
    <row r="83" spans="2:18">
      <c r="B83" s="115" t="s">
        <v>77</v>
      </c>
      <c r="C83" s="116"/>
      <c r="D83" s="12">
        <v>20</v>
      </c>
      <c r="E83" s="10">
        <v>20</v>
      </c>
      <c r="F83" s="10">
        <v>22</v>
      </c>
      <c r="G83" s="10">
        <v>21</v>
      </c>
      <c r="H83" s="31">
        <v>20</v>
      </c>
      <c r="I83" s="35"/>
      <c r="J83" s="13"/>
      <c r="K83" s="22">
        <v>8</v>
      </c>
      <c r="M83" s="9"/>
      <c r="N83" s="9"/>
      <c r="O83" s="9"/>
      <c r="P83" s="9"/>
      <c r="Q83" s="9"/>
      <c r="R83" s="9"/>
    </row>
    <row r="84" spans="2:18" ht="13.5" thickBot="1">
      <c r="B84" s="108" t="s">
        <v>78</v>
      </c>
      <c r="C84" s="109"/>
      <c r="D84" s="21">
        <v>25</v>
      </c>
      <c r="E84" s="20">
        <v>20</v>
      </c>
      <c r="F84" s="20">
        <v>24</v>
      </c>
      <c r="G84" s="20">
        <v>25</v>
      </c>
      <c r="H84" s="20">
        <v>22</v>
      </c>
      <c r="I84" s="34"/>
      <c r="J84" s="36"/>
      <c r="K84" s="23">
        <v>7</v>
      </c>
      <c r="M84" s="9"/>
      <c r="N84" s="9"/>
      <c r="O84" s="9"/>
      <c r="P84" s="9"/>
      <c r="Q84" s="9"/>
      <c r="R84" s="9"/>
    </row>
    <row r="85" spans="2:18">
      <c r="M85" s="9"/>
      <c r="N85" s="9"/>
      <c r="O85" s="9"/>
      <c r="P85" s="9"/>
      <c r="Q85" s="9"/>
      <c r="R85" s="9"/>
    </row>
    <row r="86" spans="2:18" ht="13.5" thickBot="1">
      <c r="M86" s="9"/>
      <c r="N86" s="9"/>
      <c r="O86" s="9"/>
      <c r="P86" s="9"/>
      <c r="Q86" s="9"/>
      <c r="R86" s="9"/>
    </row>
    <row r="87" spans="2:18">
      <c r="B87" s="123" t="s">
        <v>21</v>
      </c>
      <c r="C87" s="124"/>
      <c r="D87" s="176" t="s">
        <v>40</v>
      </c>
      <c r="E87" s="177"/>
      <c r="F87" s="177"/>
      <c r="G87" s="177"/>
      <c r="H87" s="176" t="s">
        <v>41</v>
      </c>
      <c r="I87" s="177"/>
      <c r="J87" s="177"/>
      <c r="K87" s="180"/>
      <c r="M87" s="9"/>
      <c r="N87" s="9"/>
      <c r="O87" s="9"/>
      <c r="P87" s="9"/>
      <c r="Q87" s="9"/>
      <c r="R87" s="9"/>
    </row>
    <row r="88" spans="2:18" ht="13.5" thickBot="1">
      <c r="B88" s="110" t="s">
        <v>42</v>
      </c>
      <c r="C88" s="111"/>
      <c r="D88" s="178"/>
      <c r="E88" s="179"/>
      <c r="F88" s="179"/>
      <c r="G88" s="179"/>
      <c r="H88" s="178"/>
      <c r="I88" s="179"/>
      <c r="J88" s="179"/>
      <c r="K88" s="181"/>
      <c r="M88" s="9"/>
      <c r="N88" s="9"/>
      <c r="O88" s="9"/>
      <c r="P88" s="9"/>
      <c r="Q88" s="9"/>
      <c r="R88" s="9"/>
    </row>
    <row r="89" spans="2:18">
      <c r="B89" s="168" t="s">
        <v>22</v>
      </c>
      <c r="C89" s="169"/>
      <c r="D89" s="160" t="s">
        <v>47</v>
      </c>
      <c r="E89" s="161"/>
      <c r="F89" s="161"/>
      <c r="G89" s="161"/>
      <c r="H89" s="160" t="s">
        <v>48</v>
      </c>
      <c r="I89" s="161"/>
      <c r="J89" s="161"/>
      <c r="K89" s="163"/>
      <c r="M89" s="9"/>
      <c r="N89" s="9"/>
      <c r="O89" s="9"/>
      <c r="P89" s="9"/>
      <c r="Q89" s="9"/>
      <c r="R89" s="9"/>
    </row>
    <row r="90" spans="2:18">
      <c r="B90" s="170"/>
      <c r="C90" s="171"/>
      <c r="D90" s="160" t="s">
        <v>23</v>
      </c>
      <c r="E90" s="161"/>
      <c r="F90" s="161"/>
      <c r="G90" s="161"/>
      <c r="H90" s="162" t="s">
        <v>64</v>
      </c>
      <c r="I90" s="161"/>
      <c r="J90" s="161"/>
      <c r="K90" s="163"/>
      <c r="M90" s="9"/>
      <c r="N90" s="9"/>
      <c r="O90" s="9"/>
      <c r="P90" s="9"/>
      <c r="Q90" s="9"/>
      <c r="R90" s="9"/>
    </row>
    <row r="91" spans="2:18" ht="13.5" thickBot="1">
      <c r="B91" s="172"/>
      <c r="C91" s="173"/>
      <c r="D91" s="174" t="s">
        <v>79</v>
      </c>
      <c r="E91" s="175"/>
      <c r="F91" s="175"/>
      <c r="G91" s="175"/>
      <c r="H91" s="174" t="s">
        <v>81</v>
      </c>
      <c r="I91" s="175"/>
      <c r="J91" s="175"/>
      <c r="K91" s="183"/>
      <c r="M91" s="9"/>
      <c r="N91" s="9"/>
      <c r="O91" s="9"/>
      <c r="P91" s="9"/>
      <c r="Q91" s="9"/>
      <c r="R91" s="9"/>
    </row>
    <row r="92" spans="2:18">
      <c r="B92" s="164" t="s">
        <v>24</v>
      </c>
      <c r="C92" s="165"/>
      <c r="D92" s="160" t="s">
        <v>47</v>
      </c>
      <c r="E92" s="161"/>
      <c r="F92" s="161"/>
      <c r="G92" s="161"/>
      <c r="H92" s="160" t="s">
        <v>46</v>
      </c>
      <c r="I92" s="161"/>
      <c r="J92" s="161"/>
      <c r="K92" s="163"/>
      <c r="M92" s="9"/>
      <c r="N92" s="9"/>
      <c r="O92" s="9"/>
      <c r="P92" s="9"/>
      <c r="Q92" s="9"/>
      <c r="R92" s="9"/>
    </row>
    <row r="93" spans="2:18">
      <c r="B93" s="164"/>
      <c r="C93" s="165"/>
      <c r="D93" s="160" t="s">
        <v>25</v>
      </c>
      <c r="E93" s="161"/>
      <c r="F93" s="161"/>
      <c r="G93" s="161"/>
      <c r="H93" s="160" t="s">
        <v>65</v>
      </c>
      <c r="I93" s="161"/>
      <c r="J93" s="161"/>
      <c r="K93" s="163"/>
      <c r="M93" s="9"/>
      <c r="N93" s="9"/>
      <c r="O93" s="9"/>
      <c r="P93" s="9"/>
      <c r="Q93" s="9"/>
      <c r="R93" s="9"/>
    </row>
    <row r="94" spans="2:18" ht="13.5" thickBot="1">
      <c r="B94" s="166"/>
      <c r="C94" s="167"/>
      <c r="D94" s="162" t="s">
        <v>80</v>
      </c>
      <c r="E94" s="161"/>
      <c r="F94" s="161"/>
      <c r="G94" s="161"/>
      <c r="H94" s="162" t="s">
        <v>82</v>
      </c>
      <c r="I94" s="161"/>
      <c r="J94" s="161"/>
      <c r="K94" s="163"/>
      <c r="M94" s="9"/>
      <c r="N94" s="9"/>
      <c r="O94" s="9"/>
      <c r="P94" s="9"/>
      <c r="Q94" s="9"/>
      <c r="R94" s="9"/>
    </row>
    <row r="95" spans="2:18">
      <c r="B95" s="156" t="s">
        <v>26</v>
      </c>
      <c r="C95" s="157"/>
      <c r="D95" s="150" t="s">
        <v>83</v>
      </c>
      <c r="E95" s="151"/>
      <c r="F95" s="151"/>
      <c r="G95" s="151"/>
      <c r="H95" s="151"/>
      <c r="I95" s="151"/>
      <c r="J95" s="151"/>
      <c r="K95" s="152"/>
      <c r="M95" s="9"/>
      <c r="N95" s="9"/>
      <c r="O95" s="9"/>
      <c r="P95" s="9"/>
      <c r="Q95" s="9"/>
      <c r="R95" s="9"/>
    </row>
    <row r="96" spans="2:18" ht="13.5" thickBot="1">
      <c r="B96" s="158"/>
      <c r="C96" s="159"/>
      <c r="D96" s="153"/>
      <c r="E96" s="154"/>
      <c r="F96" s="154"/>
      <c r="G96" s="154"/>
      <c r="H96" s="154"/>
      <c r="I96" s="154"/>
      <c r="J96" s="154"/>
      <c r="K96" s="155"/>
    </row>
    <row r="98" spans="1:16">
      <c r="B98" s="11" t="s">
        <v>57</v>
      </c>
      <c r="E98" s="11"/>
      <c r="F98" s="11"/>
      <c r="G98" s="11"/>
      <c r="H98" s="11"/>
      <c r="I98" s="11"/>
      <c r="J98" s="11"/>
      <c r="K98" s="11"/>
      <c r="L98" s="11"/>
    </row>
    <row r="99" spans="1:16">
      <c r="B99" s="43" t="s">
        <v>84</v>
      </c>
      <c r="E99" s="11"/>
      <c r="F99" s="11"/>
      <c r="G99" s="11"/>
      <c r="H99" s="11"/>
      <c r="I99" s="11"/>
      <c r="J99" s="11"/>
      <c r="K99" s="11"/>
      <c r="L99" s="11"/>
    </row>
    <row r="100" spans="1:16">
      <c r="B100" s="11"/>
      <c r="E100" s="11"/>
      <c r="F100" s="11"/>
      <c r="G100" s="11"/>
      <c r="H100" s="11"/>
      <c r="I100" s="11"/>
      <c r="J100" s="11"/>
      <c r="K100" s="11"/>
      <c r="L100" s="11"/>
    </row>
    <row r="101" spans="1:16">
      <c r="A101" s="11"/>
      <c r="D101" s="11"/>
      <c r="E101" s="11"/>
      <c r="F101" s="11"/>
      <c r="G101" s="11"/>
      <c r="H101" s="11"/>
      <c r="I101" s="11"/>
      <c r="J101" s="11"/>
      <c r="K101" s="11"/>
    </row>
    <row r="102" spans="1:16">
      <c r="A102" s="16" t="s">
        <v>27</v>
      </c>
    </row>
    <row r="103" spans="1:16" ht="6" customHeight="1"/>
    <row r="104" spans="1:16" ht="12.75" customHeight="1">
      <c r="B104" s="39" t="s">
        <v>86</v>
      </c>
      <c r="C104" s="40"/>
      <c r="D104" s="40"/>
      <c r="E104" s="40"/>
      <c r="F104" s="40"/>
      <c r="G104" s="40"/>
      <c r="H104" s="40"/>
      <c r="I104" s="40"/>
      <c r="J104" s="40"/>
      <c r="K104" s="40"/>
    </row>
    <row r="105" spans="1:16">
      <c r="A105" s="40"/>
      <c r="B105" s="39" t="s">
        <v>85</v>
      </c>
      <c r="C105" s="40"/>
      <c r="D105" s="40"/>
      <c r="E105" s="40"/>
      <c r="F105" s="40"/>
      <c r="G105" s="40"/>
      <c r="H105" s="40"/>
      <c r="I105" s="40"/>
      <c r="J105" s="40"/>
      <c r="K105" s="40"/>
    </row>
    <row r="108" spans="1:16">
      <c r="A108" s="16" t="s">
        <v>28</v>
      </c>
    </row>
    <row r="109" spans="1:16" ht="6" customHeight="1"/>
    <row r="110" spans="1:16" ht="12.75" customHeight="1">
      <c r="B110" s="38" t="s">
        <v>87</v>
      </c>
      <c r="C110" s="17"/>
      <c r="D110" s="17"/>
      <c r="E110" s="17"/>
      <c r="F110" s="17"/>
      <c r="G110" s="17"/>
      <c r="H110" s="17"/>
      <c r="I110" s="17"/>
      <c r="J110" s="17"/>
      <c r="K110" s="17"/>
      <c r="L110" s="18"/>
      <c r="M110" s="18"/>
      <c r="N110" s="18"/>
      <c r="O110" s="18"/>
      <c r="P110" s="18"/>
    </row>
    <row r="111" spans="1:16">
      <c r="B111" s="39" t="s">
        <v>88</v>
      </c>
      <c r="C111" s="19"/>
      <c r="D111" s="19"/>
      <c r="E111" s="19"/>
      <c r="F111" s="19"/>
      <c r="G111" s="19"/>
      <c r="H111" s="19"/>
      <c r="I111" s="19"/>
      <c r="J111" s="19"/>
      <c r="K111" s="19"/>
      <c r="L111" s="19"/>
      <c r="M111" s="19"/>
      <c r="N111" s="19"/>
      <c r="O111" s="19"/>
      <c r="P111" s="19"/>
    </row>
    <row r="112" spans="1:16">
      <c r="A112" s="19"/>
      <c r="B112" s="19"/>
      <c r="C112" s="19"/>
      <c r="D112" s="19"/>
      <c r="E112" s="19"/>
      <c r="F112" s="19"/>
      <c r="G112" s="19"/>
      <c r="H112" s="19"/>
      <c r="I112" s="19"/>
      <c r="J112" s="19"/>
      <c r="K112" s="19"/>
      <c r="L112" s="19"/>
      <c r="M112" s="19"/>
      <c r="N112" s="19"/>
      <c r="O112" s="19"/>
      <c r="P112" s="19"/>
    </row>
    <row r="114" spans="1:15">
      <c r="A114" s="16" t="s">
        <v>29</v>
      </c>
    </row>
    <row r="115" spans="1:15" ht="6" customHeight="1"/>
    <row r="116" spans="1:15" ht="12.75" customHeight="1">
      <c r="B116" s="18" t="s">
        <v>59</v>
      </c>
      <c r="C116" s="18"/>
      <c r="D116" s="18"/>
      <c r="E116" s="18"/>
      <c r="F116" s="18"/>
      <c r="G116" s="18"/>
      <c r="H116" s="18"/>
      <c r="I116" s="18"/>
      <c r="J116" s="18"/>
      <c r="K116" s="18"/>
      <c r="L116" s="18"/>
      <c r="M116" s="18"/>
      <c r="N116" s="18"/>
      <c r="O116" s="18"/>
    </row>
    <row r="117" spans="1:15">
      <c r="B117" s="38" t="s">
        <v>89</v>
      </c>
      <c r="C117" s="18"/>
      <c r="D117" s="18"/>
      <c r="E117" s="18"/>
      <c r="F117" s="18"/>
      <c r="G117" s="18"/>
      <c r="H117" s="18"/>
      <c r="I117" s="18"/>
      <c r="J117" s="18"/>
      <c r="K117" s="18"/>
      <c r="L117" s="18"/>
      <c r="M117" s="18"/>
      <c r="N117" s="18"/>
      <c r="O117" s="18"/>
    </row>
    <row r="118" spans="1:15">
      <c r="A118" s="18"/>
      <c r="B118" s="18"/>
      <c r="C118" s="18"/>
      <c r="D118" s="18"/>
      <c r="E118" s="18"/>
      <c r="F118" s="18"/>
      <c r="G118" s="18"/>
      <c r="H118" s="18"/>
      <c r="I118" s="18"/>
      <c r="J118" s="18"/>
      <c r="K118" s="18"/>
      <c r="L118" s="18"/>
      <c r="M118" s="18"/>
      <c r="N118" s="18"/>
      <c r="O118" s="18"/>
    </row>
    <row r="119" spans="1:15">
      <c r="A119" s="18"/>
      <c r="B119" s="18"/>
      <c r="C119" s="18"/>
      <c r="D119" s="18"/>
      <c r="E119" s="18"/>
      <c r="F119" s="18"/>
      <c r="G119" s="18"/>
      <c r="H119" s="18"/>
      <c r="I119" s="18"/>
      <c r="J119" s="18"/>
      <c r="K119" s="18"/>
      <c r="L119" s="18"/>
      <c r="M119" s="18"/>
      <c r="N119" s="18"/>
      <c r="O119" s="18"/>
    </row>
    <row r="120" spans="1:15">
      <c r="A120" s="16" t="s">
        <v>30</v>
      </c>
    </row>
    <row r="121" spans="1:15" ht="6" customHeight="1"/>
    <row r="122" spans="1:15">
      <c r="B122" t="s">
        <v>62</v>
      </c>
    </row>
    <row r="125" spans="1:15">
      <c r="A125" s="16" t="s">
        <v>43</v>
      </c>
    </row>
    <row r="126" spans="1:15" ht="6" customHeight="1"/>
    <row r="127" spans="1:15">
      <c r="B127" s="27" t="s">
        <v>90</v>
      </c>
    </row>
    <row r="128" spans="1:15">
      <c r="B128" s="27" t="s">
        <v>91</v>
      </c>
    </row>
    <row r="131" spans="1:1">
      <c r="A131" s="16" t="s">
        <v>92</v>
      </c>
    </row>
  </sheetData>
  <mergeCells count="90">
    <mergeCell ref="H91:K91"/>
    <mergeCell ref="K81:K82"/>
    <mergeCell ref="D76:J76"/>
    <mergeCell ref="K76:K77"/>
    <mergeCell ref="F62:G62"/>
    <mergeCell ref="F63:G63"/>
    <mergeCell ref="D63:E63"/>
    <mergeCell ref="J65:K65"/>
    <mergeCell ref="F61:G61"/>
    <mergeCell ref="H63:I63"/>
    <mergeCell ref="H64:I64"/>
    <mergeCell ref="J63:K63"/>
    <mergeCell ref="H65:I65"/>
    <mergeCell ref="O20:O21"/>
    <mergeCell ref="O32:O33"/>
    <mergeCell ref="B26:B27"/>
    <mergeCell ref="C26:N26"/>
    <mergeCell ref="O26:O27"/>
    <mergeCell ref="B32:B33"/>
    <mergeCell ref="C32:N32"/>
    <mergeCell ref="B20:B21"/>
    <mergeCell ref="C20:N20"/>
    <mergeCell ref="B89:C91"/>
    <mergeCell ref="B87:C87"/>
    <mergeCell ref="B88:C88"/>
    <mergeCell ref="D91:G91"/>
    <mergeCell ref="N62:O62"/>
    <mergeCell ref="N63:O63"/>
    <mergeCell ref="D87:G88"/>
    <mergeCell ref="D89:G89"/>
    <mergeCell ref="D90:G90"/>
    <mergeCell ref="H89:K89"/>
    <mergeCell ref="H87:K88"/>
    <mergeCell ref="H90:K90"/>
    <mergeCell ref="L63:M63"/>
    <mergeCell ref="L64:M64"/>
    <mergeCell ref="L65:M65"/>
    <mergeCell ref="J62:K62"/>
    <mergeCell ref="D95:K96"/>
    <mergeCell ref="B95:C96"/>
    <mergeCell ref="D92:G92"/>
    <mergeCell ref="D93:G93"/>
    <mergeCell ref="D94:G94"/>
    <mergeCell ref="H94:K94"/>
    <mergeCell ref="H93:K93"/>
    <mergeCell ref="B92:C94"/>
    <mergeCell ref="H92:K92"/>
    <mergeCell ref="C38:N38"/>
    <mergeCell ref="L60:M60"/>
    <mergeCell ref="N60:O60"/>
    <mergeCell ref="O38:O39"/>
    <mergeCell ref="F59:G59"/>
    <mergeCell ref="H59:I59"/>
    <mergeCell ref="J59:K59"/>
    <mergeCell ref="O44:O45"/>
    <mergeCell ref="L59:M59"/>
    <mergeCell ref="N59:O59"/>
    <mergeCell ref="J60:K60"/>
    <mergeCell ref="A1:O1"/>
    <mergeCell ref="D60:E60"/>
    <mergeCell ref="D61:E61"/>
    <mergeCell ref="D62:E62"/>
    <mergeCell ref="D59:E59"/>
    <mergeCell ref="H60:I60"/>
    <mergeCell ref="H61:I61"/>
    <mergeCell ref="H62:I62"/>
    <mergeCell ref="B44:B45"/>
    <mergeCell ref="C44:N44"/>
    <mergeCell ref="N61:O61"/>
    <mergeCell ref="F60:G60"/>
    <mergeCell ref="L62:M62"/>
    <mergeCell ref="L61:M61"/>
    <mergeCell ref="J61:K61"/>
    <mergeCell ref="B38:B39"/>
    <mergeCell ref="B84:C84"/>
    <mergeCell ref="B82:C82"/>
    <mergeCell ref="D81:J81"/>
    <mergeCell ref="B83:C83"/>
    <mergeCell ref="N64:O64"/>
    <mergeCell ref="N65:O65"/>
    <mergeCell ref="F64:G64"/>
    <mergeCell ref="B76:C76"/>
    <mergeCell ref="B77:C77"/>
    <mergeCell ref="D64:E64"/>
    <mergeCell ref="D65:E65"/>
    <mergeCell ref="F65:G65"/>
    <mergeCell ref="B81:C81"/>
    <mergeCell ref="B78:C78"/>
    <mergeCell ref="B79:C79"/>
    <mergeCell ref="J64:K64"/>
  </mergeCells>
  <phoneticPr fontId="0" type="noConversion"/>
  <printOptions horizontalCentered="1" verticalCentered="1"/>
  <pageMargins left="0.35433070866141736" right="0.35433070866141736" top="0.39370078740157483" bottom="0.39370078740157483" header="0" footer="0"/>
  <pageSetup scale="80" orientation="landscape" r:id="rId1"/>
  <headerFooter alignWithMargins="0">
    <oddFooter>&amp;R&amp;P</oddFooter>
  </headerFooter>
  <drawing r:id="rId2"/>
</worksheet>
</file>

<file path=xl/worksheets/sheet10.xml><?xml version="1.0" encoding="utf-8"?>
<worksheet xmlns="http://schemas.openxmlformats.org/spreadsheetml/2006/main" xmlns:r="http://schemas.openxmlformats.org/officeDocument/2006/relationships">
  <dimension ref="A1:O15"/>
  <sheetViews>
    <sheetView workbookViewId="0">
      <selection activeCell="N13" sqref="A3:N13"/>
    </sheetView>
  </sheetViews>
  <sheetFormatPr baseColWidth="10" defaultRowHeight="12.75"/>
  <cols>
    <col min="1" max="1" width="12.7109375" customWidth="1"/>
  </cols>
  <sheetData>
    <row r="1" spans="1:15">
      <c r="A1" s="257"/>
      <c r="B1" s="257"/>
      <c r="C1" s="257"/>
      <c r="D1" s="257"/>
      <c r="E1" s="257"/>
      <c r="F1" s="257"/>
      <c r="G1" s="257"/>
      <c r="H1" s="257"/>
      <c r="I1" s="257"/>
      <c r="J1" s="257"/>
      <c r="K1" s="257"/>
      <c r="L1" s="257"/>
      <c r="M1" s="257"/>
      <c r="N1" s="257"/>
      <c r="O1" s="257"/>
    </row>
    <row r="2" spans="1:15">
      <c r="A2" s="257"/>
      <c r="B2" s="257"/>
      <c r="C2" s="257"/>
      <c r="D2" s="257"/>
      <c r="E2" s="257"/>
      <c r="F2" s="257"/>
      <c r="G2" s="257"/>
      <c r="H2" s="257"/>
      <c r="I2" s="257"/>
      <c r="J2" s="257"/>
      <c r="K2" s="257"/>
      <c r="L2" s="257"/>
      <c r="M2" s="257"/>
      <c r="N2" s="257"/>
      <c r="O2" s="257"/>
    </row>
    <row r="3" spans="1:15">
      <c r="A3" s="244" t="s">
        <v>288</v>
      </c>
      <c r="B3" s="245"/>
      <c r="C3" s="245"/>
      <c r="D3" s="245"/>
      <c r="E3" s="245"/>
      <c r="F3" s="245"/>
      <c r="G3" s="245"/>
      <c r="H3" s="245"/>
      <c r="I3" s="245"/>
      <c r="J3" s="245"/>
      <c r="K3" s="245"/>
      <c r="L3" s="245"/>
      <c r="M3" s="245"/>
      <c r="N3" s="245"/>
      <c r="O3" s="257"/>
    </row>
    <row r="4" spans="1:15">
      <c r="A4" s="74"/>
      <c r="B4" s="74" t="s">
        <v>3</v>
      </c>
      <c r="C4" s="74" t="s">
        <v>4</v>
      </c>
      <c r="D4" s="74" t="s">
        <v>5</v>
      </c>
      <c r="E4" s="74" t="s">
        <v>6</v>
      </c>
      <c r="F4" s="74" t="s">
        <v>7</v>
      </c>
      <c r="G4" s="74" t="s">
        <v>8</v>
      </c>
      <c r="H4" s="74" t="s">
        <v>9</v>
      </c>
      <c r="I4" s="74" t="s">
        <v>10</v>
      </c>
      <c r="J4" s="74" t="s">
        <v>96</v>
      </c>
      <c r="K4" s="74" t="s">
        <v>12</v>
      </c>
      <c r="L4" s="74" t="s">
        <v>13</v>
      </c>
      <c r="M4" s="74" t="s">
        <v>14</v>
      </c>
      <c r="N4" s="58" t="s">
        <v>123</v>
      </c>
      <c r="O4" s="257"/>
    </row>
    <row r="5" spans="1:15">
      <c r="A5" s="48" t="s">
        <v>133</v>
      </c>
      <c r="B5" s="3">
        <v>2020</v>
      </c>
      <c r="C5" s="3">
        <v>2121</v>
      </c>
      <c r="D5" s="3">
        <v>2121</v>
      </c>
      <c r="E5" s="3">
        <v>2298</v>
      </c>
      <c r="F5" s="3">
        <v>2323</v>
      </c>
      <c r="G5" s="3">
        <v>2018</v>
      </c>
      <c r="H5" s="3">
        <v>2757</v>
      </c>
      <c r="I5" s="3">
        <v>2633</v>
      </c>
      <c r="J5" s="3">
        <v>2757</v>
      </c>
      <c r="K5" s="3">
        <v>2323</v>
      </c>
      <c r="L5" s="3">
        <v>2348</v>
      </c>
      <c r="M5" s="3">
        <v>1953</v>
      </c>
      <c r="N5" s="3">
        <v>28219.572909000006</v>
      </c>
      <c r="O5" s="257"/>
    </row>
    <row r="6" spans="1:15">
      <c r="A6" s="48" t="s">
        <v>134</v>
      </c>
      <c r="B6" s="3">
        <v>505</v>
      </c>
      <c r="C6" s="3">
        <v>657</v>
      </c>
      <c r="D6" s="3">
        <v>808</v>
      </c>
      <c r="E6" s="3">
        <v>606</v>
      </c>
      <c r="F6" s="3">
        <v>697</v>
      </c>
      <c r="G6" s="3">
        <v>707</v>
      </c>
      <c r="H6" s="3">
        <v>556</v>
      </c>
      <c r="I6" s="3">
        <v>1061</v>
      </c>
      <c r="J6" s="3">
        <v>985</v>
      </c>
      <c r="K6" s="3">
        <v>1036</v>
      </c>
      <c r="L6" s="3">
        <v>606</v>
      </c>
      <c r="M6" s="3">
        <v>657</v>
      </c>
      <c r="N6" s="3">
        <v>9053.6648400000013</v>
      </c>
      <c r="O6" s="257"/>
    </row>
    <row r="7" spans="1:15">
      <c r="A7" s="48" t="s">
        <v>123</v>
      </c>
      <c r="B7" s="87">
        <v>2323</v>
      </c>
      <c r="C7" s="87">
        <v>2591.25</v>
      </c>
      <c r="D7" s="87">
        <v>2772.45</v>
      </c>
      <c r="E7" s="87">
        <v>2680.5</v>
      </c>
      <c r="F7" s="87">
        <v>2810.95</v>
      </c>
      <c r="G7" s="87">
        <v>2563.6999999999998</v>
      </c>
      <c r="H7" s="87">
        <v>3010.65</v>
      </c>
      <c r="I7" s="87">
        <v>3511.25</v>
      </c>
      <c r="J7" s="87">
        <v>3525.45</v>
      </c>
      <c r="K7" s="87">
        <v>3217.75</v>
      </c>
      <c r="L7" s="87">
        <v>2723</v>
      </c>
      <c r="M7" s="87">
        <v>2448.4499999999998</v>
      </c>
      <c r="N7" s="87">
        <v>34851.034780650007</v>
      </c>
      <c r="O7" s="257"/>
    </row>
    <row r="8" spans="1:15">
      <c r="A8" s="257"/>
      <c r="B8" s="257"/>
      <c r="C8" s="257"/>
      <c r="D8" s="257"/>
      <c r="E8" s="257"/>
      <c r="F8" s="257"/>
      <c r="G8" s="257"/>
      <c r="H8" s="257"/>
      <c r="I8" s="257"/>
      <c r="J8" s="257"/>
      <c r="K8" s="257"/>
      <c r="L8" s="257"/>
      <c r="M8" s="257"/>
      <c r="N8" s="257"/>
      <c r="O8" s="257"/>
    </row>
    <row r="9" spans="1:15">
      <c r="A9" s="246" t="s">
        <v>289</v>
      </c>
      <c r="B9" s="246"/>
      <c r="C9" s="246"/>
      <c r="D9" s="246"/>
      <c r="E9" s="246"/>
      <c r="F9" s="246"/>
      <c r="G9" s="246"/>
      <c r="H9" s="246"/>
      <c r="I9" s="246"/>
      <c r="J9" s="246"/>
      <c r="K9" s="246"/>
      <c r="L9" s="246"/>
      <c r="M9" s="246"/>
      <c r="N9" s="257"/>
      <c r="O9" s="257"/>
    </row>
    <row r="10" spans="1:15">
      <c r="A10" s="74"/>
      <c r="B10" s="74" t="s">
        <v>3</v>
      </c>
      <c r="C10" s="74" t="s">
        <v>4</v>
      </c>
      <c r="D10" s="74" t="s">
        <v>5</v>
      </c>
      <c r="E10" s="74" t="s">
        <v>6</v>
      </c>
      <c r="F10" s="74" t="s">
        <v>7</v>
      </c>
      <c r="G10" s="74" t="s">
        <v>8</v>
      </c>
      <c r="H10" s="74" t="s">
        <v>9</v>
      </c>
      <c r="I10" s="74" t="s">
        <v>10</v>
      </c>
      <c r="J10" s="74" t="s">
        <v>96</v>
      </c>
      <c r="K10" s="74" t="s">
        <v>12</v>
      </c>
      <c r="L10" s="74" t="s">
        <v>13</v>
      </c>
      <c r="M10" s="74" t="s">
        <v>14</v>
      </c>
      <c r="N10" s="257"/>
      <c r="O10" s="257"/>
    </row>
    <row r="11" spans="1:15">
      <c r="A11" s="48" t="s">
        <v>133</v>
      </c>
      <c r="B11" s="105">
        <v>1999.8</v>
      </c>
      <c r="C11" s="105">
        <v>2099.79</v>
      </c>
      <c r="D11" s="105">
        <v>2099.79</v>
      </c>
      <c r="E11" s="105">
        <v>2275.02</v>
      </c>
      <c r="F11" s="105">
        <v>2299.77</v>
      </c>
      <c r="G11" s="105">
        <v>1997.82</v>
      </c>
      <c r="H11" s="105">
        <v>2729.43</v>
      </c>
      <c r="I11" s="105">
        <v>2606.67</v>
      </c>
      <c r="J11" s="105">
        <v>2729.43</v>
      </c>
      <c r="K11" s="105">
        <v>2299.77</v>
      </c>
      <c r="L11" s="105">
        <v>2324.52</v>
      </c>
      <c r="M11" s="105">
        <v>1933.47</v>
      </c>
      <c r="N11" s="257"/>
      <c r="O11" s="257"/>
    </row>
    <row r="12" spans="1:15">
      <c r="A12" s="48" t="s">
        <v>134</v>
      </c>
      <c r="B12" s="105">
        <v>499.95</v>
      </c>
      <c r="C12" s="105">
        <v>650.42999999999995</v>
      </c>
      <c r="D12" s="105">
        <v>799.92</v>
      </c>
      <c r="E12" s="105">
        <v>599.94000000000005</v>
      </c>
      <c r="F12" s="105">
        <v>690.03</v>
      </c>
      <c r="G12" s="105">
        <v>699.93</v>
      </c>
      <c r="H12" s="105">
        <v>550.44000000000005</v>
      </c>
      <c r="I12" s="105">
        <v>1050.3900000000001</v>
      </c>
      <c r="J12" s="105">
        <v>975.15</v>
      </c>
      <c r="K12" s="105">
        <v>1025.6400000000001</v>
      </c>
      <c r="L12" s="105">
        <v>599.94000000000005</v>
      </c>
      <c r="M12" s="105">
        <v>650.42999999999995</v>
      </c>
      <c r="N12" s="257"/>
      <c r="O12" s="257"/>
    </row>
    <row r="13" spans="1:15">
      <c r="A13" s="257"/>
      <c r="B13" s="257"/>
      <c r="C13" s="257"/>
      <c r="D13" s="257"/>
      <c r="E13" s="257"/>
      <c r="F13" s="257"/>
      <c r="G13" s="257"/>
      <c r="H13" s="257"/>
      <c r="I13" s="257"/>
      <c r="J13" s="257"/>
      <c r="K13" s="257"/>
      <c r="L13" s="257"/>
      <c r="M13" s="257"/>
      <c r="N13" s="257"/>
      <c r="O13" s="257"/>
    </row>
    <row r="14" spans="1:15">
      <c r="A14" s="257"/>
      <c r="B14" s="257"/>
      <c r="C14" s="257"/>
      <c r="D14" s="257"/>
      <c r="E14" s="257"/>
      <c r="F14" s="257"/>
      <c r="G14" s="257"/>
      <c r="H14" s="257"/>
      <c r="I14" s="257"/>
      <c r="J14" s="257"/>
      <c r="K14" s="257"/>
      <c r="L14" s="257"/>
      <c r="M14" s="257"/>
      <c r="N14" s="257"/>
      <c r="O14" s="257"/>
    </row>
    <row r="15" spans="1:15">
      <c r="A15" s="257"/>
      <c r="B15" s="257"/>
      <c r="C15" s="257"/>
      <c r="D15" s="257"/>
      <c r="E15" s="257"/>
      <c r="F15" s="257"/>
      <c r="G15" s="257"/>
      <c r="H15" s="257"/>
      <c r="I15" s="257"/>
      <c r="J15" s="257"/>
      <c r="K15" s="257"/>
      <c r="L15" s="257"/>
      <c r="M15" s="257"/>
      <c r="N15" s="257"/>
      <c r="O15" s="257"/>
    </row>
  </sheetData>
  <mergeCells count="2">
    <mergeCell ref="A3:N3"/>
    <mergeCell ref="A9:M9"/>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8"/>
  <sheetViews>
    <sheetView workbookViewId="0">
      <selection activeCell="I14" sqref="I14"/>
    </sheetView>
  </sheetViews>
  <sheetFormatPr baseColWidth="10" defaultRowHeight="12.75"/>
  <sheetData>
    <row r="1" spans="1:15">
      <c r="A1" s="257"/>
      <c r="B1" s="257"/>
      <c r="C1" s="257"/>
      <c r="D1" s="257"/>
      <c r="E1" s="257"/>
      <c r="F1" s="257"/>
      <c r="G1" s="257"/>
      <c r="H1" s="257"/>
      <c r="I1" s="257"/>
      <c r="J1" s="257"/>
      <c r="K1" s="257"/>
      <c r="L1" s="257"/>
      <c r="M1" s="257"/>
      <c r="N1" s="257"/>
      <c r="O1" s="257"/>
    </row>
    <row r="2" spans="1:15">
      <c r="A2" s="193" t="s">
        <v>290</v>
      </c>
      <c r="B2" s="194"/>
      <c r="C2" s="194"/>
      <c r="D2" s="194"/>
      <c r="E2" s="194"/>
      <c r="F2" s="194"/>
      <c r="G2" s="194"/>
      <c r="H2" s="194"/>
      <c r="I2" s="194"/>
      <c r="J2" s="194"/>
      <c r="K2" s="194"/>
      <c r="L2" s="194"/>
      <c r="M2" s="194"/>
      <c r="N2" s="194"/>
      <c r="O2" s="257"/>
    </row>
    <row r="3" spans="1:15">
      <c r="A3" s="74"/>
      <c r="B3" s="74" t="s">
        <v>3</v>
      </c>
      <c r="C3" s="74" t="s">
        <v>4</v>
      </c>
      <c r="D3" s="74" t="s">
        <v>5</v>
      </c>
      <c r="E3" s="74" t="s">
        <v>6</v>
      </c>
      <c r="F3" s="74" t="s">
        <v>7</v>
      </c>
      <c r="G3" s="74" t="s">
        <v>8</v>
      </c>
      <c r="H3" s="74" t="s">
        <v>9</v>
      </c>
      <c r="I3" s="74" t="s">
        <v>10</v>
      </c>
      <c r="J3" s="74" t="s">
        <v>96</v>
      </c>
      <c r="K3" s="74" t="s">
        <v>12</v>
      </c>
      <c r="L3" s="74" t="s">
        <v>13</v>
      </c>
      <c r="M3" s="74" t="s">
        <v>14</v>
      </c>
      <c r="N3" s="58" t="s">
        <v>123</v>
      </c>
      <c r="O3" s="257"/>
    </row>
    <row r="4" spans="1:15">
      <c r="A4" s="48" t="s">
        <v>133</v>
      </c>
      <c r="B4" s="59">
        <v>1699.83</v>
      </c>
      <c r="C4" s="59">
        <v>1784.8215</v>
      </c>
      <c r="D4" s="59">
        <v>1784.8215</v>
      </c>
      <c r="E4" s="59">
        <v>1933.7670000000001</v>
      </c>
      <c r="F4" s="59">
        <v>1954.8045</v>
      </c>
      <c r="G4" s="59">
        <v>1698.1469999999999</v>
      </c>
      <c r="H4" s="59">
        <v>2320.0155</v>
      </c>
      <c r="I4" s="59">
        <v>2215.6695</v>
      </c>
      <c r="J4" s="59">
        <v>2320.0155</v>
      </c>
      <c r="K4" s="59">
        <v>1954.8045</v>
      </c>
      <c r="L4" s="59">
        <v>1975.8420000000001</v>
      </c>
      <c r="M4" s="59">
        <v>1643.4494999999999</v>
      </c>
      <c r="N4" s="59">
        <v>23285.987999999998</v>
      </c>
      <c r="O4" s="257"/>
    </row>
    <row r="5" spans="1:15">
      <c r="A5" s="48" t="s">
        <v>134</v>
      </c>
      <c r="B5" s="59">
        <v>599.94000000000005</v>
      </c>
      <c r="C5" s="59">
        <v>780.51599999999996</v>
      </c>
      <c r="D5" s="59">
        <v>959.904</v>
      </c>
      <c r="E5" s="59">
        <v>719.928</v>
      </c>
      <c r="F5" s="59">
        <v>828.03599999999994</v>
      </c>
      <c r="G5" s="59">
        <v>839.91600000000005</v>
      </c>
      <c r="H5" s="59">
        <v>660.52800000000002</v>
      </c>
      <c r="I5" s="59">
        <v>1260.4680000000001</v>
      </c>
      <c r="J5" s="59">
        <v>1170.18</v>
      </c>
      <c r="K5" s="59">
        <v>1230.768</v>
      </c>
      <c r="L5" s="59">
        <v>719.928</v>
      </c>
      <c r="M5" s="59">
        <v>780.51599999999996</v>
      </c>
      <c r="N5" s="59">
        <v>10550.628000000001</v>
      </c>
      <c r="O5" s="257"/>
    </row>
    <row r="6" spans="1:15">
      <c r="A6" s="48" t="s">
        <v>123</v>
      </c>
      <c r="B6" s="87">
        <v>2299.77</v>
      </c>
      <c r="C6" s="87">
        <v>2565.3375000000001</v>
      </c>
      <c r="D6" s="87">
        <v>2744.7255</v>
      </c>
      <c r="E6" s="87">
        <v>2653.6950000000002</v>
      </c>
      <c r="F6" s="87">
        <v>2782.8404999999998</v>
      </c>
      <c r="G6" s="87">
        <v>2538.0630000000001</v>
      </c>
      <c r="H6" s="87">
        <v>2980.5434999999998</v>
      </c>
      <c r="I6" s="87">
        <v>3476.1374999999998</v>
      </c>
      <c r="J6" s="87">
        <v>3490.1954999999998</v>
      </c>
      <c r="K6" s="87">
        <v>3185.5725000000002</v>
      </c>
      <c r="L6" s="87">
        <v>2695.77</v>
      </c>
      <c r="M6" s="87">
        <v>2423.9654999999998</v>
      </c>
      <c r="N6" s="87">
        <v>33836.615999999995</v>
      </c>
      <c r="O6" s="257"/>
    </row>
    <row r="7" spans="1:15">
      <c r="A7" s="257"/>
      <c r="B7" s="257"/>
      <c r="C7" s="257"/>
      <c r="D7" s="257"/>
      <c r="E7" s="257"/>
      <c r="F7" s="257"/>
      <c r="G7" s="257"/>
      <c r="H7" s="257"/>
      <c r="I7" s="257"/>
      <c r="J7" s="257"/>
      <c r="K7" s="257"/>
      <c r="L7" s="257"/>
      <c r="M7" s="257"/>
      <c r="N7" s="257"/>
      <c r="O7" s="257"/>
    </row>
    <row r="8" spans="1:15">
      <c r="A8" s="257"/>
      <c r="B8" s="257"/>
      <c r="C8" s="257"/>
      <c r="D8" s="257"/>
      <c r="E8" s="257"/>
      <c r="F8" s="257"/>
      <c r="G8" s="257"/>
      <c r="H8" s="257"/>
      <c r="I8" s="257"/>
      <c r="J8" s="257"/>
      <c r="K8" s="257"/>
      <c r="L8" s="257"/>
      <c r="M8" s="257"/>
      <c r="N8" s="257"/>
      <c r="O8" s="257"/>
    </row>
  </sheetData>
  <mergeCells count="1">
    <mergeCell ref="A2:N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16"/>
  <sheetViews>
    <sheetView workbookViewId="0">
      <selection activeCell="O16" sqref="A15:O16"/>
    </sheetView>
  </sheetViews>
  <sheetFormatPr baseColWidth="10" defaultRowHeight="12.75"/>
  <cols>
    <col min="1" max="1" width="25" customWidth="1"/>
  </cols>
  <sheetData>
    <row r="1" spans="1:15">
      <c r="A1" s="257"/>
      <c r="B1" s="257"/>
      <c r="C1" s="257"/>
      <c r="D1" s="257"/>
      <c r="E1" s="257"/>
      <c r="F1" s="257"/>
      <c r="G1" s="257"/>
      <c r="H1" s="257"/>
      <c r="I1" s="257"/>
      <c r="J1" s="257"/>
      <c r="K1" s="257"/>
      <c r="L1" s="257"/>
      <c r="M1" s="257"/>
      <c r="N1" s="257"/>
      <c r="O1" s="257"/>
    </row>
    <row r="2" spans="1:15">
      <c r="A2" s="212" t="s">
        <v>291</v>
      </c>
      <c r="B2" s="213"/>
      <c r="C2" s="213"/>
      <c r="D2" s="213"/>
      <c r="E2" s="213"/>
      <c r="F2" s="213"/>
      <c r="G2" s="213"/>
      <c r="H2" s="213"/>
      <c r="I2" s="213"/>
      <c r="J2" s="213"/>
      <c r="K2" s="213"/>
      <c r="L2" s="213"/>
      <c r="M2" s="213"/>
      <c r="N2" s="213"/>
      <c r="O2" s="257"/>
    </row>
    <row r="3" spans="1:15">
      <c r="A3" s="74"/>
      <c r="B3" s="74" t="s">
        <v>3</v>
      </c>
      <c r="C3" s="74" t="s">
        <v>4</v>
      </c>
      <c r="D3" s="74" t="s">
        <v>5</v>
      </c>
      <c r="E3" s="74" t="s">
        <v>6</v>
      </c>
      <c r="F3" s="74" t="s">
        <v>7</v>
      </c>
      <c r="G3" s="74" t="s">
        <v>8</v>
      </c>
      <c r="H3" s="74" t="s">
        <v>9</v>
      </c>
      <c r="I3" s="74" t="s">
        <v>10</v>
      </c>
      <c r="J3" s="74" t="s">
        <v>96</v>
      </c>
      <c r="K3" s="74" t="s">
        <v>12</v>
      </c>
      <c r="L3" s="74" t="s">
        <v>13</v>
      </c>
      <c r="M3" s="74" t="s">
        <v>14</v>
      </c>
      <c r="N3" s="58" t="s">
        <v>123</v>
      </c>
      <c r="O3" s="257"/>
    </row>
    <row r="4" spans="1:15">
      <c r="A4" s="48" t="s">
        <v>133</v>
      </c>
      <c r="B4" s="74"/>
      <c r="C4" s="74"/>
      <c r="D4" s="74"/>
      <c r="E4" s="74"/>
      <c r="F4" s="74"/>
      <c r="G4" s="74"/>
      <c r="H4" s="74"/>
      <c r="I4" s="74"/>
      <c r="J4" s="74"/>
      <c r="K4" s="74"/>
      <c r="L4" s="74"/>
      <c r="M4" s="74"/>
      <c r="N4" s="74"/>
      <c r="O4" s="257"/>
    </row>
    <row r="5" spans="1:15">
      <c r="A5" s="60" t="s">
        <v>135</v>
      </c>
      <c r="B5" s="59">
        <v>799</v>
      </c>
      <c r="C5" s="59">
        <v>843</v>
      </c>
      <c r="D5" s="59">
        <v>885</v>
      </c>
      <c r="E5" s="59">
        <v>885</v>
      </c>
      <c r="F5" s="59">
        <v>959</v>
      </c>
      <c r="G5" s="59">
        <v>969</v>
      </c>
      <c r="H5" s="59">
        <v>842</v>
      </c>
      <c r="I5" s="59">
        <v>1150</v>
      </c>
      <c r="J5" s="59">
        <v>1098</v>
      </c>
      <c r="K5" s="59">
        <v>1150</v>
      </c>
      <c r="L5" s="59">
        <v>969</v>
      </c>
      <c r="M5" s="59">
        <v>980</v>
      </c>
      <c r="N5" s="59">
        <v>10730</v>
      </c>
      <c r="O5" s="257"/>
    </row>
    <row r="6" spans="1:15">
      <c r="A6" s="60" t="s">
        <v>136</v>
      </c>
      <c r="B6" s="59">
        <v>843</v>
      </c>
      <c r="C6" s="59">
        <v>885</v>
      </c>
      <c r="D6" s="59">
        <v>885</v>
      </c>
      <c r="E6" s="59">
        <v>959</v>
      </c>
      <c r="F6" s="59">
        <v>969</v>
      </c>
      <c r="G6" s="59">
        <v>842</v>
      </c>
      <c r="H6" s="59">
        <v>1150</v>
      </c>
      <c r="I6" s="59">
        <v>1098</v>
      </c>
      <c r="J6" s="59">
        <v>1150</v>
      </c>
      <c r="K6" s="59">
        <v>969</v>
      </c>
      <c r="L6" s="59">
        <v>980</v>
      </c>
      <c r="M6" s="59">
        <v>815</v>
      </c>
      <c r="N6" s="59">
        <v>10702</v>
      </c>
      <c r="O6" s="257"/>
    </row>
    <row r="7" spans="1:15">
      <c r="A7" s="60" t="s">
        <v>107</v>
      </c>
      <c r="B7" s="87">
        <v>1642</v>
      </c>
      <c r="C7" s="87">
        <v>1728</v>
      </c>
      <c r="D7" s="87">
        <v>1770</v>
      </c>
      <c r="E7" s="87">
        <v>1844</v>
      </c>
      <c r="F7" s="87">
        <v>1928</v>
      </c>
      <c r="G7" s="87">
        <v>1811</v>
      </c>
      <c r="H7" s="87">
        <v>1992</v>
      </c>
      <c r="I7" s="87">
        <v>2248</v>
      </c>
      <c r="J7" s="87">
        <v>2248</v>
      </c>
      <c r="K7" s="87">
        <v>2119</v>
      </c>
      <c r="L7" s="87">
        <v>1949</v>
      </c>
      <c r="M7" s="87">
        <v>1795</v>
      </c>
      <c r="N7" s="87">
        <v>21432</v>
      </c>
      <c r="O7" s="257"/>
    </row>
    <row r="8" spans="1:15">
      <c r="A8" s="48" t="s">
        <v>134</v>
      </c>
      <c r="B8" s="59"/>
      <c r="C8" s="74"/>
      <c r="D8" s="74"/>
      <c r="E8" s="74"/>
      <c r="F8" s="74"/>
      <c r="G8" s="74"/>
      <c r="H8" s="74"/>
      <c r="I8" s="74"/>
      <c r="J8" s="74"/>
      <c r="K8" s="74"/>
      <c r="L8" s="74"/>
      <c r="M8" s="74"/>
      <c r="N8" s="74"/>
      <c r="O8" s="257"/>
    </row>
    <row r="9" spans="1:15">
      <c r="A9" s="60" t="s">
        <v>135</v>
      </c>
      <c r="B9" s="59">
        <v>380</v>
      </c>
      <c r="C9" s="59">
        <v>298</v>
      </c>
      <c r="D9" s="59">
        <v>387</v>
      </c>
      <c r="E9" s="59">
        <v>476</v>
      </c>
      <c r="F9" s="59">
        <v>357</v>
      </c>
      <c r="G9" s="59">
        <v>411</v>
      </c>
      <c r="H9" s="59">
        <v>417</v>
      </c>
      <c r="I9" s="59">
        <v>328</v>
      </c>
      <c r="J9" s="59">
        <v>625</v>
      </c>
      <c r="K9" s="59">
        <v>580</v>
      </c>
      <c r="L9" s="59">
        <v>610</v>
      </c>
      <c r="M9" s="59">
        <v>357</v>
      </c>
      <c r="N9" s="59">
        <v>4846</v>
      </c>
      <c r="O9" s="257"/>
    </row>
    <row r="10" spans="1:15">
      <c r="A10" s="60" t="s">
        <v>136</v>
      </c>
      <c r="B10" s="59">
        <v>298</v>
      </c>
      <c r="C10" s="59">
        <v>387</v>
      </c>
      <c r="D10" s="59">
        <v>476</v>
      </c>
      <c r="E10" s="59">
        <v>357</v>
      </c>
      <c r="F10" s="59">
        <v>411</v>
      </c>
      <c r="G10" s="59">
        <v>417</v>
      </c>
      <c r="H10" s="59">
        <v>328</v>
      </c>
      <c r="I10" s="59">
        <v>625</v>
      </c>
      <c r="J10" s="59">
        <v>580</v>
      </c>
      <c r="K10" s="59">
        <v>610</v>
      </c>
      <c r="L10" s="59">
        <v>357</v>
      </c>
      <c r="M10" s="59">
        <v>387</v>
      </c>
      <c r="N10" s="59">
        <v>4935</v>
      </c>
      <c r="O10" s="257"/>
    </row>
    <row r="11" spans="1:15">
      <c r="A11" s="61" t="s">
        <v>108</v>
      </c>
      <c r="B11" s="87">
        <v>678</v>
      </c>
      <c r="C11" s="87">
        <v>685</v>
      </c>
      <c r="D11" s="87">
        <v>863</v>
      </c>
      <c r="E11" s="87">
        <v>833</v>
      </c>
      <c r="F11" s="87">
        <v>768</v>
      </c>
      <c r="G11" s="87">
        <v>828</v>
      </c>
      <c r="H11" s="87">
        <v>745</v>
      </c>
      <c r="I11" s="87">
        <v>953</v>
      </c>
      <c r="J11" s="87">
        <v>1205</v>
      </c>
      <c r="K11" s="87">
        <v>1190</v>
      </c>
      <c r="L11" s="87">
        <v>967</v>
      </c>
      <c r="M11" s="87">
        <v>744</v>
      </c>
      <c r="N11" s="87">
        <v>9781</v>
      </c>
      <c r="O11" s="257"/>
    </row>
    <row r="12" spans="1:15">
      <c r="O12" s="257"/>
    </row>
    <row r="13" spans="1:15">
      <c r="A13" s="61" t="s">
        <v>140</v>
      </c>
      <c r="B13" s="87">
        <v>2320</v>
      </c>
      <c r="C13" s="87">
        <v>2413</v>
      </c>
      <c r="D13" s="87">
        <v>2633</v>
      </c>
      <c r="E13" s="87">
        <v>2677</v>
      </c>
      <c r="F13" s="87">
        <v>2696</v>
      </c>
      <c r="G13" s="87">
        <v>2639</v>
      </c>
      <c r="H13" s="87">
        <v>2737</v>
      </c>
      <c r="I13" s="87">
        <v>3201</v>
      </c>
      <c r="J13" s="87">
        <v>3453</v>
      </c>
      <c r="K13" s="87">
        <v>3309</v>
      </c>
      <c r="L13" s="87">
        <v>2916</v>
      </c>
      <c r="M13" s="87">
        <v>2539</v>
      </c>
      <c r="N13" s="87">
        <v>31213</v>
      </c>
      <c r="O13" s="257"/>
    </row>
    <row r="14" spans="1:15">
      <c r="A14" s="61" t="s">
        <v>292</v>
      </c>
      <c r="B14" s="87">
        <v>2342</v>
      </c>
      <c r="C14" s="87">
        <v>2435</v>
      </c>
      <c r="D14" s="87">
        <v>2657</v>
      </c>
      <c r="E14" s="87">
        <v>2702</v>
      </c>
      <c r="F14" s="87">
        <v>2721</v>
      </c>
      <c r="G14" s="87">
        <v>2663</v>
      </c>
      <c r="H14" s="87">
        <v>2762</v>
      </c>
      <c r="I14" s="87">
        <v>3231</v>
      </c>
      <c r="J14" s="87">
        <v>3485</v>
      </c>
      <c r="K14" s="87">
        <v>3340</v>
      </c>
      <c r="L14" s="87">
        <v>2943</v>
      </c>
      <c r="M14" s="87">
        <v>2563</v>
      </c>
      <c r="N14" s="87">
        <v>31496.468213925327</v>
      </c>
      <c r="O14" s="257"/>
    </row>
    <row r="15" spans="1:15">
      <c r="A15" s="257"/>
      <c r="B15" s="257"/>
      <c r="C15" s="257"/>
      <c r="D15" s="257"/>
      <c r="E15" s="257"/>
      <c r="F15" s="257"/>
      <c r="G15" s="257"/>
      <c r="H15" s="257"/>
      <c r="I15" s="257"/>
      <c r="J15" s="257"/>
      <c r="K15" s="257"/>
      <c r="L15" s="257"/>
      <c r="M15" s="257"/>
      <c r="N15" s="257"/>
      <c r="O15" s="257"/>
    </row>
    <row r="16" spans="1:15">
      <c r="A16" s="257"/>
      <c r="B16" s="257"/>
      <c r="C16" s="257"/>
      <c r="D16" s="257"/>
      <c r="E16" s="257"/>
      <c r="F16" s="257"/>
      <c r="G16" s="257"/>
      <c r="H16" s="257"/>
      <c r="I16" s="257"/>
      <c r="J16" s="257"/>
      <c r="K16" s="257"/>
      <c r="L16" s="257"/>
      <c r="M16" s="257"/>
      <c r="N16" s="257"/>
      <c r="O16" s="257"/>
    </row>
  </sheetData>
  <mergeCells count="1">
    <mergeCell ref="A2:N2"/>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18"/>
  <sheetViews>
    <sheetView workbookViewId="0">
      <selection activeCell="N16" sqref="A2:N16"/>
    </sheetView>
  </sheetViews>
  <sheetFormatPr baseColWidth="10" defaultRowHeight="12.75"/>
  <cols>
    <col min="1" max="1" width="15.140625" customWidth="1"/>
  </cols>
  <sheetData>
    <row r="1" spans="1:15">
      <c r="A1" s="257"/>
      <c r="B1" s="257"/>
      <c r="C1" s="257"/>
      <c r="D1" s="257"/>
      <c r="E1" s="257"/>
      <c r="F1" s="257"/>
      <c r="G1" s="257"/>
      <c r="H1" s="257"/>
      <c r="I1" s="257"/>
      <c r="J1" s="257"/>
      <c r="K1" s="257"/>
      <c r="L1" s="257"/>
      <c r="M1" s="257"/>
      <c r="N1" s="257"/>
      <c r="O1" s="257"/>
    </row>
    <row r="2" spans="1:15">
      <c r="A2" s="187" t="s">
        <v>125</v>
      </c>
      <c r="B2" s="247"/>
      <c r="C2" s="247"/>
      <c r="D2" s="247"/>
      <c r="E2" s="247"/>
      <c r="F2" s="247"/>
      <c r="G2" s="247"/>
      <c r="H2" s="247"/>
      <c r="I2" s="247"/>
      <c r="J2" s="247"/>
      <c r="K2" s="247"/>
      <c r="L2" s="247"/>
      <c r="M2" s="247"/>
      <c r="N2" s="248"/>
      <c r="O2" s="257"/>
    </row>
    <row r="3" spans="1:15">
      <c r="A3" s="74"/>
      <c r="B3" s="74" t="s">
        <v>3</v>
      </c>
      <c r="C3" s="74" t="s">
        <v>4</v>
      </c>
      <c r="D3" s="74" t="s">
        <v>5</v>
      </c>
      <c r="E3" s="74" t="s">
        <v>6</v>
      </c>
      <c r="F3" s="74" t="s">
        <v>7</v>
      </c>
      <c r="G3" s="74" t="s">
        <v>8</v>
      </c>
      <c r="H3" s="74" t="s">
        <v>9</v>
      </c>
      <c r="I3" s="74" t="s">
        <v>10</v>
      </c>
      <c r="J3" s="74" t="s">
        <v>96</v>
      </c>
      <c r="K3" s="74" t="s">
        <v>12</v>
      </c>
      <c r="L3" s="74" t="s">
        <v>13</v>
      </c>
      <c r="M3" s="74" t="s">
        <v>14</v>
      </c>
      <c r="N3" s="58" t="s">
        <v>123</v>
      </c>
      <c r="O3" s="257"/>
    </row>
    <row r="4" spans="1:15">
      <c r="A4" s="48" t="s">
        <v>125</v>
      </c>
      <c r="B4" s="59">
        <v>0</v>
      </c>
      <c r="C4" s="59">
        <v>0</v>
      </c>
      <c r="D4" s="59">
        <v>0</v>
      </c>
      <c r="E4" s="59">
        <v>190</v>
      </c>
      <c r="F4" s="59">
        <v>190</v>
      </c>
      <c r="G4" s="59">
        <v>190</v>
      </c>
      <c r="H4" s="59">
        <v>190</v>
      </c>
      <c r="I4" s="59">
        <v>190</v>
      </c>
      <c r="J4" s="59">
        <v>0</v>
      </c>
      <c r="K4" s="59">
        <v>0</v>
      </c>
      <c r="L4" s="59">
        <v>0</v>
      </c>
      <c r="M4" s="59">
        <v>0</v>
      </c>
      <c r="N4" s="59">
        <v>950</v>
      </c>
      <c r="O4" s="257"/>
    </row>
    <row r="5" spans="1:15">
      <c r="A5" s="257"/>
      <c r="B5" s="257"/>
      <c r="C5" s="257"/>
      <c r="D5" s="257"/>
      <c r="E5" s="257"/>
      <c r="F5" s="257"/>
      <c r="G5" s="257"/>
      <c r="H5" s="257"/>
      <c r="I5" s="257"/>
      <c r="J5" s="257"/>
      <c r="K5" s="257"/>
      <c r="L5" s="257"/>
      <c r="M5" s="257"/>
      <c r="N5" s="257"/>
      <c r="O5" s="257"/>
    </row>
    <row r="6" spans="1:15">
      <c r="A6" s="187" t="s">
        <v>176</v>
      </c>
      <c r="B6" s="188"/>
      <c r="C6" s="188"/>
      <c r="D6" s="188"/>
      <c r="E6" s="188"/>
      <c r="F6" s="188"/>
      <c r="G6" s="188"/>
      <c r="H6" s="188"/>
      <c r="I6" s="188"/>
      <c r="J6" s="188"/>
      <c r="K6" s="188"/>
      <c r="L6" s="188"/>
      <c r="M6" s="188"/>
      <c r="N6" s="226"/>
      <c r="O6" s="257"/>
    </row>
    <row r="7" spans="1:15">
      <c r="A7" s="74"/>
      <c r="B7" s="74" t="s">
        <v>3</v>
      </c>
      <c r="C7" s="74" t="s">
        <v>4</v>
      </c>
      <c r="D7" s="74" t="s">
        <v>5</v>
      </c>
      <c r="E7" s="74" t="s">
        <v>6</v>
      </c>
      <c r="F7" s="74" t="s">
        <v>7</v>
      </c>
      <c r="G7" s="74" t="s">
        <v>8</v>
      </c>
      <c r="H7" s="74" t="s">
        <v>9</v>
      </c>
      <c r="I7" s="74" t="s">
        <v>10</v>
      </c>
      <c r="J7" s="74" t="s">
        <v>96</v>
      </c>
      <c r="K7" s="74" t="s">
        <v>12</v>
      </c>
      <c r="L7" s="74" t="s">
        <v>13</v>
      </c>
      <c r="M7" s="74" t="s">
        <v>14</v>
      </c>
      <c r="N7" s="58" t="s">
        <v>123</v>
      </c>
      <c r="O7" s="257"/>
    </row>
    <row r="8" spans="1:15">
      <c r="A8" s="48" t="s">
        <v>126</v>
      </c>
      <c r="B8" s="59">
        <v>107</v>
      </c>
      <c r="C8" s="59">
        <v>107</v>
      </c>
      <c r="D8" s="59">
        <v>107</v>
      </c>
      <c r="E8" s="59">
        <v>87</v>
      </c>
      <c r="F8" s="59">
        <v>87</v>
      </c>
      <c r="G8" s="59">
        <v>87</v>
      </c>
      <c r="H8" s="59">
        <v>87</v>
      </c>
      <c r="I8" s="59">
        <v>87</v>
      </c>
      <c r="J8" s="59">
        <v>87</v>
      </c>
      <c r="K8" s="59">
        <v>87</v>
      </c>
      <c r="L8" s="59">
        <v>87</v>
      </c>
      <c r="M8" s="59">
        <v>87</v>
      </c>
      <c r="N8" s="59">
        <v>1104</v>
      </c>
      <c r="O8" s="257"/>
    </row>
    <row r="9" spans="1:15">
      <c r="A9" s="48" t="s">
        <v>127</v>
      </c>
      <c r="B9" s="59">
        <v>145</v>
      </c>
      <c r="C9" s="59">
        <v>145</v>
      </c>
      <c r="D9" s="59">
        <v>145</v>
      </c>
      <c r="E9" s="59">
        <v>145</v>
      </c>
      <c r="F9" s="59">
        <v>145</v>
      </c>
      <c r="G9" s="59">
        <v>145</v>
      </c>
      <c r="H9" s="59">
        <v>145</v>
      </c>
      <c r="I9" s="59">
        <v>145</v>
      </c>
      <c r="J9" s="59">
        <v>145</v>
      </c>
      <c r="K9" s="59">
        <v>145</v>
      </c>
      <c r="L9" s="59">
        <v>145</v>
      </c>
      <c r="M9" s="59">
        <v>145</v>
      </c>
      <c r="N9" s="59">
        <v>1740</v>
      </c>
      <c r="O9" s="257"/>
    </row>
    <row r="10" spans="1:15">
      <c r="A10" s="48" t="s">
        <v>123</v>
      </c>
      <c r="B10" s="59">
        <v>252</v>
      </c>
      <c r="C10" s="59">
        <v>252</v>
      </c>
      <c r="D10" s="59">
        <v>252</v>
      </c>
      <c r="E10" s="59">
        <v>232</v>
      </c>
      <c r="F10" s="59">
        <v>232</v>
      </c>
      <c r="G10" s="59">
        <v>232</v>
      </c>
      <c r="H10" s="59">
        <v>232</v>
      </c>
      <c r="I10" s="59">
        <v>232</v>
      </c>
      <c r="J10" s="59">
        <v>232</v>
      </c>
      <c r="K10" s="59">
        <v>232</v>
      </c>
      <c r="L10" s="59">
        <v>232</v>
      </c>
      <c r="M10" s="59">
        <v>232</v>
      </c>
      <c r="N10" s="59">
        <v>2844</v>
      </c>
      <c r="O10" s="257"/>
    </row>
    <row r="11" spans="1:15">
      <c r="A11" s="257"/>
      <c r="B11" s="257"/>
      <c r="C11" s="257"/>
      <c r="D11" s="257"/>
      <c r="E11" s="257"/>
      <c r="F11" s="257"/>
      <c r="G11" s="257"/>
      <c r="H11" s="257"/>
      <c r="I11" s="257"/>
      <c r="J11" s="257"/>
      <c r="K11" s="257"/>
      <c r="L11" s="257"/>
      <c r="M11" s="257"/>
      <c r="N11" s="257"/>
      <c r="O11" s="257"/>
    </row>
    <row r="12" spans="1:15">
      <c r="A12" s="209" t="s">
        <v>177</v>
      </c>
      <c r="B12" s="210"/>
      <c r="C12" s="210"/>
      <c r="D12" s="210"/>
      <c r="E12" s="210"/>
      <c r="F12" s="210"/>
      <c r="G12" s="210"/>
      <c r="H12" s="210"/>
      <c r="I12" s="210"/>
      <c r="J12" s="210"/>
      <c r="K12" s="210"/>
      <c r="L12" s="210"/>
      <c r="M12" s="210"/>
      <c r="N12" s="210"/>
      <c r="O12" s="257"/>
    </row>
    <row r="13" spans="1:15">
      <c r="A13" s="74"/>
      <c r="B13" s="74" t="s">
        <v>3</v>
      </c>
      <c r="C13" s="74" t="s">
        <v>4</v>
      </c>
      <c r="D13" s="74" t="s">
        <v>5</v>
      </c>
      <c r="E13" s="74" t="s">
        <v>6</v>
      </c>
      <c r="F13" s="74" t="s">
        <v>7</v>
      </c>
      <c r="G13" s="74" t="s">
        <v>8</v>
      </c>
      <c r="H13" s="74" t="s">
        <v>9</v>
      </c>
      <c r="I13" s="74" t="s">
        <v>10</v>
      </c>
      <c r="J13" s="74" t="s">
        <v>96</v>
      </c>
      <c r="K13" s="74" t="s">
        <v>12</v>
      </c>
      <c r="L13" s="74" t="s">
        <v>13</v>
      </c>
      <c r="M13" s="74" t="s">
        <v>14</v>
      </c>
      <c r="N13" s="58" t="s">
        <v>123</v>
      </c>
      <c r="O13" s="257"/>
    </row>
    <row r="14" spans="1:15">
      <c r="A14" s="48" t="s">
        <v>128</v>
      </c>
      <c r="B14" s="59">
        <v>120</v>
      </c>
      <c r="C14" s="59">
        <v>120</v>
      </c>
      <c r="D14" s="59">
        <v>120</v>
      </c>
      <c r="E14" s="59">
        <v>120</v>
      </c>
      <c r="F14" s="59">
        <v>120</v>
      </c>
      <c r="G14" s="59">
        <v>120</v>
      </c>
      <c r="H14" s="59">
        <v>120</v>
      </c>
      <c r="I14" s="59">
        <v>120</v>
      </c>
      <c r="J14" s="59">
        <v>120</v>
      </c>
      <c r="K14" s="59">
        <v>120</v>
      </c>
      <c r="L14" s="59">
        <v>120</v>
      </c>
      <c r="M14" s="59">
        <v>120</v>
      </c>
      <c r="N14" s="59">
        <v>1440</v>
      </c>
      <c r="O14" s="257"/>
    </row>
    <row r="15" spans="1:15">
      <c r="A15" s="48" t="s">
        <v>129</v>
      </c>
      <c r="B15" s="59">
        <v>116.12700000000001</v>
      </c>
      <c r="C15" s="59">
        <v>129.50685000000001</v>
      </c>
      <c r="D15" s="59">
        <v>138.59504999999999</v>
      </c>
      <c r="E15" s="59">
        <v>133.98783750000001</v>
      </c>
      <c r="F15" s="59">
        <v>140.51367000000002</v>
      </c>
      <c r="G15" s="59">
        <v>128.13730874999999</v>
      </c>
      <c r="H15" s="59">
        <v>150.485445</v>
      </c>
      <c r="I15" s="59">
        <v>175.47925725000002</v>
      </c>
      <c r="J15" s="59">
        <v>176.23534500000002</v>
      </c>
      <c r="K15" s="59">
        <v>160.81065000000001</v>
      </c>
      <c r="L15" s="59">
        <v>136.13366249999999</v>
      </c>
      <c r="M15" s="59">
        <v>122.37198187500002</v>
      </c>
      <c r="N15" s="59">
        <v>1708.3840578750001</v>
      </c>
      <c r="O15" s="257"/>
    </row>
    <row r="16" spans="1:15">
      <c r="A16" s="48" t="s">
        <v>123</v>
      </c>
      <c r="B16" s="59">
        <v>236.12700000000001</v>
      </c>
      <c r="C16" s="59">
        <v>249.50685000000001</v>
      </c>
      <c r="D16" s="59">
        <v>258.59505000000001</v>
      </c>
      <c r="E16" s="59">
        <v>253.98783750000001</v>
      </c>
      <c r="F16" s="59">
        <v>260.51367000000005</v>
      </c>
      <c r="G16" s="59">
        <v>248.13730874999999</v>
      </c>
      <c r="H16" s="59">
        <v>270.48544500000003</v>
      </c>
      <c r="I16" s="59">
        <v>295.47925725000005</v>
      </c>
      <c r="J16" s="59">
        <v>296.23534500000005</v>
      </c>
      <c r="K16" s="59">
        <v>280.81065000000001</v>
      </c>
      <c r="L16" s="59">
        <v>256.13366250000001</v>
      </c>
      <c r="M16" s="59">
        <v>242.37198187500002</v>
      </c>
      <c r="N16" s="59">
        <v>3148.3840578750001</v>
      </c>
      <c r="O16" s="257"/>
    </row>
    <row r="17" spans="1:15">
      <c r="A17" s="257"/>
      <c r="B17" s="257"/>
      <c r="C17" s="257"/>
      <c r="D17" s="257"/>
      <c r="E17" s="257"/>
      <c r="F17" s="257"/>
      <c r="G17" s="257"/>
      <c r="H17" s="257"/>
      <c r="I17" s="257"/>
      <c r="J17" s="257"/>
      <c r="K17" s="257"/>
      <c r="L17" s="257"/>
      <c r="M17" s="257"/>
      <c r="N17" s="257"/>
      <c r="O17" s="257"/>
    </row>
    <row r="18" spans="1:15">
      <c r="A18" s="257"/>
      <c r="B18" s="257"/>
      <c r="C18" s="257"/>
      <c r="D18" s="257"/>
      <c r="E18" s="257"/>
      <c r="F18" s="257"/>
      <c r="G18" s="257"/>
      <c r="H18" s="257"/>
      <c r="I18" s="257"/>
      <c r="J18" s="257"/>
      <c r="K18" s="257"/>
      <c r="L18" s="257"/>
      <c r="M18" s="257"/>
      <c r="N18" s="257"/>
      <c r="O18" s="257"/>
    </row>
  </sheetData>
  <mergeCells count="3">
    <mergeCell ref="A2:N2"/>
    <mergeCell ref="A6:N6"/>
    <mergeCell ref="A12:N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32"/>
  <sheetViews>
    <sheetView workbookViewId="0">
      <selection activeCell="N29" sqref="A2:N29"/>
    </sheetView>
  </sheetViews>
  <sheetFormatPr baseColWidth="10" defaultRowHeight="12.75"/>
  <cols>
    <col min="1" max="1" width="32.28515625" customWidth="1"/>
  </cols>
  <sheetData>
    <row r="1" spans="1:15">
      <c r="A1" s="257"/>
      <c r="B1" s="257"/>
      <c r="C1" s="257"/>
      <c r="D1" s="257"/>
      <c r="E1" s="257"/>
      <c r="F1" s="257"/>
      <c r="G1" s="257"/>
      <c r="H1" s="257"/>
      <c r="I1" s="257"/>
      <c r="J1" s="257"/>
      <c r="K1" s="257"/>
      <c r="L1" s="257"/>
      <c r="M1" s="257"/>
      <c r="N1" s="257"/>
      <c r="O1" s="257"/>
    </row>
    <row r="2" spans="1:15">
      <c r="A2" s="212" t="s">
        <v>264</v>
      </c>
      <c r="B2" s="213"/>
      <c r="C2" s="213"/>
      <c r="D2" s="213"/>
      <c r="E2" s="213"/>
      <c r="F2" s="213"/>
      <c r="G2" s="213"/>
      <c r="H2" s="213"/>
      <c r="I2" s="213"/>
      <c r="J2" s="213"/>
      <c r="K2" s="213"/>
      <c r="L2" s="213"/>
      <c r="M2" s="213"/>
      <c r="N2" s="213"/>
      <c r="O2" s="257"/>
    </row>
    <row r="3" spans="1:15">
      <c r="A3" s="74"/>
      <c r="B3" s="74" t="s">
        <v>3</v>
      </c>
      <c r="C3" s="74" t="s">
        <v>4</v>
      </c>
      <c r="D3" s="74" t="s">
        <v>5</v>
      </c>
      <c r="E3" s="74" t="s">
        <v>6</v>
      </c>
      <c r="F3" s="74" t="s">
        <v>7</v>
      </c>
      <c r="G3" s="74" t="s">
        <v>8</v>
      </c>
      <c r="H3" s="74" t="s">
        <v>9</v>
      </c>
      <c r="I3" s="74" t="s">
        <v>10</v>
      </c>
      <c r="J3" s="74" t="s">
        <v>96</v>
      </c>
      <c r="K3" s="74" t="s">
        <v>12</v>
      </c>
      <c r="L3" s="74" t="s">
        <v>13</v>
      </c>
      <c r="M3" s="74" t="s">
        <v>14</v>
      </c>
      <c r="N3" s="58" t="s">
        <v>123</v>
      </c>
      <c r="O3" s="257"/>
    </row>
    <row r="4" spans="1:15">
      <c r="A4" s="68" t="s">
        <v>143</v>
      </c>
      <c r="B4" s="59">
        <v>2299.77</v>
      </c>
      <c r="C4" s="59">
        <v>2565.3375000000001</v>
      </c>
      <c r="D4" s="59">
        <v>2744.7255</v>
      </c>
      <c r="E4" s="59">
        <v>2653.6950000000002</v>
      </c>
      <c r="F4" s="59">
        <v>2782.8404999999998</v>
      </c>
      <c r="G4" s="59">
        <v>2538.0630000000001</v>
      </c>
      <c r="H4" s="59">
        <v>2980.5434999999998</v>
      </c>
      <c r="I4" s="59">
        <v>3476.1374999999998</v>
      </c>
      <c r="J4" s="59">
        <v>3490.1954999999998</v>
      </c>
      <c r="K4" s="59">
        <v>3185.5725000000002</v>
      </c>
      <c r="L4" s="59">
        <v>2695.77</v>
      </c>
      <c r="M4" s="59">
        <v>2423.9654999999998</v>
      </c>
      <c r="N4" s="59">
        <v>33836.616000000002</v>
      </c>
      <c r="O4" s="257"/>
    </row>
    <row r="5" spans="1:15">
      <c r="A5" s="48" t="s">
        <v>178</v>
      </c>
      <c r="B5" s="59">
        <v>1018.3763694768472</v>
      </c>
      <c r="C5" s="59">
        <v>1098.9008204453203</v>
      </c>
      <c r="D5" s="59">
        <v>1139.5591913172414</v>
      </c>
      <c r="E5" s="59">
        <v>1103.9152797793104</v>
      </c>
      <c r="F5" s="59">
        <v>1142.1466218482758</v>
      </c>
      <c r="G5" s="59">
        <v>1060.6592166068965</v>
      </c>
      <c r="H5" s="59">
        <v>1230.0046852827586</v>
      </c>
      <c r="I5" s="59">
        <v>1372.3995102689657</v>
      </c>
      <c r="J5" s="59">
        <v>1358.8685933312499</v>
      </c>
      <c r="K5" s="59">
        <v>1250.6519966137935</v>
      </c>
      <c r="L5" s="59">
        <v>1112.6177757793103</v>
      </c>
      <c r="M5" s="59">
        <v>1057.3842770004464</v>
      </c>
      <c r="N5" s="59">
        <v>13945.484337750417</v>
      </c>
      <c r="O5" s="257"/>
    </row>
    <row r="6" spans="1:15">
      <c r="A6" s="68" t="s">
        <v>179</v>
      </c>
      <c r="B6" s="87">
        <v>1281.3936305231528</v>
      </c>
      <c r="C6" s="87">
        <v>1466.4366795546798</v>
      </c>
      <c r="D6" s="87">
        <v>1605.1663086827587</v>
      </c>
      <c r="E6" s="87">
        <v>1549.7797202206898</v>
      </c>
      <c r="F6" s="87">
        <v>1640.693878151724</v>
      </c>
      <c r="G6" s="87">
        <v>1477.4037833931036</v>
      </c>
      <c r="H6" s="87">
        <v>1750.5388147172412</v>
      </c>
      <c r="I6" s="87">
        <v>2103.7379897310338</v>
      </c>
      <c r="J6" s="87">
        <v>2131.3269066687499</v>
      </c>
      <c r="K6" s="87">
        <v>1934.9205033862067</v>
      </c>
      <c r="L6" s="87">
        <v>1583.1522242206897</v>
      </c>
      <c r="M6" s="87">
        <v>1366.5812229995533</v>
      </c>
      <c r="N6" s="87">
        <v>19891.131662249587</v>
      </c>
      <c r="O6" s="257"/>
    </row>
    <row r="7" spans="1:15">
      <c r="A7" s="49" t="s">
        <v>180</v>
      </c>
      <c r="B7" s="59">
        <v>236.12700000000001</v>
      </c>
      <c r="C7" s="59">
        <v>249.50685000000001</v>
      </c>
      <c r="D7" s="59">
        <v>258.59505000000001</v>
      </c>
      <c r="E7" s="59">
        <v>253.98783750000001</v>
      </c>
      <c r="F7" s="59">
        <v>260.51367000000005</v>
      </c>
      <c r="G7" s="59">
        <v>248.13730874999999</v>
      </c>
      <c r="H7" s="59">
        <v>270.48544500000003</v>
      </c>
      <c r="I7" s="59">
        <v>295.47925725000005</v>
      </c>
      <c r="J7" s="59">
        <v>296.23534500000005</v>
      </c>
      <c r="K7" s="59">
        <v>280.81065000000001</v>
      </c>
      <c r="L7" s="59">
        <v>256.13366250000001</v>
      </c>
      <c r="M7" s="59">
        <v>242.37198187500002</v>
      </c>
      <c r="N7" s="59">
        <v>3148.3840578750001</v>
      </c>
      <c r="O7" s="257"/>
    </row>
    <row r="8" spans="1:15">
      <c r="A8" s="49" t="s">
        <v>181</v>
      </c>
      <c r="B8" s="59">
        <v>6.666666666666667</v>
      </c>
      <c r="C8" s="59">
        <v>6.666666666666667</v>
      </c>
      <c r="D8" s="59">
        <v>6.666666666666667</v>
      </c>
      <c r="E8" s="59">
        <v>6.666666666666667</v>
      </c>
      <c r="F8" s="59">
        <v>6.666666666666667</v>
      </c>
      <c r="G8" s="59">
        <v>6.666666666666667</v>
      </c>
      <c r="H8" s="59">
        <v>6.666666666666667</v>
      </c>
      <c r="I8" s="59">
        <v>6.666666666666667</v>
      </c>
      <c r="J8" s="59">
        <v>6.666666666666667</v>
      </c>
      <c r="K8" s="59">
        <v>6.666666666666667</v>
      </c>
      <c r="L8" s="59">
        <v>6.666666666666667</v>
      </c>
      <c r="M8" s="59">
        <v>6.666666666666667</v>
      </c>
      <c r="N8" s="59">
        <v>80</v>
      </c>
      <c r="O8" s="257"/>
    </row>
    <row r="9" spans="1:15">
      <c r="A9" s="68" t="s">
        <v>182</v>
      </c>
      <c r="B9" s="87">
        <v>1038.5999638564861</v>
      </c>
      <c r="C9" s="87">
        <v>1210.2631628880131</v>
      </c>
      <c r="D9" s="87">
        <v>1339.9045920160918</v>
      </c>
      <c r="E9" s="87">
        <v>1289.125216054023</v>
      </c>
      <c r="F9" s="87">
        <v>1373.5135414850572</v>
      </c>
      <c r="G9" s="87">
        <v>1222.599807976437</v>
      </c>
      <c r="H9" s="87">
        <v>1473.3867030505744</v>
      </c>
      <c r="I9" s="87">
        <v>1801.5920658143671</v>
      </c>
      <c r="J9" s="87">
        <v>1828.4248950020831</v>
      </c>
      <c r="K9" s="87">
        <v>1647.4431867195401</v>
      </c>
      <c r="L9" s="87">
        <v>1320.3518950540231</v>
      </c>
      <c r="M9" s="87">
        <v>1117.5425744578865</v>
      </c>
      <c r="N9" s="87">
        <v>16662.747604374588</v>
      </c>
      <c r="O9" s="257"/>
    </row>
    <row r="10" spans="1:15">
      <c r="A10" s="49" t="s">
        <v>183</v>
      </c>
      <c r="B10" s="59">
        <v>0</v>
      </c>
      <c r="C10" s="59">
        <v>0</v>
      </c>
      <c r="D10" s="59">
        <v>0</v>
      </c>
      <c r="E10" s="59">
        <v>0</v>
      </c>
      <c r="F10" s="59">
        <v>0</v>
      </c>
      <c r="G10" s="59">
        <v>0</v>
      </c>
      <c r="H10" s="59">
        <v>0</v>
      </c>
      <c r="I10" s="59">
        <v>0</v>
      </c>
      <c r="J10" s="59">
        <v>0</v>
      </c>
      <c r="K10" s="59">
        <v>0</v>
      </c>
      <c r="L10" s="59">
        <v>0</v>
      </c>
      <c r="M10" s="59">
        <v>0</v>
      </c>
      <c r="N10" s="59">
        <v>0</v>
      </c>
      <c r="O10" s="257"/>
    </row>
    <row r="11" spans="1:15">
      <c r="A11" s="49" t="s">
        <v>184</v>
      </c>
      <c r="B11" s="59">
        <v>383.47049123554922</v>
      </c>
      <c r="C11" s="59">
        <v>363.50998734977009</v>
      </c>
      <c r="D11" s="59">
        <v>423.59210701080457</v>
      </c>
      <c r="E11" s="59">
        <v>468.9666072056321</v>
      </c>
      <c r="F11" s="59">
        <v>451.19382561890802</v>
      </c>
      <c r="G11" s="59">
        <v>480.72973951976996</v>
      </c>
      <c r="H11" s="59">
        <v>427.90993279175291</v>
      </c>
      <c r="I11" s="59">
        <v>515.68534606770106</v>
      </c>
      <c r="J11" s="59">
        <v>630.55722303502841</v>
      </c>
      <c r="K11" s="59">
        <v>639.94871325072904</v>
      </c>
      <c r="L11" s="59">
        <v>576.605115351839</v>
      </c>
      <c r="M11" s="59">
        <v>462.12316326890806</v>
      </c>
      <c r="N11" s="59">
        <v>5824.2922517063926</v>
      </c>
      <c r="O11" s="257"/>
    </row>
    <row r="12" spans="1:15">
      <c r="A12" s="68" t="s">
        <v>185</v>
      </c>
      <c r="B12" s="87">
        <v>655.12947262093689</v>
      </c>
      <c r="C12" s="87">
        <v>846.753175538243</v>
      </c>
      <c r="D12" s="87">
        <v>916.31248500528727</v>
      </c>
      <c r="E12" s="87">
        <v>820.15860884839094</v>
      </c>
      <c r="F12" s="87">
        <v>922.31971586614918</v>
      </c>
      <c r="G12" s="87">
        <v>741.87006845666701</v>
      </c>
      <c r="H12" s="87">
        <v>1045.4767702588215</v>
      </c>
      <c r="I12" s="87">
        <v>1285.9067197466661</v>
      </c>
      <c r="J12" s="87">
        <v>1197.8676719670548</v>
      </c>
      <c r="K12" s="87">
        <v>1007.4944734688111</v>
      </c>
      <c r="L12" s="87">
        <v>743.74677970218409</v>
      </c>
      <c r="M12" s="87">
        <v>655.41941118897853</v>
      </c>
      <c r="N12" s="87">
        <v>10838.45535266819</v>
      </c>
      <c r="O12" s="257"/>
    </row>
    <row r="13" spans="1:15">
      <c r="A13" s="257"/>
      <c r="B13" s="257"/>
      <c r="C13" s="257"/>
      <c r="D13" s="257"/>
      <c r="E13" s="257"/>
      <c r="F13" s="257"/>
      <c r="G13" s="257"/>
      <c r="H13" s="257"/>
      <c r="I13" s="257"/>
      <c r="J13" s="257"/>
      <c r="K13" s="257"/>
      <c r="L13" s="257"/>
      <c r="M13" s="257"/>
      <c r="N13" s="257"/>
      <c r="O13" s="257"/>
    </row>
    <row r="14" spans="1:15">
      <c r="A14" s="257"/>
      <c r="B14" s="257"/>
      <c r="C14" s="257"/>
      <c r="D14" s="257"/>
      <c r="E14" s="257"/>
      <c r="F14" s="257"/>
      <c r="G14" s="257"/>
      <c r="H14" s="257"/>
      <c r="I14" s="257"/>
      <c r="J14" s="257"/>
      <c r="K14" s="257"/>
      <c r="L14" s="257"/>
      <c r="M14" s="257"/>
      <c r="N14" s="257"/>
      <c r="O14" s="257"/>
    </row>
    <row r="15" spans="1:15">
      <c r="A15" s="212" t="s">
        <v>190</v>
      </c>
      <c r="B15" s="213"/>
      <c r="C15" s="213"/>
      <c r="D15" s="213"/>
      <c r="E15" s="213"/>
      <c r="F15" s="213"/>
      <c r="G15" s="213"/>
      <c r="H15" s="213"/>
      <c r="I15" s="213"/>
      <c r="J15" s="213"/>
      <c r="K15" s="213"/>
      <c r="L15" s="213"/>
      <c r="M15" s="213"/>
      <c r="N15" s="213"/>
      <c r="O15" s="257"/>
    </row>
    <row r="16" spans="1:15">
      <c r="A16" s="74"/>
      <c r="B16" s="74" t="s">
        <v>3</v>
      </c>
      <c r="C16" s="74" t="s">
        <v>4</v>
      </c>
      <c r="D16" s="74" t="s">
        <v>5</v>
      </c>
      <c r="E16" s="74" t="s">
        <v>6</v>
      </c>
      <c r="F16" s="74" t="s">
        <v>7</v>
      </c>
      <c r="G16" s="74" t="s">
        <v>8</v>
      </c>
      <c r="H16" s="74" t="s">
        <v>9</v>
      </c>
      <c r="I16" s="74" t="s">
        <v>10</v>
      </c>
      <c r="J16" s="74" t="s">
        <v>96</v>
      </c>
      <c r="K16" s="74" t="s">
        <v>12</v>
      </c>
      <c r="L16" s="74" t="s">
        <v>13</v>
      </c>
      <c r="M16" s="74" t="s">
        <v>14</v>
      </c>
      <c r="N16" s="58" t="s">
        <v>123</v>
      </c>
      <c r="O16" s="257"/>
    </row>
    <row r="17" spans="1:15">
      <c r="A17" s="48" t="s">
        <v>191</v>
      </c>
      <c r="B17" s="59">
        <v>2342</v>
      </c>
      <c r="C17" s="59">
        <v>2435</v>
      </c>
      <c r="D17" s="59">
        <v>2657</v>
      </c>
      <c r="E17" s="59">
        <v>2702</v>
      </c>
      <c r="F17" s="59">
        <v>2721</v>
      </c>
      <c r="G17" s="59">
        <v>2663</v>
      </c>
      <c r="H17" s="59">
        <v>2762</v>
      </c>
      <c r="I17" s="59">
        <v>3231</v>
      </c>
      <c r="J17" s="59">
        <v>3485</v>
      </c>
      <c r="K17" s="59">
        <v>3340</v>
      </c>
      <c r="L17" s="59">
        <v>2943</v>
      </c>
      <c r="M17" s="59">
        <v>2563</v>
      </c>
      <c r="N17" s="59">
        <v>31496.468213925327</v>
      </c>
      <c r="O17" s="257"/>
    </row>
    <row r="18" spans="1:15">
      <c r="A18" s="48" t="s">
        <v>192</v>
      </c>
      <c r="B18" s="59">
        <v>0</v>
      </c>
      <c r="C18" s="59">
        <v>0</v>
      </c>
      <c r="D18" s="59">
        <v>0</v>
      </c>
      <c r="E18" s="59">
        <v>0</v>
      </c>
      <c r="F18" s="59">
        <v>0</v>
      </c>
      <c r="G18" s="59">
        <v>0</v>
      </c>
      <c r="H18" s="59">
        <v>0</v>
      </c>
      <c r="I18" s="59">
        <v>0</v>
      </c>
      <c r="J18" s="59">
        <v>0</v>
      </c>
      <c r="K18" s="59">
        <v>0</v>
      </c>
      <c r="L18" s="59">
        <v>0</v>
      </c>
      <c r="M18" s="59">
        <v>0</v>
      </c>
      <c r="N18" s="59">
        <v>0</v>
      </c>
      <c r="O18" s="257"/>
    </row>
    <row r="19" spans="1:15">
      <c r="A19" s="106" t="s">
        <v>198</v>
      </c>
      <c r="B19" s="107">
        <v>2342</v>
      </c>
      <c r="C19" s="107">
        <v>2435</v>
      </c>
      <c r="D19" s="107">
        <v>2657</v>
      </c>
      <c r="E19" s="107">
        <v>2702</v>
      </c>
      <c r="F19" s="107">
        <v>2721</v>
      </c>
      <c r="G19" s="107">
        <v>2663</v>
      </c>
      <c r="H19" s="107">
        <v>2762</v>
      </c>
      <c r="I19" s="107">
        <v>3231</v>
      </c>
      <c r="J19" s="107">
        <v>3485</v>
      </c>
      <c r="K19" s="107">
        <v>3340</v>
      </c>
      <c r="L19" s="107">
        <v>2943</v>
      </c>
      <c r="M19" s="107">
        <v>2563</v>
      </c>
      <c r="N19" s="107">
        <v>31496.468213925327</v>
      </c>
      <c r="O19" s="257"/>
    </row>
    <row r="20" spans="1:15">
      <c r="A20" s="48" t="s">
        <v>19</v>
      </c>
      <c r="B20" s="59">
        <v>761.53264000000001</v>
      </c>
      <c r="C20" s="59">
        <v>758.92</v>
      </c>
      <c r="D20" s="59">
        <v>827.72</v>
      </c>
      <c r="E20" s="59">
        <v>750.32</v>
      </c>
      <c r="F20" s="59">
        <v>750.32</v>
      </c>
      <c r="G20" s="59">
        <v>753.41600000000005</v>
      </c>
      <c r="H20" s="59">
        <v>790.56799999999998</v>
      </c>
      <c r="I20" s="59">
        <v>879.68000000000006</v>
      </c>
      <c r="J20" s="59">
        <v>923.83999999999992</v>
      </c>
      <c r="K20" s="59">
        <v>858.68000000000006</v>
      </c>
      <c r="L20" s="59">
        <v>713.25599999999997</v>
      </c>
      <c r="M20" s="59">
        <v>669.05899999999997</v>
      </c>
      <c r="N20" s="59">
        <v>9437.3116399999999</v>
      </c>
      <c r="O20" s="257"/>
    </row>
    <row r="21" spans="1:15">
      <c r="A21" s="49" t="s">
        <v>193</v>
      </c>
      <c r="B21" s="59">
        <v>145.09440000000001</v>
      </c>
      <c r="C21" s="59">
        <v>145.09440000000001</v>
      </c>
      <c r="D21" s="59">
        <v>151.6464</v>
      </c>
      <c r="E21" s="59">
        <v>145.09440000000001</v>
      </c>
      <c r="F21" s="59">
        <v>145.09440000000001</v>
      </c>
      <c r="G21" s="59">
        <v>145.09440000000001</v>
      </c>
      <c r="H21" s="59">
        <v>147.71519999999998</v>
      </c>
      <c r="I21" s="59">
        <v>154.26720000000003</v>
      </c>
      <c r="J21" s="59">
        <v>159.00960000000003</v>
      </c>
      <c r="K21" s="59">
        <v>154.26720000000003</v>
      </c>
      <c r="L21" s="59">
        <v>145.09440000000001</v>
      </c>
      <c r="M21" s="59">
        <v>145.09440000000001</v>
      </c>
      <c r="N21" s="59">
        <v>1782.5663999999999</v>
      </c>
      <c r="O21" s="257"/>
    </row>
    <row r="22" spans="1:15">
      <c r="A22" s="49" t="s">
        <v>125</v>
      </c>
      <c r="B22" s="59">
        <v>0</v>
      </c>
      <c r="C22" s="59">
        <v>0</v>
      </c>
      <c r="D22" s="59">
        <v>0</v>
      </c>
      <c r="E22" s="59">
        <v>190</v>
      </c>
      <c r="F22" s="59">
        <v>190</v>
      </c>
      <c r="G22" s="59">
        <v>190</v>
      </c>
      <c r="H22" s="59">
        <v>190</v>
      </c>
      <c r="I22" s="59">
        <v>190</v>
      </c>
      <c r="J22" s="59">
        <v>0</v>
      </c>
      <c r="K22" s="59">
        <v>0</v>
      </c>
      <c r="L22" s="59">
        <v>0</v>
      </c>
      <c r="M22" s="59">
        <v>0</v>
      </c>
      <c r="N22" s="59">
        <v>950</v>
      </c>
      <c r="O22" s="257"/>
    </row>
    <row r="23" spans="1:15">
      <c r="A23" s="49" t="s">
        <v>194</v>
      </c>
      <c r="B23" s="59">
        <v>252</v>
      </c>
      <c r="C23" s="59">
        <v>252</v>
      </c>
      <c r="D23" s="59">
        <v>252</v>
      </c>
      <c r="E23" s="59">
        <v>232</v>
      </c>
      <c r="F23" s="59">
        <v>232</v>
      </c>
      <c r="G23" s="59">
        <v>232</v>
      </c>
      <c r="H23" s="59">
        <v>232</v>
      </c>
      <c r="I23" s="59">
        <v>232</v>
      </c>
      <c r="J23" s="59">
        <v>232</v>
      </c>
      <c r="K23" s="59">
        <v>232</v>
      </c>
      <c r="L23" s="59">
        <v>232</v>
      </c>
      <c r="M23" s="59">
        <v>232</v>
      </c>
      <c r="N23" s="59">
        <v>2844</v>
      </c>
      <c r="O23" s="257"/>
    </row>
    <row r="24" spans="1:15">
      <c r="A24" s="49" t="s">
        <v>195</v>
      </c>
      <c r="B24" s="59">
        <v>236.12700000000001</v>
      </c>
      <c r="C24" s="59">
        <v>249.50685000000001</v>
      </c>
      <c r="D24" s="59">
        <v>258.59505000000001</v>
      </c>
      <c r="E24" s="59">
        <v>253.98783750000004</v>
      </c>
      <c r="F24" s="59">
        <v>260.51367000000005</v>
      </c>
      <c r="G24" s="59">
        <v>248.13730874999999</v>
      </c>
      <c r="H24" s="59">
        <v>270.48544500000003</v>
      </c>
      <c r="I24" s="59">
        <v>295.47925725000005</v>
      </c>
      <c r="J24" s="59">
        <v>296.23534500000005</v>
      </c>
      <c r="K24" s="59">
        <v>280.81065000000001</v>
      </c>
      <c r="L24" s="59">
        <v>256.13366250000001</v>
      </c>
      <c r="M24" s="59">
        <v>242.37198187500002</v>
      </c>
      <c r="N24" s="59">
        <v>3148.3840578750001</v>
      </c>
      <c r="O24" s="257"/>
    </row>
    <row r="25" spans="1:15">
      <c r="A25" s="49" t="s">
        <v>196</v>
      </c>
      <c r="B25" s="59">
        <v>0</v>
      </c>
      <c r="C25" s="59">
        <v>0</v>
      </c>
      <c r="D25" s="59">
        <v>0</v>
      </c>
      <c r="E25" s="59">
        <v>0</v>
      </c>
      <c r="F25" s="59">
        <v>0</v>
      </c>
      <c r="G25" s="59">
        <v>0</v>
      </c>
      <c r="H25" s="59">
        <v>0</v>
      </c>
      <c r="I25" s="59">
        <v>0</v>
      </c>
      <c r="J25" s="59">
        <v>0</v>
      </c>
      <c r="K25" s="59">
        <v>0</v>
      </c>
      <c r="L25" s="59">
        <v>0</v>
      </c>
      <c r="M25" s="59">
        <v>0</v>
      </c>
      <c r="N25" s="59">
        <v>0</v>
      </c>
      <c r="O25" s="257"/>
    </row>
    <row r="26" spans="1:15">
      <c r="A26" s="49" t="s">
        <v>184</v>
      </c>
      <c r="B26" s="59">
        <v>383.47049123554922</v>
      </c>
      <c r="C26" s="59">
        <v>363.50998734977009</v>
      </c>
      <c r="D26" s="59">
        <v>423.59210701080457</v>
      </c>
      <c r="E26" s="59">
        <v>468.9666072056321</v>
      </c>
      <c r="F26" s="59">
        <v>451.19382561890802</v>
      </c>
      <c r="G26" s="59">
        <v>480.72973951976996</v>
      </c>
      <c r="H26" s="59">
        <v>427.90993279175291</v>
      </c>
      <c r="I26" s="59">
        <v>515.68534606770106</v>
      </c>
      <c r="J26" s="59">
        <v>630.55722303502841</v>
      </c>
      <c r="K26" s="59">
        <v>639.94871325072904</v>
      </c>
      <c r="L26" s="59">
        <v>576.605115351839</v>
      </c>
      <c r="M26" s="59">
        <v>462.12316326890806</v>
      </c>
      <c r="N26" s="59">
        <v>5824.2922517063926</v>
      </c>
      <c r="O26" s="257"/>
    </row>
    <row r="27" spans="1:15">
      <c r="A27" s="106" t="s">
        <v>197</v>
      </c>
      <c r="B27" s="107">
        <v>1778.2245312355492</v>
      </c>
      <c r="C27" s="107">
        <v>1769.03123734977</v>
      </c>
      <c r="D27" s="107">
        <v>1913.5535570108043</v>
      </c>
      <c r="E27" s="107">
        <v>2040.3688447056322</v>
      </c>
      <c r="F27" s="107">
        <v>2029.1218956189082</v>
      </c>
      <c r="G27" s="107">
        <v>2049.37744826977</v>
      </c>
      <c r="H27" s="107">
        <v>2058.678577791753</v>
      </c>
      <c r="I27" s="107">
        <v>2267.1118033177013</v>
      </c>
      <c r="J27" s="107">
        <v>2241.6421680350286</v>
      </c>
      <c r="K27" s="107">
        <v>2165.7065632507292</v>
      </c>
      <c r="L27" s="107">
        <v>1923.0891778518392</v>
      </c>
      <c r="M27" s="107">
        <v>1750.648545143908</v>
      </c>
      <c r="N27" s="107">
        <v>23986.554349581391</v>
      </c>
      <c r="O27" s="257"/>
    </row>
    <row r="28" spans="1:15">
      <c r="A28" s="106" t="s">
        <v>190</v>
      </c>
      <c r="B28" s="100">
        <v>563.77546876445081</v>
      </c>
      <c r="C28" s="100">
        <v>665.96876265023002</v>
      </c>
      <c r="D28" s="100">
        <v>743.4464429891957</v>
      </c>
      <c r="E28" s="100">
        <v>661.63115529436777</v>
      </c>
      <c r="F28" s="100">
        <v>691.87810438109182</v>
      </c>
      <c r="G28" s="100">
        <v>613.62255173023004</v>
      </c>
      <c r="H28" s="100">
        <v>703.32142220824699</v>
      </c>
      <c r="I28" s="100">
        <v>963.88819668229871</v>
      </c>
      <c r="J28" s="100">
        <v>1243.3578319649714</v>
      </c>
      <c r="K28" s="100">
        <v>1174.2934367492708</v>
      </c>
      <c r="L28" s="100">
        <v>1019.9108221481608</v>
      </c>
      <c r="M28" s="100">
        <v>812.351454856092</v>
      </c>
      <c r="N28" s="100">
        <v>7509.9138643439364</v>
      </c>
      <c r="O28" s="257"/>
    </row>
    <row r="29" spans="1:15">
      <c r="A29" s="106" t="s">
        <v>199</v>
      </c>
      <c r="B29" s="100">
        <v>563.77546876445081</v>
      </c>
      <c r="C29" s="100">
        <v>1229.7442314146808</v>
      </c>
      <c r="D29" s="100">
        <v>1973.1906744038765</v>
      </c>
      <c r="E29" s="100">
        <v>2634.8218296982441</v>
      </c>
      <c r="F29" s="100">
        <v>3326.6999340793359</v>
      </c>
      <c r="G29" s="100">
        <v>3940.3224858095659</v>
      </c>
      <c r="H29" s="100">
        <v>4643.6439080178134</v>
      </c>
      <c r="I29" s="100">
        <v>5607.5321047001125</v>
      </c>
      <c r="J29" s="100">
        <v>6850.889936665084</v>
      </c>
      <c r="K29" s="100">
        <v>8025.1833734143547</v>
      </c>
      <c r="L29" s="100">
        <v>9045.0941955625149</v>
      </c>
      <c r="M29" s="100">
        <v>9857.4456504186073</v>
      </c>
      <c r="N29" s="100"/>
      <c r="O29" s="257"/>
    </row>
    <row r="30" spans="1:15">
      <c r="A30" s="257"/>
      <c r="B30" s="257"/>
      <c r="C30" s="257"/>
      <c r="D30" s="257"/>
      <c r="E30" s="257"/>
      <c r="F30" s="257"/>
      <c r="G30" s="257"/>
      <c r="H30" s="257"/>
      <c r="I30" s="257"/>
      <c r="J30" s="257"/>
      <c r="K30" s="257"/>
      <c r="L30" s="257"/>
      <c r="M30" s="257"/>
      <c r="N30" s="257"/>
      <c r="O30" s="257"/>
    </row>
    <row r="31" spans="1:15">
      <c r="A31" s="257"/>
      <c r="B31" s="257"/>
      <c r="C31" s="257"/>
      <c r="D31" s="257"/>
      <c r="E31" s="257"/>
      <c r="F31" s="257"/>
      <c r="G31" s="257"/>
      <c r="H31" s="257"/>
      <c r="I31" s="257"/>
      <c r="J31" s="257"/>
      <c r="K31" s="257"/>
      <c r="L31" s="257"/>
      <c r="M31" s="257"/>
      <c r="N31" s="257"/>
      <c r="O31" s="257"/>
    </row>
    <row r="32" spans="1:15">
      <c r="A32" s="257"/>
      <c r="B32" s="257"/>
      <c r="C32" s="257"/>
      <c r="D32" s="257"/>
      <c r="E32" s="257"/>
      <c r="F32" s="257"/>
      <c r="G32" s="257"/>
      <c r="H32" s="257"/>
      <c r="I32" s="257"/>
      <c r="J32" s="257"/>
      <c r="K32" s="257"/>
      <c r="L32" s="257"/>
      <c r="M32" s="257"/>
      <c r="N32" s="257"/>
      <c r="O32" s="257"/>
    </row>
  </sheetData>
  <mergeCells count="2">
    <mergeCell ref="A2:N2"/>
    <mergeCell ref="A15:N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27"/>
  <sheetViews>
    <sheetView workbookViewId="0">
      <selection activeCell="G10" sqref="G10"/>
    </sheetView>
  </sheetViews>
  <sheetFormatPr baseColWidth="10" defaultRowHeight="12.75"/>
  <cols>
    <col min="1" max="1" width="25" customWidth="1"/>
    <col min="2" max="3" width="21.5703125" customWidth="1"/>
    <col min="4" max="4" width="22.85546875" customWidth="1"/>
    <col min="5" max="5" width="21.28515625" customWidth="1"/>
  </cols>
  <sheetData>
    <row r="1" spans="1:7">
      <c r="A1" s="257"/>
      <c r="B1" s="257"/>
      <c r="C1" s="257"/>
      <c r="D1" s="257"/>
      <c r="E1" s="257"/>
      <c r="F1" s="257"/>
      <c r="G1" s="257"/>
    </row>
    <row r="2" spans="1:7">
      <c r="A2" s="254" t="s">
        <v>269</v>
      </c>
      <c r="B2" s="255"/>
      <c r="C2" s="255"/>
      <c r="D2" s="255"/>
      <c r="E2" s="256"/>
      <c r="F2" s="257"/>
      <c r="G2" s="257"/>
    </row>
    <row r="3" spans="1:7">
      <c r="A3" s="48"/>
      <c r="B3" s="95" t="s">
        <v>265</v>
      </c>
      <c r="C3" s="95" t="s">
        <v>266</v>
      </c>
      <c r="D3" s="95" t="s">
        <v>267</v>
      </c>
      <c r="E3" s="96" t="s">
        <v>268</v>
      </c>
      <c r="F3" s="257"/>
      <c r="G3" s="257"/>
    </row>
    <row r="4" spans="1:7">
      <c r="A4" s="74"/>
      <c r="B4" s="74"/>
      <c r="C4" s="74"/>
      <c r="D4" s="74"/>
      <c r="E4" s="74"/>
      <c r="F4" s="257"/>
      <c r="G4" s="257"/>
    </row>
    <row r="5" spans="1:7">
      <c r="A5" s="68" t="s">
        <v>143</v>
      </c>
      <c r="B5" s="101">
        <v>7609.8330000000005</v>
      </c>
      <c r="C5" s="101">
        <v>7974.5985000000001</v>
      </c>
      <c r="D5" s="101">
        <v>9946.8764999999985</v>
      </c>
      <c r="E5" s="101">
        <v>8305.3080000000009</v>
      </c>
      <c r="F5" s="257"/>
      <c r="G5" s="257"/>
    </row>
    <row r="6" spans="1:7">
      <c r="A6" s="48" t="s">
        <v>178</v>
      </c>
      <c r="B6" s="59">
        <v>3256.8363812394091</v>
      </c>
      <c r="C6" s="59">
        <v>3306.7211182344827</v>
      </c>
      <c r="D6" s="59">
        <v>3961.2727888829741</v>
      </c>
      <c r="E6" s="59">
        <v>3420.6540493935504</v>
      </c>
      <c r="F6" s="257"/>
      <c r="G6" s="257"/>
    </row>
    <row r="7" spans="1:7">
      <c r="A7" s="68" t="s">
        <v>179</v>
      </c>
      <c r="B7" s="101">
        <v>4352.9966187605914</v>
      </c>
      <c r="C7" s="101">
        <v>4667.8773817655174</v>
      </c>
      <c r="D7" s="101">
        <v>5985.6037111170244</v>
      </c>
      <c r="E7" s="101">
        <v>4884.6539506064491</v>
      </c>
      <c r="F7" s="257"/>
      <c r="G7" s="257"/>
    </row>
    <row r="8" spans="1:7">
      <c r="A8" s="49" t="s">
        <v>180</v>
      </c>
      <c r="B8" s="59">
        <v>744.22890000000007</v>
      </c>
      <c r="C8" s="59">
        <v>762.6388162500001</v>
      </c>
      <c r="D8" s="59">
        <v>862.20004725000013</v>
      </c>
      <c r="E8" s="59">
        <v>779.3162943750001</v>
      </c>
      <c r="F8" s="257"/>
      <c r="G8" s="257"/>
    </row>
    <row r="9" spans="1:7">
      <c r="A9" s="49" t="s">
        <v>181</v>
      </c>
      <c r="B9" s="59">
        <v>20</v>
      </c>
      <c r="C9" s="59">
        <v>20</v>
      </c>
      <c r="D9" s="59">
        <v>20</v>
      </c>
      <c r="E9" s="59">
        <v>20</v>
      </c>
      <c r="F9" s="257"/>
      <c r="G9" s="257"/>
    </row>
    <row r="10" spans="1:7">
      <c r="A10" s="68" t="s">
        <v>182</v>
      </c>
      <c r="B10" s="101">
        <v>3588.7677187605905</v>
      </c>
      <c r="C10" s="101">
        <v>3885.2385655155167</v>
      </c>
      <c r="D10" s="101">
        <v>5103.4036638670241</v>
      </c>
      <c r="E10" s="101">
        <v>4085.3376562314497</v>
      </c>
      <c r="F10" s="257"/>
      <c r="G10" s="257"/>
    </row>
    <row r="11" spans="1:7">
      <c r="A11" s="49" t="s">
        <v>183</v>
      </c>
      <c r="B11" s="59">
        <v>0</v>
      </c>
      <c r="C11" s="59">
        <v>0</v>
      </c>
      <c r="D11" s="59">
        <v>0</v>
      </c>
      <c r="E11" s="59">
        <v>0</v>
      </c>
      <c r="F11" s="257"/>
      <c r="G11" s="257"/>
    </row>
    <row r="12" spans="1:7">
      <c r="A12" s="49" t="s">
        <v>184</v>
      </c>
      <c r="B12" s="59">
        <v>1170.5725855961239</v>
      </c>
      <c r="C12" s="59">
        <v>1400.89017234431</v>
      </c>
      <c r="D12" s="59">
        <v>1574.1525018944824</v>
      </c>
      <c r="E12" s="59">
        <v>1678.676991871476</v>
      </c>
      <c r="F12" s="257"/>
      <c r="G12" s="257"/>
    </row>
    <row r="13" spans="1:7">
      <c r="A13" s="68" t="s">
        <v>185</v>
      </c>
      <c r="B13" s="101">
        <v>2418.1951331644673</v>
      </c>
      <c r="C13" s="101">
        <v>2484.3483931712071</v>
      </c>
      <c r="D13" s="101">
        <v>3529.2511619725424</v>
      </c>
      <c r="E13" s="101">
        <v>2406.6606643599735</v>
      </c>
      <c r="F13" s="257"/>
      <c r="G13" s="257"/>
    </row>
    <row r="14" spans="1:7">
      <c r="F14" s="257"/>
      <c r="G14" s="257"/>
    </row>
    <row r="15" spans="1:7">
      <c r="A15" s="251" t="s">
        <v>270</v>
      </c>
      <c r="B15" s="251"/>
      <c r="C15" s="251"/>
      <c r="D15" s="251"/>
      <c r="E15" s="251"/>
      <c r="F15" s="257"/>
      <c r="G15" s="257"/>
    </row>
    <row r="16" spans="1:7">
      <c r="A16" s="249" t="s">
        <v>143</v>
      </c>
      <c r="B16" s="249"/>
      <c r="C16" s="249"/>
      <c r="D16" s="253">
        <v>33836.616000000002</v>
      </c>
      <c r="E16" s="253"/>
      <c r="F16" s="257"/>
      <c r="G16" s="257"/>
    </row>
    <row r="17" spans="1:7">
      <c r="A17" s="182" t="s">
        <v>178</v>
      </c>
      <c r="B17" s="182"/>
      <c r="C17" s="182"/>
      <c r="D17" s="252">
        <v>13945.484337750417</v>
      </c>
      <c r="E17" s="252"/>
      <c r="F17" s="257"/>
      <c r="G17" s="257"/>
    </row>
    <row r="18" spans="1:7">
      <c r="A18" s="249" t="s">
        <v>179</v>
      </c>
      <c r="B18" s="249"/>
      <c r="C18" s="249"/>
      <c r="D18" s="253">
        <v>19891.131662249587</v>
      </c>
      <c r="E18" s="253"/>
      <c r="F18" s="257"/>
      <c r="G18" s="257"/>
    </row>
    <row r="19" spans="1:7">
      <c r="A19" s="250" t="s">
        <v>180</v>
      </c>
      <c r="B19" s="250"/>
      <c r="C19" s="250"/>
      <c r="D19" s="252">
        <v>3148.3840578750001</v>
      </c>
      <c r="E19" s="252"/>
      <c r="F19" s="257"/>
      <c r="G19" s="257"/>
    </row>
    <row r="20" spans="1:7">
      <c r="A20" s="250" t="s">
        <v>181</v>
      </c>
      <c r="B20" s="250"/>
      <c r="C20" s="250"/>
      <c r="D20" s="252">
        <v>80</v>
      </c>
      <c r="E20" s="252"/>
      <c r="F20" s="257"/>
      <c r="G20" s="257"/>
    </row>
    <row r="21" spans="1:7">
      <c r="A21" s="249" t="s">
        <v>182</v>
      </c>
      <c r="B21" s="249"/>
      <c r="C21" s="249"/>
      <c r="D21" s="253">
        <v>16662.747604374588</v>
      </c>
      <c r="E21" s="253"/>
      <c r="F21" s="257"/>
      <c r="G21" s="257"/>
    </row>
    <row r="22" spans="1:7">
      <c r="A22" s="250" t="s">
        <v>183</v>
      </c>
      <c r="B22" s="250"/>
      <c r="C22" s="250"/>
      <c r="D22" s="252">
        <v>0</v>
      </c>
      <c r="E22" s="252"/>
      <c r="F22" s="257"/>
      <c r="G22" s="257"/>
    </row>
    <row r="23" spans="1:7">
      <c r="A23" s="250" t="s">
        <v>184</v>
      </c>
      <c r="B23" s="250"/>
      <c r="C23" s="250"/>
      <c r="D23" s="252">
        <v>5824.2922517063926</v>
      </c>
      <c r="E23" s="252"/>
      <c r="F23" s="257"/>
      <c r="G23" s="257"/>
    </row>
    <row r="24" spans="1:7">
      <c r="A24" s="249" t="s">
        <v>185</v>
      </c>
      <c r="B24" s="249"/>
      <c r="C24" s="249"/>
      <c r="D24" s="253">
        <v>10838.45535266819</v>
      </c>
      <c r="E24" s="253"/>
      <c r="F24" s="257"/>
      <c r="G24" s="257"/>
    </row>
    <row r="25" spans="1:7">
      <c r="A25" s="257"/>
      <c r="B25" s="257"/>
      <c r="C25" s="257"/>
      <c r="D25" s="257"/>
      <c r="E25" s="257"/>
      <c r="F25" s="257"/>
      <c r="G25" s="257"/>
    </row>
    <row r="26" spans="1:7">
      <c r="A26" s="257"/>
      <c r="B26" s="257"/>
      <c r="C26" s="257"/>
      <c r="D26" s="257"/>
      <c r="E26" s="257"/>
      <c r="F26" s="257"/>
      <c r="G26" s="257"/>
    </row>
    <row r="27" spans="1:7">
      <c r="A27" s="257"/>
      <c r="B27" s="257"/>
      <c r="C27" s="257"/>
      <c r="D27" s="257"/>
      <c r="E27" s="257"/>
      <c r="F27" s="257"/>
      <c r="G27" s="257"/>
    </row>
  </sheetData>
  <mergeCells count="20">
    <mergeCell ref="A2:E2"/>
    <mergeCell ref="D16:E16"/>
    <mergeCell ref="D17:E17"/>
    <mergeCell ref="D18:E18"/>
    <mergeCell ref="D19:E19"/>
    <mergeCell ref="A21:C21"/>
    <mergeCell ref="A22:C22"/>
    <mergeCell ref="A23:C23"/>
    <mergeCell ref="A24:C24"/>
    <mergeCell ref="A15:E15"/>
    <mergeCell ref="D20:E20"/>
    <mergeCell ref="D21:E21"/>
    <mergeCell ref="D22:E22"/>
    <mergeCell ref="D23:E23"/>
    <mergeCell ref="D24:E24"/>
    <mergeCell ref="A16:C16"/>
    <mergeCell ref="A17:C17"/>
    <mergeCell ref="A18:C18"/>
    <mergeCell ref="A19:C19"/>
    <mergeCell ref="A20:C2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election activeCell="F26" sqref="F26"/>
    </sheetView>
  </sheetViews>
  <sheetFormatPr baseColWidth="10" defaultColWidth="11.42578125" defaultRowHeight="12.75"/>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ColWidth="11.42578125" defaultRowHeight="12.75"/>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dimension ref="A1:U288"/>
  <sheetViews>
    <sheetView topLeftCell="A256" workbookViewId="0">
      <selection activeCell="B280" sqref="B280:C288"/>
    </sheetView>
  </sheetViews>
  <sheetFormatPr baseColWidth="10" defaultRowHeight="12.75"/>
  <cols>
    <col min="2" max="2" width="30.85546875" customWidth="1"/>
    <col min="3" max="3" width="14.7109375" customWidth="1"/>
    <col min="4" max="4" width="13.5703125" customWidth="1"/>
    <col min="16" max="16" width="25.7109375" customWidth="1"/>
    <col min="17" max="17" width="30.5703125" customWidth="1"/>
    <col min="18" max="18" width="18.5703125" customWidth="1"/>
  </cols>
  <sheetData>
    <row r="1" spans="2:21">
      <c r="B1" s="190" t="s">
        <v>150</v>
      </c>
      <c r="C1" s="191"/>
      <c r="D1" s="191"/>
      <c r="E1" s="191"/>
      <c r="F1" s="191"/>
      <c r="G1" s="191"/>
      <c r="H1" s="191"/>
      <c r="I1" s="191"/>
      <c r="J1" s="191"/>
      <c r="K1" s="192"/>
    </row>
    <row r="2" spans="2:21">
      <c r="B2" s="190" t="s">
        <v>202</v>
      </c>
      <c r="C2" s="140"/>
      <c r="D2" s="140"/>
      <c r="E2" s="140"/>
      <c r="F2" s="140"/>
      <c r="G2" s="140"/>
      <c r="H2" s="140"/>
      <c r="I2" s="140"/>
      <c r="J2" s="140"/>
      <c r="K2" s="141"/>
      <c r="Q2" s="1" t="s">
        <v>121</v>
      </c>
      <c r="R2" s="1" t="s">
        <v>98</v>
      </c>
      <c r="S2" s="1" t="s">
        <v>99</v>
      </c>
      <c r="T2" s="1" t="s">
        <v>100</v>
      </c>
      <c r="U2" s="1" t="s">
        <v>101</v>
      </c>
    </row>
    <row r="3" spans="2:21">
      <c r="B3" s="190" t="s">
        <v>203</v>
      </c>
      <c r="C3" s="140"/>
      <c r="D3" s="140"/>
      <c r="E3" s="140"/>
      <c r="F3" s="140"/>
      <c r="G3" s="140"/>
      <c r="H3" s="140"/>
      <c r="I3" s="140"/>
      <c r="J3" s="140"/>
      <c r="K3" s="141"/>
      <c r="Q3" s="1"/>
      <c r="R3" s="1">
        <v>4</v>
      </c>
      <c r="S3" s="1">
        <v>4</v>
      </c>
      <c r="T3" s="1">
        <v>3</v>
      </c>
      <c r="U3" s="1">
        <v>5</v>
      </c>
    </row>
    <row r="4" spans="2:21">
      <c r="B4" s="190" t="s">
        <v>151</v>
      </c>
      <c r="C4" s="140"/>
      <c r="D4" s="140"/>
      <c r="E4" s="140"/>
      <c r="F4" s="140"/>
      <c r="G4" s="140"/>
      <c r="H4" s="140"/>
      <c r="I4" s="140"/>
      <c r="J4" s="140"/>
      <c r="K4" s="141"/>
      <c r="Q4" s="1" t="s">
        <v>122</v>
      </c>
      <c r="R4" s="1">
        <v>34</v>
      </c>
      <c r="S4" s="1">
        <v>28</v>
      </c>
      <c r="T4" s="1">
        <v>42</v>
      </c>
      <c r="U4" s="1">
        <v>31</v>
      </c>
    </row>
    <row r="5" spans="2:21">
      <c r="B5" s="140"/>
      <c r="C5" s="140"/>
      <c r="D5" s="140"/>
      <c r="E5" s="140"/>
      <c r="F5" s="140"/>
      <c r="G5" s="140"/>
      <c r="H5" s="140"/>
      <c r="I5" s="140"/>
      <c r="J5" s="140"/>
      <c r="K5" s="140"/>
    </row>
    <row r="6" spans="2:21">
      <c r="B6" s="195" t="s">
        <v>97</v>
      </c>
      <c r="C6" s="196"/>
      <c r="D6" s="196"/>
      <c r="E6" s="196"/>
      <c r="F6" s="196"/>
      <c r="G6" s="196"/>
      <c r="H6" s="196"/>
      <c r="I6" s="196"/>
      <c r="J6" s="196"/>
      <c r="K6" s="196"/>
      <c r="L6" s="196"/>
      <c r="M6" s="196"/>
      <c r="N6" s="197"/>
      <c r="Q6" s="48" t="s">
        <v>109</v>
      </c>
    </row>
    <row r="7" spans="2:21">
      <c r="B7" s="1"/>
      <c r="C7" s="1" t="s">
        <v>3</v>
      </c>
      <c r="D7" s="1" t="s">
        <v>4</v>
      </c>
      <c r="E7" s="1" t="s">
        <v>5</v>
      </c>
      <c r="F7" s="1" t="s">
        <v>6</v>
      </c>
      <c r="G7" s="1" t="s">
        <v>7</v>
      </c>
      <c r="H7" s="1" t="s">
        <v>8</v>
      </c>
      <c r="I7" s="1" t="s">
        <v>9</v>
      </c>
      <c r="J7" s="1" t="s">
        <v>10</v>
      </c>
      <c r="K7" s="1" t="s">
        <v>96</v>
      </c>
      <c r="L7" s="1" t="s">
        <v>12</v>
      </c>
      <c r="M7" s="1" t="s">
        <v>13</v>
      </c>
      <c r="N7" s="1" t="s">
        <v>14</v>
      </c>
      <c r="Q7" s="1">
        <v>1.02</v>
      </c>
    </row>
    <row r="8" spans="2:21">
      <c r="B8" s="1" t="s">
        <v>98</v>
      </c>
      <c r="C8" s="1">
        <v>24</v>
      </c>
      <c r="D8" s="74">
        <v>24</v>
      </c>
      <c r="E8" s="74">
        <v>24</v>
      </c>
      <c r="F8" s="74">
        <v>24</v>
      </c>
      <c r="G8" s="74">
        <v>24</v>
      </c>
      <c r="H8" s="74">
        <v>24</v>
      </c>
      <c r="I8" s="74">
        <v>24</v>
      </c>
      <c r="J8" s="74">
        <v>24</v>
      </c>
      <c r="K8" s="74">
        <v>26</v>
      </c>
      <c r="L8" s="74">
        <v>24</v>
      </c>
      <c r="M8" s="74">
        <v>24</v>
      </c>
      <c r="N8" s="74">
        <v>21</v>
      </c>
    </row>
    <row r="9" spans="2:21">
      <c r="B9" s="1" t="s">
        <v>99</v>
      </c>
      <c r="C9" s="1">
        <v>29</v>
      </c>
      <c r="D9" s="74">
        <v>29</v>
      </c>
      <c r="E9" s="74">
        <v>29</v>
      </c>
      <c r="F9" s="74">
        <v>29</v>
      </c>
      <c r="G9" s="74">
        <v>29</v>
      </c>
      <c r="H9" s="74">
        <v>29</v>
      </c>
      <c r="I9" s="74">
        <v>29</v>
      </c>
      <c r="J9" s="74">
        <v>29</v>
      </c>
      <c r="K9" s="74">
        <v>32</v>
      </c>
      <c r="L9" s="74">
        <v>29</v>
      </c>
      <c r="M9" s="74">
        <v>29</v>
      </c>
      <c r="N9" s="74">
        <v>24</v>
      </c>
      <c r="Q9" s="48" t="s">
        <v>248</v>
      </c>
      <c r="R9" s="48">
        <v>8</v>
      </c>
    </row>
    <row r="10" spans="2:21">
      <c r="B10" s="1" t="s">
        <v>100</v>
      </c>
      <c r="C10" s="1">
        <v>6</v>
      </c>
      <c r="D10" s="74">
        <v>6</v>
      </c>
      <c r="E10" s="74">
        <v>8</v>
      </c>
      <c r="F10" s="74">
        <v>6</v>
      </c>
      <c r="G10" s="74">
        <v>6</v>
      </c>
      <c r="H10" s="74">
        <v>6</v>
      </c>
      <c r="I10" s="74">
        <v>7</v>
      </c>
      <c r="J10" s="74">
        <v>9</v>
      </c>
      <c r="K10" s="74">
        <v>9</v>
      </c>
      <c r="L10" s="74">
        <v>9</v>
      </c>
      <c r="M10" s="74">
        <v>5</v>
      </c>
      <c r="N10" s="74">
        <v>6</v>
      </c>
    </row>
    <row r="11" spans="2:21">
      <c r="B11" s="1" t="s">
        <v>101</v>
      </c>
      <c r="C11" s="1">
        <v>7</v>
      </c>
      <c r="D11" s="74">
        <v>7</v>
      </c>
      <c r="E11" s="74">
        <v>10</v>
      </c>
      <c r="F11" s="74">
        <v>7</v>
      </c>
      <c r="G11" s="74">
        <v>7</v>
      </c>
      <c r="H11" s="74">
        <v>7</v>
      </c>
      <c r="I11" s="74">
        <v>8</v>
      </c>
      <c r="J11" s="74">
        <v>11</v>
      </c>
      <c r="K11" s="74">
        <v>11</v>
      </c>
      <c r="L11" s="74">
        <v>11</v>
      </c>
      <c r="M11" s="74">
        <v>6</v>
      </c>
      <c r="N11" s="74">
        <v>7</v>
      </c>
      <c r="Q11" s="145" t="s">
        <v>105</v>
      </c>
      <c r="R11" s="145"/>
      <c r="S11" s="145"/>
    </row>
    <row r="12" spans="2:21">
      <c r="Q12" s="45"/>
      <c r="R12" s="45"/>
      <c r="S12" s="13"/>
    </row>
    <row r="13" spans="2:21">
      <c r="B13" s="195" t="s">
        <v>104</v>
      </c>
      <c r="C13" s="196"/>
      <c r="D13" s="196"/>
      <c r="E13" s="196"/>
      <c r="F13" s="196"/>
      <c r="G13" s="196"/>
      <c r="H13" s="196"/>
      <c r="I13" s="196"/>
      <c r="J13" s="196"/>
      <c r="K13" s="196"/>
      <c r="L13" s="196"/>
      <c r="M13" s="196"/>
      <c r="N13" s="197"/>
      <c r="Q13" s="1" t="s">
        <v>98</v>
      </c>
      <c r="R13" s="47">
        <v>10</v>
      </c>
      <c r="T13" s="47">
        <v>9</v>
      </c>
    </row>
    <row r="14" spans="2:21">
      <c r="B14" s="1"/>
      <c r="C14" s="1"/>
      <c r="D14" s="1"/>
      <c r="E14" s="1"/>
      <c r="F14" s="1"/>
      <c r="G14" s="1"/>
      <c r="H14" s="1"/>
      <c r="I14" s="1"/>
      <c r="J14" s="1"/>
      <c r="K14" s="1"/>
      <c r="L14" s="1"/>
      <c r="M14" s="1"/>
      <c r="N14" s="1"/>
      <c r="Q14" s="1" t="s">
        <v>99</v>
      </c>
      <c r="R14" s="47">
        <v>14</v>
      </c>
      <c r="T14" s="47">
        <v>10</v>
      </c>
    </row>
    <row r="15" spans="2:21">
      <c r="B15" s="1"/>
      <c r="C15" s="1"/>
      <c r="D15" s="1"/>
      <c r="E15" s="1"/>
      <c r="F15" s="1"/>
      <c r="G15" s="1"/>
      <c r="H15" s="1"/>
      <c r="I15" s="1"/>
      <c r="J15" s="1"/>
      <c r="K15" s="1"/>
      <c r="L15" s="1"/>
      <c r="M15" s="1"/>
      <c r="N15" s="1"/>
      <c r="Q15" s="1" t="s">
        <v>102</v>
      </c>
      <c r="R15" s="47">
        <v>22</v>
      </c>
      <c r="T15" s="47">
        <v>8</v>
      </c>
    </row>
    <row r="16" spans="2:21">
      <c r="B16" s="48" t="s">
        <v>107</v>
      </c>
      <c r="C16" s="1">
        <f>MIN(C8*$R19,C9*$R20)</f>
        <v>2320</v>
      </c>
      <c r="D16" s="74">
        <f t="shared" ref="D16:N16" si="0">MIN(D8*$R19,D9*$R20)</f>
        <v>2320</v>
      </c>
      <c r="E16" s="74">
        <f t="shared" si="0"/>
        <v>2320</v>
      </c>
      <c r="F16" s="74">
        <f t="shared" si="0"/>
        <v>2320</v>
      </c>
      <c r="G16" s="74">
        <f t="shared" si="0"/>
        <v>2320</v>
      </c>
      <c r="H16" s="74">
        <f t="shared" si="0"/>
        <v>2320</v>
      </c>
      <c r="I16" s="74">
        <f t="shared" si="0"/>
        <v>2320</v>
      </c>
      <c r="J16" s="74">
        <f t="shared" si="0"/>
        <v>2320</v>
      </c>
      <c r="K16" s="74">
        <f t="shared" si="0"/>
        <v>2560</v>
      </c>
      <c r="L16" s="74">
        <f t="shared" si="0"/>
        <v>2320</v>
      </c>
      <c r="M16" s="74">
        <f t="shared" si="0"/>
        <v>2320</v>
      </c>
      <c r="N16" s="74">
        <f t="shared" si="0"/>
        <v>1920</v>
      </c>
      <c r="O16">
        <f>ROUNDUP(2320*1.02,0)</f>
        <v>2367</v>
      </c>
      <c r="Q16" s="1" t="s">
        <v>103</v>
      </c>
      <c r="R16" s="47">
        <v>24</v>
      </c>
      <c r="T16" s="47">
        <v>7</v>
      </c>
    </row>
    <row r="17" spans="2:21">
      <c r="B17" s="54"/>
      <c r="C17" s="53"/>
      <c r="D17" s="53"/>
      <c r="E17" s="53"/>
      <c r="F17" s="53"/>
      <c r="G17" s="53"/>
      <c r="H17" s="53"/>
      <c r="I17" s="53"/>
      <c r="J17" s="53"/>
      <c r="K17" s="53"/>
      <c r="L17" s="53"/>
      <c r="M17" s="53"/>
      <c r="N17" s="52"/>
    </row>
    <row r="18" spans="2:21">
      <c r="B18" s="1"/>
      <c r="C18" s="1"/>
      <c r="D18" s="1"/>
      <c r="E18" s="1"/>
      <c r="F18" s="1"/>
      <c r="G18" s="1"/>
      <c r="H18" s="1"/>
      <c r="I18" s="1"/>
      <c r="J18" s="1"/>
      <c r="K18" s="1"/>
      <c r="L18" s="1"/>
      <c r="M18" s="1"/>
      <c r="N18" s="1"/>
      <c r="Q18" s="182" t="s">
        <v>106</v>
      </c>
      <c r="R18" s="182"/>
      <c r="S18" s="38"/>
    </row>
    <row r="19" spans="2:21">
      <c r="B19" s="1"/>
      <c r="C19" s="1"/>
      <c r="D19" s="1"/>
      <c r="E19" s="1"/>
      <c r="F19" s="1"/>
      <c r="G19" s="1"/>
      <c r="H19" s="1"/>
      <c r="I19" s="1"/>
      <c r="J19" s="1"/>
      <c r="K19" s="1"/>
      <c r="L19" s="1"/>
      <c r="M19" s="1"/>
      <c r="N19" s="1"/>
      <c r="Q19" s="48" t="s">
        <v>98</v>
      </c>
      <c r="R19" s="1">
        <v>100</v>
      </c>
    </row>
    <row r="20" spans="2:21">
      <c r="B20" s="48" t="s">
        <v>108</v>
      </c>
      <c r="C20" s="1">
        <f>MIN(C10*$R21,C11*$R22)</f>
        <v>630</v>
      </c>
      <c r="D20" s="74">
        <f t="shared" ref="D20:N20" si="1">MIN(D10*$R21,D11*$R22)</f>
        <v>630</v>
      </c>
      <c r="E20" s="74">
        <f t="shared" si="1"/>
        <v>880</v>
      </c>
      <c r="F20" s="74">
        <f t="shared" si="1"/>
        <v>630</v>
      </c>
      <c r="G20" s="74">
        <f t="shared" si="1"/>
        <v>630</v>
      </c>
      <c r="H20" s="74">
        <f t="shared" si="1"/>
        <v>630</v>
      </c>
      <c r="I20" s="74">
        <f t="shared" si="1"/>
        <v>720</v>
      </c>
      <c r="J20" s="74">
        <f t="shared" si="1"/>
        <v>990</v>
      </c>
      <c r="K20" s="74">
        <f t="shared" si="1"/>
        <v>990</v>
      </c>
      <c r="L20" s="74">
        <f t="shared" si="1"/>
        <v>990</v>
      </c>
      <c r="M20" s="74">
        <f t="shared" si="1"/>
        <v>540</v>
      </c>
      <c r="N20" s="74">
        <f t="shared" si="1"/>
        <v>630</v>
      </c>
      <c r="O20" s="27">
        <f>ROUNDUP(630*1.02,0)</f>
        <v>643</v>
      </c>
      <c r="P20" s="27"/>
      <c r="Q20" s="49" t="s">
        <v>99</v>
      </c>
      <c r="R20" s="1">
        <v>80</v>
      </c>
    </row>
    <row r="21" spans="2:21">
      <c r="Q21" s="48" t="s">
        <v>100</v>
      </c>
      <c r="R21" s="1">
        <v>110</v>
      </c>
    </row>
    <row r="22" spans="2:21">
      <c r="Q22" s="48" t="s">
        <v>101</v>
      </c>
      <c r="R22" s="1">
        <v>90</v>
      </c>
    </row>
    <row r="24" spans="2:21">
      <c r="Q24" s="48" t="s">
        <v>110</v>
      </c>
    </row>
    <row r="25" spans="2:21">
      <c r="B25" s="198" t="s">
        <v>231</v>
      </c>
      <c r="C25" s="199"/>
      <c r="D25" s="199"/>
      <c r="E25" s="199"/>
      <c r="F25" s="199"/>
      <c r="G25" s="199"/>
      <c r="H25" s="199"/>
      <c r="I25" s="199"/>
      <c r="J25" s="199"/>
      <c r="K25" s="199"/>
      <c r="L25" s="199"/>
      <c r="M25" s="199"/>
      <c r="N25" s="200"/>
      <c r="Q25" s="1">
        <v>0.2</v>
      </c>
    </row>
    <row r="26" spans="2:21">
      <c r="B26" s="1"/>
      <c r="C26" s="1" t="s">
        <v>3</v>
      </c>
      <c r="D26" s="1" t="s">
        <v>4</v>
      </c>
      <c r="E26" s="1" t="s">
        <v>5</v>
      </c>
      <c r="F26" s="1" t="s">
        <v>6</v>
      </c>
      <c r="G26" s="1" t="s">
        <v>7</v>
      </c>
      <c r="H26" s="1" t="s">
        <v>8</v>
      </c>
      <c r="I26" s="1" t="s">
        <v>9</v>
      </c>
      <c r="J26" s="1" t="s">
        <v>10</v>
      </c>
      <c r="K26" s="1" t="s">
        <v>96</v>
      </c>
      <c r="L26" s="1" t="s">
        <v>12</v>
      </c>
      <c r="M26" s="1" t="s">
        <v>13</v>
      </c>
      <c r="N26" s="1" t="s">
        <v>14</v>
      </c>
    </row>
    <row r="27" spans="2:21">
      <c r="B27" s="48"/>
      <c r="C27" s="3">
        <f>C56+C34-C49</f>
        <v>23500.400000000001</v>
      </c>
      <c r="D27" s="3">
        <f t="shared" ref="D27:N27" si="2">D56+D34-D49</f>
        <v>23200</v>
      </c>
      <c r="E27" s="3">
        <f t="shared" si="2"/>
        <v>23200</v>
      </c>
      <c r="F27" s="3">
        <f t="shared" si="2"/>
        <v>23200</v>
      </c>
      <c r="G27" s="3">
        <f t="shared" si="2"/>
        <v>23200</v>
      </c>
      <c r="H27" s="3">
        <f t="shared" si="2"/>
        <v>23200</v>
      </c>
      <c r="I27" s="3">
        <f t="shared" si="2"/>
        <v>23200</v>
      </c>
      <c r="J27" s="3">
        <f t="shared" si="2"/>
        <v>23440</v>
      </c>
      <c r="K27" s="3">
        <f t="shared" si="2"/>
        <v>25360</v>
      </c>
      <c r="L27" s="3">
        <f t="shared" si="2"/>
        <v>23200</v>
      </c>
      <c r="M27" s="3">
        <f t="shared" si="2"/>
        <v>22800</v>
      </c>
      <c r="N27" s="3">
        <f t="shared" si="2"/>
        <v>19647</v>
      </c>
      <c r="Q27" s="48" t="s">
        <v>111</v>
      </c>
    </row>
    <row r="28" spans="2:21">
      <c r="B28" s="48"/>
      <c r="C28" s="3">
        <f>C57+C35-C50</f>
        <v>32900.559999999998</v>
      </c>
      <c r="D28" s="3">
        <f t="shared" ref="D28:N28" si="3">D57+D35-D50</f>
        <v>32480</v>
      </c>
      <c r="E28" s="3">
        <f t="shared" si="3"/>
        <v>32480</v>
      </c>
      <c r="F28" s="3">
        <f t="shared" si="3"/>
        <v>32480</v>
      </c>
      <c r="G28" s="3">
        <f t="shared" si="3"/>
        <v>32480</v>
      </c>
      <c r="H28" s="3">
        <f t="shared" si="3"/>
        <v>32480</v>
      </c>
      <c r="I28" s="3">
        <f t="shared" si="3"/>
        <v>32480</v>
      </c>
      <c r="J28" s="3">
        <f t="shared" si="3"/>
        <v>32816</v>
      </c>
      <c r="K28" s="3">
        <f t="shared" si="3"/>
        <v>35504</v>
      </c>
      <c r="L28" s="3">
        <f t="shared" si="3"/>
        <v>32480</v>
      </c>
      <c r="M28" s="3">
        <f t="shared" si="3"/>
        <v>31920</v>
      </c>
      <c r="N28" s="3">
        <f t="shared" si="3"/>
        <v>27506</v>
      </c>
      <c r="Q28" s="1">
        <v>0.1</v>
      </c>
    </row>
    <row r="29" spans="2:21">
      <c r="B29" s="48"/>
      <c r="C29" s="3">
        <f>C58+C36-C51</f>
        <v>14135.22</v>
      </c>
      <c r="D29" s="3">
        <f t="shared" ref="D29:N29" si="4">D58+D36-D51</f>
        <v>14410</v>
      </c>
      <c r="E29" s="3">
        <f t="shared" si="4"/>
        <v>18810</v>
      </c>
      <c r="F29" s="3">
        <f t="shared" si="4"/>
        <v>13860</v>
      </c>
      <c r="G29" s="3">
        <f t="shared" si="4"/>
        <v>13860</v>
      </c>
      <c r="H29" s="3">
        <f t="shared" si="4"/>
        <v>14058</v>
      </c>
      <c r="I29" s="3">
        <f t="shared" si="4"/>
        <v>16434</v>
      </c>
      <c r="J29" s="3">
        <f t="shared" si="4"/>
        <v>21780</v>
      </c>
      <c r="K29" s="3">
        <f t="shared" si="4"/>
        <v>21780</v>
      </c>
      <c r="L29" s="3">
        <f t="shared" si="4"/>
        <v>20790</v>
      </c>
      <c r="M29" s="3">
        <f t="shared" si="4"/>
        <v>12078</v>
      </c>
      <c r="N29" s="3">
        <f t="shared" si="4"/>
        <v>13889</v>
      </c>
      <c r="Q29" s="11"/>
    </row>
    <row r="30" spans="2:21">
      <c r="B30" s="48"/>
      <c r="C30" s="3">
        <f>C59+C37-C52</f>
        <v>15420.24</v>
      </c>
      <c r="D30" s="3">
        <f t="shared" ref="D30:N30" si="5">D59+D37-D52</f>
        <v>15720</v>
      </c>
      <c r="E30" s="3">
        <f t="shared" si="5"/>
        <v>20520</v>
      </c>
      <c r="F30" s="3">
        <f t="shared" si="5"/>
        <v>15120</v>
      </c>
      <c r="G30" s="3">
        <f t="shared" si="5"/>
        <v>15120</v>
      </c>
      <c r="H30" s="3">
        <f t="shared" si="5"/>
        <v>15336</v>
      </c>
      <c r="I30" s="3">
        <f t="shared" si="5"/>
        <v>17928</v>
      </c>
      <c r="J30" s="3">
        <f t="shared" si="5"/>
        <v>23760</v>
      </c>
      <c r="K30" s="3">
        <f t="shared" si="5"/>
        <v>23760</v>
      </c>
      <c r="L30" s="3">
        <f t="shared" si="5"/>
        <v>22680</v>
      </c>
      <c r="M30" s="3">
        <f t="shared" si="5"/>
        <v>13176</v>
      </c>
      <c r="N30" s="3">
        <f t="shared" si="5"/>
        <v>15152</v>
      </c>
      <c r="Q30" s="57"/>
      <c r="R30" s="57"/>
      <c r="S30" s="57"/>
      <c r="T30" s="57"/>
      <c r="U30" s="57"/>
    </row>
    <row r="31" spans="2:21">
      <c r="B31" s="27"/>
      <c r="Q31" s="57"/>
      <c r="R31" s="57"/>
      <c r="S31" s="57"/>
      <c r="T31" s="57"/>
      <c r="U31" s="57"/>
    </row>
    <row r="32" spans="2:21">
      <c r="B32" s="201" t="s">
        <v>233</v>
      </c>
      <c r="C32" s="201"/>
      <c r="D32" s="201"/>
      <c r="E32" s="201"/>
      <c r="F32" s="201"/>
      <c r="G32" s="201"/>
      <c r="H32" s="201"/>
      <c r="I32" s="201"/>
      <c r="J32" s="201"/>
      <c r="K32" s="201"/>
      <c r="L32" s="201"/>
      <c r="M32" s="201"/>
      <c r="N32" s="201"/>
      <c r="Q32" s="57"/>
      <c r="R32" s="57"/>
      <c r="S32" s="57"/>
      <c r="T32" s="57"/>
      <c r="U32" s="57"/>
    </row>
    <row r="33" spans="2:21">
      <c r="B33" s="48"/>
      <c r="C33" s="56" t="s">
        <v>3</v>
      </c>
      <c r="D33" s="56" t="s">
        <v>4</v>
      </c>
      <c r="E33" s="56" t="s">
        <v>5</v>
      </c>
      <c r="F33" s="56" t="s">
        <v>6</v>
      </c>
      <c r="G33" s="56" t="s">
        <v>7</v>
      </c>
      <c r="H33" s="56" t="s">
        <v>8</v>
      </c>
      <c r="I33" s="56" t="s">
        <v>9</v>
      </c>
      <c r="J33" s="56" t="s">
        <v>10</v>
      </c>
      <c r="K33" s="56" t="s">
        <v>96</v>
      </c>
      <c r="L33" s="56" t="s">
        <v>12</v>
      </c>
      <c r="M33" s="56" t="s">
        <v>13</v>
      </c>
      <c r="N33" s="56" t="s">
        <v>14</v>
      </c>
      <c r="O33" s="85"/>
      <c r="Q33" s="57"/>
      <c r="R33" s="57"/>
      <c r="S33" s="57"/>
      <c r="T33" s="57"/>
      <c r="U33" s="57"/>
    </row>
    <row r="34" spans="2:21">
      <c r="B34" s="48" t="s">
        <v>98</v>
      </c>
      <c r="C34" s="56">
        <f>ROUNDUP(D56*$Q$28,0)</f>
        <v>2320</v>
      </c>
      <c r="D34" s="74">
        <f t="shared" ref="D34:N34" si="6">ROUNDUP(E56*$Q$28,0)</f>
        <v>2320</v>
      </c>
      <c r="E34" s="74">
        <f t="shared" si="6"/>
        <v>2320</v>
      </c>
      <c r="F34" s="74">
        <f t="shared" si="6"/>
        <v>2320</v>
      </c>
      <c r="G34" s="74">
        <f t="shared" si="6"/>
        <v>2320</v>
      </c>
      <c r="H34" s="74">
        <f t="shared" si="6"/>
        <v>2320</v>
      </c>
      <c r="I34" s="74">
        <f t="shared" si="6"/>
        <v>2320</v>
      </c>
      <c r="J34" s="74">
        <f t="shared" si="6"/>
        <v>2560</v>
      </c>
      <c r="K34" s="74">
        <f t="shared" si="6"/>
        <v>2320</v>
      </c>
      <c r="L34" s="74">
        <f t="shared" si="6"/>
        <v>2320</v>
      </c>
      <c r="M34" s="74">
        <f t="shared" si="6"/>
        <v>1920</v>
      </c>
      <c r="N34" s="74">
        <f t="shared" si="6"/>
        <v>2367</v>
      </c>
      <c r="O34" s="86"/>
      <c r="Q34" s="11"/>
    </row>
    <row r="35" spans="2:21">
      <c r="B35" s="48" t="s">
        <v>99</v>
      </c>
      <c r="C35" s="74">
        <f>ROUNDUP(D57*$Q$28,0)</f>
        <v>3248</v>
      </c>
      <c r="D35" s="74">
        <f t="shared" ref="D35:N35" si="7">ROUNDUP(E57*$Q$28,0)</f>
        <v>3248</v>
      </c>
      <c r="E35" s="74">
        <f t="shared" si="7"/>
        <v>3248</v>
      </c>
      <c r="F35" s="74">
        <f t="shared" si="7"/>
        <v>3248</v>
      </c>
      <c r="G35" s="74">
        <f t="shared" si="7"/>
        <v>3248</v>
      </c>
      <c r="H35" s="74">
        <f t="shared" si="7"/>
        <v>3248</v>
      </c>
      <c r="I35" s="74">
        <f t="shared" si="7"/>
        <v>3248</v>
      </c>
      <c r="J35" s="74">
        <f t="shared" si="7"/>
        <v>3584</v>
      </c>
      <c r="K35" s="74">
        <f t="shared" si="7"/>
        <v>3248</v>
      </c>
      <c r="L35" s="74">
        <f t="shared" si="7"/>
        <v>3248</v>
      </c>
      <c r="M35" s="74">
        <f t="shared" si="7"/>
        <v>2688</v>
      </c>
      <c r="N35" s="74">
        <f t="shared" si="7"/>
        <v>3314</v>
      </c>
      <c r="O35" s="86"/>
      <c r="Q35" s="11"/>
    </row>
    <row r="36" spans="2:21">
      <c r="B36" s="48" t="s">
        <v>102</v>
      </c>
      <c r="C36" s="74">
        <f>ROUNDUP(D58*$Q$28,0)</f>
        <v>1386</v>
      </c>
      <c r="D36" s="74">
        <f t="shared" ref="D36:N36" si="8">ROUNDUP(E58*$Q$28,0)</f>
        <v>1936</v>
      </c>
      <c r="E36" s="74">
        <f t="shared" si="8"/>
        <v>1386</v>
      </c>
      <c r="F36" s="74">
        <f t="shared" si="8"/>
        <v>1386</v>
      </c>
      <c r="G36" s="74">
        <f t="shared" si="8"/>
        <v>1386</v>
      </c>
      <c r="H36" s="74">
        <f t="shared" si="8"/>
        <v>1584</v>
      </c>
      <c r="I36" s="74">
        <f t="shared" si="8"/>
        <v>2178</v>
      </c>
      <c r="J36" s="74">
        <f t="shared" si="8"/>
        <v>2178</v>
      </c>
      <c r="K36" s="74">
        <f t="shared" si="8"/>
        <v>2178</v>
      </c>
      <c r="L36" s="74">
        <f t="shared" si="8"/>
        <v>1188</v>
      </c>
      <c r="M36" s="74">
        <f t="shared" si="8"/>
        <v>1386</v>
      </c>
      <c r="N36" s="74">
        <f t="shared" si="8"/>
        <v>1415</v>
      </c>
      <c r="O36" s="86"/>
      <c r="Q36" s="11"/>
    </row>
    <row r="37" spans="2:21">
      <c r="B37" s="48" t="s">
        <v>103</v>
      </c>
      <c r="C37" s="74">
        <f>ROUNDUP(D59*$Q$28,0)</f>
        <v>1512</v>
      </c>
      <c r="D37" s="74">
        <f t="shared" ref="D37:N37" si="9">ROUNDUP(E59*$Q$28,0)</f>
        <v>2112</v>
      </c>
      <c r="E37" s="74">
        <f t="shared" si="9"/>
        <v>1512</v>
      </c>
      <c r="F37" s="74">
        <f t="shared" si="9"/>
        <v>1512</v>
      </c>
      <c r="G37" s="74">
        <f t="shared" si="9"/>
        <v>1512</v>
      </c>
      <c r="H37" s="74">
        <f t="shared" si="9"/>
        <v>1728</v>
      </c>
      <c r="I37" s="74">
        <f t="shared" si="9"/>
        <v>2376</v>
      </c>
      <c r="J37" s="74">
        <f t="shared" si="9"/>
        <v>2376</v>
      </c>
      <c r="K37" s="74">
        <f t="shared" si="9"/>
        <v>2376</v>
      </c>
      <c r="L37" s="74">
        <f t="shared" si="9"/>
        <v>1296</v>
      </c>
      <c r="M37" s="74">
        <f t="shared" si="9"/>
        <v>1512</v>
      </c>
      <c r="N37" s="74">
        <f t="shared" si="9"/>
        <v>1544</v>
      </c>
      <c r="O37" s="86"/>
      <c r="Q37" s="11"/>
    </row>
    <row r="38" spans="2:21">
      <c r="B38" s="48" t="s">
        <v>123</v>
      </c>
      <c r="C38" s="74"/>
      <c r="D38" s="56"/>
      <c r="E38" s="56"/>
      <c r="F38" s="56"/>
      <c r="G38" s="56"/>
      <c r="H38" s="56"/>
      <c r="I38" s="56"/>
      <c r="J38" s="56"/>
      <c r="K38" s="56"/>
      <c r="L38" s="56"/>
      <c r="M38" s="56"/>
      <c r="N38" s="3"/>
      <c r="O38" s="86"/>
      <c r="Q38" s="11"/>
    </row>
    <row r="39" spans="2:21">
      <c r="B39" s="67"/>
      <c r="Q39" s="11"/>
    </row>
    <row r="40" spans="2:21">
      <c r="B40" s="198" t="s">
        <v>232</v>
      </c>
      <c r="C40" s="199"/>
      <c r="D40" s="199"/>
      <c r="E40" s="199"/>
      <c r="F40" s="199"/>
      <c r="G40" s="199"/>
      <c r="H40" s="199"/>
      <c r="I40" s="199"/>
      <c r="J40" s="199"/>
      <c r="K40" s="199"/>
      <c r="L40" s="199"/>
      <c r="M40" s="199"/>
      <c r="N40" s="200"/>
      <c r="Q40" s="11"/>
    </row>
    <row r="41" spans="2:21">
      <c r="B41" s="1"/>
      <c r="C41" s="1" t="s">
        <v>3</v>
      </c>
      <c r="D41" s="1" t="s">
        <v>4</v>
      </c>
      <c r="E41" s="1" t="s">
        <v>5</v>
      </c>
      <c r="F41" s="1" t="s">
        <v>6</v>
      </c>
      <c r="G41" s="1" t="s">
        <v>7</v>
      </c>
      <c r="H41" s="1" t="s">
        <v>8</v>
      </c>
      <c r="I41" s="1" t="s">
        <v>9</v>
      </c>
      <c r="J41" s="1" t="s">
        <v>10</v>
      </c>
      <c r="K41" s="1" t="s">
        <v>96</v>
      </c>
      <c r="L41" s="1" t="s">
        <v>12</v>
      </c>
      <c r="M41" s="1" t="s">
        <v>13</v>
      </c>
      <c r="N41" s="1" t="s">
        <v>14</v>
      </c>
      <c r="O41" s="62" t="s">
        <v>162</v>
      </c>
      <c r="Q41" s="11"/>
    </row>
    <row r="42" spans="2:21">
      <c r="B42" s="48" t="s">
        <v>98</v>
      </c>
      <c r="C42" s="3">
        <f>C34</f>
        <v>2320</v>
      </c>
      <c r="D42" s="3">
        <f t="shared" ref="D42:M42" si="10">D34</f>
        <v>2320</v>
      </c>
      <c r="E42" s="3">
        <f t="shared" si="10"/>
        <v>2320</v>
      </c>
      <c r="F42" s="3">
        <f t="shared" si="10"/>
        <v>2320</v>
      </c>
      <c r="G42" s="3">
        <f t="shared" si="10"/>
        <v>2320</v>
      </c>
      <c r="H42" s="3">
        <f t="shared" si="10"/>
        <v>2320</v>
      </c>
      <c r="I42" s="3">
        <f t="shared" si="10"/>
        <v>2320</v>
      </c>
      <c r="J42" s="3">
        <f t="shared" si="10"/>
        <v>2560</v>
      </c>
      <c r="K42" s="3">
        <f t="shared" si="10"/>
        <v>2320</v>
      </c>
      <c r="L42" s="3">
        <f t="shared" si="10"/>
        <v>2320</v>
      </c>
      <c r="M42" s="3">
        <f t="shared" si="10"/>
        <v>1920</v>
      </c>
      <c r="N42" s="3">
        <f>ROUNDUP(N34,0)</f>
        <v>2367</v>
      </c>
      <c r="O42" s="64"/>
      <c r="Q42" s="11"/>
    </row>
    <row r="43" spans="2:21">
      <c r="B43" s="48" t="s">
        <v>99</v>
      </c>
      <c r="C43" s="1">
        <f>C35</f>
        <v>3248</v>
      </c>
      <c r="D43" s="74">
        <f t="shared" ref="D43:N43" si="11">D35</f>
        <v>3248</v>
      </c>
      <c r="E43" s="74">
        <f t="shared" si="11"/>
        <v>3248</v>
      </c>
      <c r="F43" s="74">
        <f t="shared" si="11"/>
        <v>3248</v>
      </c>
      <c r="G43" s="74">
        <f t="shared" si="11"/>
        <v>3248</v>
      </c>
      <c r="H43" s="74">
        <f t="shared" si="11"/>
        <v>3248</v>
      </c>
      <c r="I43" s="74">
        <f t="shared" si="11"/>
        <v>3248</v>
      </c>
      <c r="J43" s="74">
        <f t="shared" si="11"/>
        <v>3584</v>
      </c>
      <c r="K43" s="74">
        <f t="shared" si="11"/>
        <v>3248</v>
      </c>
      <c r="L43" s="74">
        <f t="shared" si="11"/>
        <v>3248</v>
      </c>
      <c r="M43" s="74">
        <f t="shared" si="11"/>
        <v>2688</v>
      </c>
      <c r="N43" s="74">
        <f t="shared" si="11"/>
        <v>3314</v>
      </c>
      <c r="O43" s="64"/>
      <c r="Q43" s="11"/>
    </row>
    <row r="44" spans="2:21">
      <c r="B44" s="48" t="s">
        <v>102</v>
      </c>
      <c r="C44" s="1">
        <f>C36</f>
        <v>1386</v>
      </c>
      <c r="D44" s="74">
        <f t="shared" ref="D44:N44" si="12">D36</f>
        <v>1936</v>
      </c>
      <c r="E44" s="74">
        <f t="shared" si="12"/>
        <v>1386</v>
      </c>
      <c r="F44" s="74">
        <f t="shared" si="12"/>
        <v>1386</v>
      </c>
      <c r="G44" s="74">
        <f t="shared" si="12"/>
        <v>1386</v>
      </c>
      <c r="H44" s="74">
        <f t="shared" si="12"/>
        <v>1584</v>
      </c>
      <c r="I44" s="74">
        <f t="shared" si="12"/>
        <v>2178</v>
      </c>
      <c r="J44" s="74">
        <f t="shared" si="12"/>
        <v>2178</v>
      </c>
      <c r="K44" s="74">
        <f t="shared" si="12"/>
        <v>2178</v>
      </c>
      <c r="L44" s="74">
        <f t="shared" si="12"/>
        <v>1188</v>
      </c>
      <c r="M44" s="74">
        <f t="shared" si="12"/>
        <v>1386</v>
      </c>
      <c r="N44" s="74">
        <f t="shared" si="12"/>
        <v>1415</v>
      </c>
      <c r="O44" s="64"/>
      <c r="Q44" s="11"/>
    </row>
    <row r="45" spans="2:21">
      <c r="B45" s="48" t="s">
        <v>103</v>
      </c>
      <c r="C45" s="1">
        <f>C37</f>
        <v>1512</v>
      </c>
      <c r="D45" s="74">
        <f t="shared" ref="D45:N45" si="13">D37</f>
        <v>2112</v>
      </c>
      <c r="E45" s="74">
        <f t="shared" si="13"/>
        <v>1512</v>
      </c>
      <c r="F45" s="74">
        <f t="shared" si="13"/>
        <v>1512</v>
      </c>
      <c r="G45" s="74">
        <f t="shared" si="13"/>
        <v>1512</v>
      </c>
      <c r="H45" s="74">
        <f t="shared" si="13"/>
        <v>1728</v>
      </c>
      <c r="I45" s="74">
        <f t="shared" si="13"/>
        <v>2376</v>
      </c>
      <c r="J45" s="74">
        <f t="shared" si="13"/>
        <v>2376</v>
      </c>
      <c r="K45" s="74">
        <f t="shared" si="13"/>
        <v>2376</v>
      </c>
      <c r="L45" s="74">
        <f t="shared" si="13"/>
        <v>1296</v>
      </c>
      <c r="M45" s="74">
        <f t="shared" si="13"/>
        <v>1512</v>
      </c>
      <c r="N45" s="74">
        <f t="shared" si="13"/>
        <v>1544</v>
      </c>
      <c r="O45" s="64"/>
    </row>
    <row r="46" spans="2:21">
      <c r="B46" s="43"/>
      <c r="C46" s="11"/>
      <c r="D46" s="11"/>
      <c r="E46" s="11"/>
      <c r="F46" s="11"/>
      <c r="G46" s="11"/>
      <c r="H46" s="11"/>
      <c r="I46" s="11"/>
      <c r="J46" s="11"/>
      <c r="K46" s="11"/>
      <c r="L46" s="11"/>
      <c r="M46" s="11"/>
      <c r="N46" s="11"/>
    </row>
    <row r="47" spans="2:21">
      <c r="B47" s="201" t="s">
        <v>234</v>
      </c>
      <c r="C47" s="201"/>
      <c r="D47" s="201"/>
      <c r="E47" s="201"/>
      <c r="F47" s="201"/>
      <c r="G47" s="201"/>
      <c r="H47" s="201"/>
      <c r="I47" s="201"/>
      <c r="J47" s="201"/>
      <c r="K47" s="201"/>
      <c r="L47" s="201"/>
      <c r="M47" s="201"/>
      <c r="N47" s="201"/>
    </row>
    <row r="48" spans="2:21">
      <c r="B48" s="48"/>
      <c r="C48" s="56" t="s">
        <v>3</v>
      </c>
      <c r="D48" s="56" t="s">
        <v>4</v>
      </c>
      <c r="E48" s="56" t="s">
        <v>5</v>
      </c>
      <c r="F48" s="56" t="s">
        <v>6</v>
      </c>
      <c r="G48" s="56" t="s">
        <v>7</v>
      </c>
      <c r="H48" s="56" t="s">
        <v>8</v>
      </c>
      <c r="I48" s="56" t="s">
        <v>9</v>
      </c>
      <c r="J48" s="56" t="s">
        <v>10</v>
      </c>
      <c r="K48" s="56" t="s">
        <v>96</v>
      </c>
      <c r="L48" s="56" t="s">
        <v>12</v>
      </c>
      <c r="M48" s="56" t="s">
        <v>13</v>
      </c>
      <c r="N48" s="56" t="s">
        <v>14</v>
      </c>
    </row>
    <row r="49" spans="2:20">
      <c r="B49" s="48" t="s">
        <v>98</v>
      </c>
      <c r="C49" s="3">
        <f>Enunciado!$C$28*R13*Q28</f>
        <v>2019.6000000000001</v>
      </c>
      <c r="D49" s="3">
        <f>C42</f>
        <v>2320</v>
      </c>
      <c r="E49" s="3">
        <f t="shared" ref="E49:N49" si="14">D42</f>
        <v>2320</v>
      </c>
      <c r="F49" s="3">
        <f t="shared" si="14"/>
        <v>2320</v>
      </c>
      <c r="G49" s="3">
        <f t="shared" si="14"/>
        <v>2320</v>
      </c>
      <c r="H49" s="3">
        <f t="shared" si="14"/>
        <v>2320</v>
      </c>
      <c r="I49" s="3">
        <f t="shared" si="14"/>
        <v>2320</v>
      </c>
      <c r="J49" s="3">
        <f t="shared" si="14"/>
        <v>2320</v>
      </c>
      <c r="K49" s="3">
        <f t="shared" si="14"/>
        <v>2560</v>
      </c>
      <c r="L49" s="3">
        <f t="shared" si="14"/>
        <v>2320</v>
      </c>
      <c r="M49" s="3">
        <f t="shared" si="14"/>
        <v>2320</v>
      </c>
      <c r="N49" s="3">
        <f t="shared" si="14"/>
        <v>1920</v>
      </c>
    </row>
    <row r="50" spans="2:20">
      <c r="B50" s="48" t="s">
        <v>99</v>
      </c>
      <c r="C50" s="3">
        <f>Enunciado!$C$28*R14*Q28</f>
        <v>2827.4400000000005</v>
      </c>
      <c r="D50" s="3">
        <f t="shared" ref="D50:N52" si="15">C43</f>
        <v>3248</v>
      </c>
      <c r="E50" s="3">
        <f t="shared" si="15"/>
        <v>3248</v>
      </c>
      <c r="F50" s="3">
        <f t="shared" si="15"/>
        <v>3248</v>
      </c>
      <c r="G50" s="3">
        <f t="shared" si="15"/>
        <v>3248</v>
      </c>
      <c r="H50" s="3">
        <f t="shared" si="15"/>
        <v>3248</v>
      </c>
      <c r="I50" s="3">
        <f t="shared" si="15"/>
        <v>3248</v>
      </c>
      <c r="J50" s="3">
        <f t="shared" si="15"/>
        <v>3248</v>
      </c>
      <c r="K50" s="3">
        <f t="shared" si="15"/>
        <v>3584</v>
      </c>
      <c r="L50" s="3">
        <f t="shared" si="15"/>
        <v>3248</v>
      </c>
      <c r="M50" s="3">
        <f t="shared" si="15"/>
        <v>3248</v>
      </c>
      <c r="N50" s="3">
        <f t="shared" si="15"/>
        <v>2688</v>
      </c>
    </row>
    <row r="51" spans="2:20">
      <c r="B51" s="48" t="s">
        <v>102</v>
      </c>
      <c r="C51" s="3">
        <f>Enunciado!$C$29*R15*Q28</f>
        <v>1110.7800000000002</v>
      </c>
      <c r="D51" s="3">
        <f t="shared" si="15"/>
        <v>1386</v>
      </c>
      <c r="E51" s="3">
        <f t="shared" si="15"/>
        <v>1936</v>
      </c>
      <c r="F51" s="3">
        <f t="shared" si="15"/>
        <v>1386</v>
      </c>
      <c r="G51" s="3">
        <f t="shared" si="15"/>
        <v>1386</v>
      </c>
      <c r="H51" s="3">
        <f t="shared" si="15"/>
        <v>1386</v>
      </c>
      <c r="I51" s="3">
        <f t="shared" si="15"/>
        <v>1584</v>
      </c>
      <c r="J51" s="3">
        <f t="shared" si="15"/>
        <v>2178</v>
      </c>
      <c r="K51" s="3">
        <f t="shared" si="15"/>
        <v>2178</v>
      </c>
      <c r="L51" s="3">
        <f t="shared" si="15"/>
        <v>2178</v>
      </c>
      <c r="M51" s="3">
        <f t="shared" si="15"/>
        <v>1188</v>
      </c>
      <c r="N51" s="3">
        <f t="shared" si="15"/>
        <v>1386</v>
      </c>
    </row>
    <row r="52" spans="2:20">
      <c r="B52" s="48" t="s">
        <v>103</v>
      </c>
      <c r="C52" s="3">
        <f>Enunciado!$C$29*R16*Q28</f>
        <v>1211.76</v>
      </c>
      <c r="D52" s="3">
        <f t="shared" si="15"/>
        <v>1512</v>
      </c>
      <c r="E52" s="3">
        <f t="shared" si="15"/>
        <v>2112</v>
      </c>
      <c r="F52" s="3">
        <f t="shared" si="15"/>
        <v>1512</v>
      </c>
      <c r="G52" s="3">
        <f t="shared" si="15"/>
        <v>1512</v>
      </c>
      <c r="H52" s="3">
        <f t="shared" si="15"/>
        <v>1512</v>
      </c>
      <c r="I52" s="3">
        <f t="shared" si="15"/>
        <v>1728</v>
      </c>
      <c r="J52" s="3">
        <f t="shared" si="15"/>
        <v>2376</v>
      </c>
      <c r="K52" s="3">
        <f t="shared" si="15"/>
        <v>2376</v>
      </c>
      <c r="L52" s="3">
        <f t="shared" si="15"/>
        <v>2376</v>
      </c>
      <c r="M52" s="3">
        <f t="shared" si="15"/>
        <v>1296</v>
      </c>
      <c r="N52" s="3">
        <f t="shared" si="15"/>
        <v>1512</v>
      </c>
      <c r="Q52" s="48" t="s">
        <v>112</v>
      </c>
      <c r="R52" s="27" t="s">
        <v>163</v>
      </c>
    </row>
    <row r="53" spans="2:20">
      <c r="Q53" s="1">
        <v>2061</v>
      </c>
      <c r="R53" s="3">
        <f>2120.58*1.02</f>
        <v>2162.9915999999998</v>
      </c>
    </row>
    <row r="54" spans="2:20">
      <c r="B54" s="198" t="s">
        <v>230</v>
      </c>
      <c r="C54" s="199"/>
      <c r="D54" s="199"/>
      <c r="E54" s="199"/>
      <c r="F54" s="199"/>
      <c r="G54" s="199"/>
      <c r="H54" s="199"/>
      <c r="I54" s="199"/>
      <c r="J54" s="199"/>
      <c r="K54" s="199"/>
      <c r="L54" s="199"/>
      <c r="M54" s="199"/>
      <c r="N54" s="200"/>
      <c r="O54" s="11"/>
      <c r="Q54" s="48">
        <v>670</v>
      </c>
      <c r="R54" s="3">
        <f>656.37*1.02</f>
        <v>669.49739999999997</v>
      </c>
    </row>
    <row r="55" spans="2:20">
      <c r="B55" s="1"/>
      <c r="C55" s="1" t="s">
        <v>3</v>
      </c>
      <c r="D55" s="1" t="s">
        <v>4</v>
      </c>
      <c r="E55" s="1" t="s">
        <v>5</v>
      </c>
      <c r="F55" s="1" t="s">
        <v>6</v>
      </c>
      <c r="G55" s="1" t="s">
        <v>7</v>
      </c>
      <c r="H55" s="1" t="s">
        <v>8</v>
      </c>
      <c r="I55" s="1" t="s">
        <v>9</v>
      </c>
      <c r="J55" s="1" t="s">
        <v>10</v>
      </c>
      <c r="K55" s="1" t="s">
        <v>96</v>
      </c>
      <c r="L55" s="1" t="s">
        <v>12</v>
      </c>
      <c r="M55" s="1" t="s">
        <v>13</v>
      </c>
      <c r="N55" s="1" t="s">
        <v>14</v>
      </c>
      <c r="O55" s="62" t="s">
        <v>3</v>
      </c>
    </row>
    <row r="56" spans="2:20">
      <c r="B56" s="1" t="s">
        <v>98</v>
      </c>
      <c r="C56" s="1">
        <f>C16*$R13</f>
        <v>23200</v>
      </c>
      <c r="D56" s="74">
        <f t="shared" ref="D56:N56" si="16">D16*$R13</f>
        <v>23200</v>
      </c>
      <c r="E56" s="74">
        <f t="shared" si="16"/>
        <v>23200</v>
      </c>
      <c r="F56" s="74">
        <f t="shared" si="16"/>
        <v>23200</v>
      </c>
      <c r="G56" s="74">
        <f t="shared" si="16"/>
        <v>23200</v>
      </c>
      <c r="H56" s="74">
        <f t="shared" si="16"/>
        <v>23200</v>
      </c>
      <c r="I56" s="74">
        <f t="shared" si="16"/>
        <v>23200</v>
      </c>
      <c r="J56" s="74">
        <f t="shared" si="16"/>
        <v>23200</v>
      </c>
      <c r="K56" s="74">
        <f t="shared" si="16"/>
        <v>25600</v>
      </c>
      <c r="L56" s="74">
        <f t="shared" si="16"/>
        <v>23200</v>
      </c>
      <c r="M56" s="74">
        <f t="shared" si="16"/>
        <v>23200</v>
      </c>
      <c r="N56" s="74">
        <f t="shared" si="16"/>
        <v>19200</v>
      </c>
      <c r="O56" s="63">
        <f>O$16*R13</f>
        <v>23670</v>
      </c>
    </row>
    <row r="57" spans="2:20">
      <c r="B57" s="1" t="s">
        <v>99</v>
      </c>
      <c r="C57" s="1">
        <f>C16*$R14</f>
        <v>32480</v>
      </c>
      <c r="D57" s="70">
        <f t="shared" ref="D57:N57" si="17">D16*$R$14</f>
        <v>32480</v>
      </c>
      <c r="E57" s="70">
        <f t="shared" si="17"/>
        <v>32480</v>
      </c>
      <c r="F57" s="70">
        <f t="shared" si="17"/>
        <v>32480</v>
      </c>
      <c r="G57" s="70">
        <f t="shared" si="17"/>
        <v>32480</v>
      </c>
      <c r="H57" s="70">
        <f t="shared" si="17"/>
        <v>32480</v>
      </c>
      <c r="I57" s="70">
        <f t="shared" si="17"/>
        <v>32480</v>
      </c>
      <c r="J57" s="70">
        <f t="shared" si="17"/>
        <v>32480</v>
      </c>
      <c r="K57" s="70">
        <f t="shared" si="17"/>
        <v>35840</v>
      </c>
      <c r="L57" s="70">
        <f t="shared" si="17"/>
        <v>32480</v>
      </c>
      <c r="M57" s="70">
        <f t="shared" si="17"/>
        <v>32480</v>
      </c>
      <c r="N57" s="70">
        <f t="shared" si="17"/>
        <v>26880</v>
      </c>
      <c r="O57" s="63">
        <f>O$16*R14</f>
        <v>33138</v>
      </c>
      <c r="P57" s="145" t="s">
        <v>114</v>
      </c>
      <c r="Q57" s="145"/>
      <c r="R57" s="145"/>
      <c r="S57" s="145"/>
      <c r="T57" s="145"/>
    </row>
    <row r="58" spans="2:20">
      <c r="B58" s="1" t="s">
        <v>102</v>
      </c>
      <c r="C58" s="1">
        <f>C20*$R15</f>
        <v>13860</v>
      </c>
      <c r="D58" s="74">
        <f t="shared" ref="D58:N58" si="18">D20*$R15</f>
        <v>13860</v>
      </c>
      <c r="E58" s="74">
        <f t="shared" si="18"/>
        <v>19360</v>
      </c>
      <c r="F58" s="74">
        <f t="shared" si="18"/>
        <v>13860</v>
      </c>
      <c r="G58" s="74">
        <f t="shared" si="18"/>
        <v>13860</v>
      </c>
      <c r="H58" s="74">
        <f t="shared" si="18"/>
        <v>13860</v>
      </c>
      <c r="I58" s="74">
        <f t="shared" si="18"/>
        <v>15840</v>
      </c>
      <c r="J58" s="74">
        <f t="shared" si="18"/>
        <v>21780</v>
      </c>
      <c r="K58" s="74">
        <f t="shared" si="18"/>
        <v>21780</v>
      </c>
      <c r="L58" s="74">
        <f t="shared" si="18"/>
        <v>21780</v>
      </c>
      <c r="M58" s="74">
        <f t="shared" si="18"/>
        <v>11880</v>
      </c>
      <c r="N58" s="74">
        <f t="shared" si="18"/>
        <v>13860</v>
      </c>
      <c r="O58" s="63">
        <f>O$20*R15</f>
        <v>14146</v>
      </c>
      <c r="P58" s="1"/>
      <c r="Q58" s="3" t="s">
        <v>115</v>
      </c>
      <c r="R58" s="1" t="s">
        <v>116</v>
      </c>
      <c r="S58" s="1" t="s">
        <v>117</v>
      </c>
      <c r="T58" s="1" t="s">
        <v>118</v>
      </c>
    </row>
    <row r="59" spans="2:20">
      <c r="B59" s="1" t="s">
        <v>103</v>
      </c>
      <c r="C59" s="70">
        <f>C20*$R16</f>
        <v>15120</v>
      </c>
      <c r="D59" s="74">
        <f t="shared" ref="D59:N59" si="19">D20*$R16</f>
        <v>15120</v>
      </c>
      <c r="E59" s="74">
        <f t="shared" si="19"/>
        <v>21120</v>
      </c>
      <c r="F59" s="74">
        <f t="shared" si="19"/>
        <v>15120</v>
      </c>
      <c r="G59" s="74">
        <f t="shared" si="19"/>
        <v>15120</v>
      </c>
      <c r="H59" s="74">
        <f t="shared" si="19"/>
        <v>15120</v>
      </c>
      <c r="I59" s="74">
        <f t="shared" si="19"/>
        <v>17280</v>
      </c>
      <c r="J59" s="74">
        <f t="shared" si="19"/>
        <v>23760</v>
      </c>
      <c r="K59" s="74">
        <f t="shared" si="19"/>
        <v>23760</v>
      </c>
      <c r="L59" s="74">
        <f t="shared" si="19"/>
        <v>23760</v>
      </c>
      <c r="M59" s="74">
        <f t="shared" si="19"/>
        <v>12960</v>
      </c>
      <c r="N59" s="74">
        <f t="shared" si="19"/>
        <v>15120</v>
      </c>
      <c r="O59" s="63">
        <f>O$20*R16</f>
        <v>15432</v>
      </c>
      <c r="P59" s="52" t="s">
        <v>119</v>
      </c>
      <c r="Q59" s="1"/>
      <c r="R59" s="1"/>
      <c r="S59" s="1"/>
      <c r="T59" s="1"/>
    </row>
    <row r="60" spans="2:20">
      <c r="O60" s="55"/>
      <c r="P60" s="52" t="s">
        <v>120</v>
      </c>
      <c r="Q60" s="1"/>
      <c r="R60" s="1"/>
      <c r="S60" s="1"/>
      <c r="T60" s="1"/>
    </row>
    <row r="61" spans="2:20">
      <c r="P61" s="48" t="s">
        <v>123</v>
      </c>
      <c r="Q61" s="3"/>
      <c r="R61" s="3"/>
      <c r="S61" s="3"/>
      <c r="T61" s="3"/>
    </row>
    <row r="62" spans="2:20">
      <c r="B62" s="189" t="s">
        <v>236</v>
      </c>
      <c r="C62" s="189"/>
      <c r="D62" s="189"/>
      <c r="E62" s="189"/>
      <c r="F62" s="189"/>
      <c r="G62" s="189"/>
      <c r="H62" s="189"/>
      <c r="I62" s="189"/>
      <c r="J62" s="189"/>
      <c r="K62" s="189"/>
      <c r="L62" s="189"/>
      <c r="M62" s="189"/>
      <c r="N62" s="189"/>
      <c r="P62" s="50" t="s">
        <v>124</v>
      </c>
      <c r="Q62" s="51"/>
      <c r="R62" s="51"/>
      <c r="S62" s="51"/>
      <c r="T62" s="51"/>
    </row>
    <row r="63" spans="2:20">
      <c r="B63" s="1"/>
      <c r="C63" s="1" t="s">
        <v>3</v>
      </c>
      <c r="D63" s="1" t="s">
        <v>4</v>
      </c>
      <c r="E63" s="1" t="s">
        <v>5</v>
      </c>
      <c r="F63" s="1" t="s">
        <v>6</v>
      </c>
      <c r="G63" s="1" t="s">
        <v>7</v>
      </c>
      <c r="H63" s="1" t="s">
        <v>8</v>
      </c>
      <c r="I63" s="1" t="s">
        <v>9</v>
      </c>
      <c r="J63" s="1" t="s">
        <v>10</v>
      </c>
      <c r="K63" s="1" t="s">
        <v>96</v>
      </c>
      <c r="L63" s="1" t="s">
        <v>12</v>
      </c>
      <c r="M63" s="1" t="s">
        <v>13</v>
      </c>
      <c r="N63" s="1" t="s">
        <v>14</v>
      </c>
    </row>
    <row r="64" spans="2:20">
      <c r="B64" s="1"/>
      <c r="C64" s="182" t="s">
        <v>113</v>
      </c>
      <c r="D64" s="182"/>
      <c r="E64" s="1"/>
      <c r="F64" s="1"/>
      <c r="G64" s="1"/>
      <c r="H64" s="1"/>
      <c r="I64" s="1"/>
      <c r="J64" s="1"/>
      <c r="K64" s="1"/>
      <c r="L64" s="1"/>
      <c r="M64" s="1"/>
      <c r="N64" s="1"/>
      <c r="O64" s="11"/>
    </row>
    <row r="65" spans="1:17">
      <c r="B65" s="48" t="s">
        <v>15</v>
      </c>
      <c r="C65" s="3">
        <f>Enunciado!D28*$Q25</f>
        <v>424.11599999999999</v>
      </c>
      <c r="D65" s="3">
        <f>Enunciado!E28*$Q25</f>
        <v>424.11599999999999</v>
      </c>
      <c r="E65" s="3">
        <f>Enunciado!F28*$Q25</f>
        <v>459.45900000000006</v>
      </c>
      <c r="F65" s="3">
        <f>Enunciado!G28*$Q25</f>
        <v>464.50800000000004</v>
      </c>
      <c r="G65" s="3">
        <f>Enunciado!H28*$Q25</f>
        <v>403.41510000000005</v>
      </c>
      <c r="H65" s="3">
        <f>Enunciado!I28*$Q25</f>
        <v>551.35080000000005</v>
      </c>
      <c r="I65" s="3">
        <f>Enunciado!J28*$Q25</f>
        <v>526.40874000000008</v>
      </c>
      <c r="J65" s="3">
        <f>Enunciado!K28*$Q25</f>
        <v>551.35080000000005</v>
      </c>
      <c r="K65" s="3">
        <f>Enunciado!L28*$Q25</f>
        <v>464.50800000000004</v>
      </c>
      <c r="L65" s="3">
        <f>Enunciado!M28*$Q25</f>
        <v>469.55700000000002</v>
      </c>
      <c r="M65" s="3">
        <f>Enunciado!N28*$Q25</f>
        <v>390.54015000000004</v>
      </c>
      <c r="N65" s="3">
        <f>Enunciado!C28*Q7*Q25</f>
        <v>411.99840000000006</v>
      </c>
      <c r="O65" s="5"/>
    </row>
    <row r="66" spans="1:17">
      <c r="B66" s="48" t="s">
        <v>16</v>
      </c>
      <c r="C66" s="3">
        <f>Enunciado!C29*$Q25</f>
        <v>100.98000000000002</v>
      </c>
      <c r="D66" s="3">
        <f>Enunciado!D29*$Q25</f>
        <v>131.274</v>
      </c>
      <c r="E66" s="3">
        <f>Enunciado!E29*$Q25</f>
        <v>161.56800000000001</v>
      </c>
      <c r="F66" s="3">
        <f>Enunciado!F29*$Q25</f>
        <v>121.176</v>
      </c>
      <c r="G66" s="3">
        <f>Enunciado!G29*$Q25</f>
        <v>139.35240000000002</v>
      </c>
      <c r="H66" s="3">
        <f>Enunciado!H29*$Q25</f>
        <v>141.37200000000001</v>
      </c>
      <c r="I66" s="3">
        <f>Enunciado!I29*$Q25</f>
        <v>111.078</v>
      </c>
      <c r="J66" s="3">
        <f>Enunciado!J29*$Q25</f>
        <v>212.05799999999999</v>
      </c>
      <c r="K66" s="3">
        <f>Enunciado!K29*$Q25</f>
        <v>196.91100000000003</v>
      </c>
      <c r="L66" s="3">
        <f>Enunciado!L29*$Q25</f>
        <v>207.00900000000001</v>
      </c>
      <c r="M66" s="3">
        <f>Enunciado!M29*$Q25</f>
        <v>121.176</v>
      </c>
      <c r="N66" s="3">
        <f>Enunciado!C29*Q25*Q7</f>
        <v>102.99960000000002</v>
      </c>
      <c r="O66" s="5"/>
    </row>
    <row r="67" spans="1:17">
      <c r="B67" s="43"/>
      <c r="C67" s="5"/>
      <c r="D67" s="5"/>
      <c r="E67" s="5"/>
      <c r="F67" s="5"/>
      <c r="G67" s="5"/>
      <c r="H67" s="5"/>
      <c r="I67" s="5"/>
      <c r="J67" s="5"/>
      <c r="K67" s="5"/>
      <c r="L67" s="5"/>
      <c r="M67" s="5"/>
      <c r="N67" s="5"/>
      <c r="O67" s="5"/>
      <c r="P67" s="48" t="s">
        <v>130</v>
      </c>
      <c r="Q67" s="56"/>
    </row>
    <row r="68" spans="1:17">
      <c r="B68" s="203" t="s">
        <v>237</v>
      </c>
      <c r="C68" s="204"/>
      <c r="D68" s="204"/>
      <c r="E68" s="204"/>
      <c r="F68" s="204"/>
      <c r="G68" s="204"/>
      <c r="H68" s="204"/>
      <c r="I68" s="204"/>
      <c r="J68" s="204"/>
      <c r="K68" s="204"/>
      <c r="L68" s="204"/>
      <c r="M68" s="204"/>
      <c r="N68" s="205"/>
      <c r="P68" s="48" t="s">
        <v>15</v>
      </c>
      <c r="Q68" s="56">
        <v>850</v>
      </c>
    </row>
    <row r="69" spans="1:17">
      <c r="B69" s="62" t="s">
        <v>14</v>
      </c>
      <c r="C69" s="1" t="s">
        <v>3</v>
      </c>
      <c r="D69" s="1" t="s">
        <v>4</v>
      </c>
      <c r="E69" s="1" t="s">
        <v>5</v>
      </c>
      <c r="F69" s="1" t="s">
        <v>6</v>
      </c>
      <c r="G69" s="1" t="s">
        <v>7</v>
      </c>
      <c r="H69" s="1" t="s">
        <v>8</v>
      </c>
      <c r="I69" s="1" t="s">
        <v>9</v>
      </c>
      <c r="J69" s="1" t="s">
        <v>10</v>
      </c>
      <c r="K69" s="1" t="s">
        <v>96</v>
      </c>
      <c r="L69" s="1" t="s">
        <v>12</v>
      </c>
      <c r="M69" s="1" t="s">
        <v>13</v>
      </c>
      <c r="N69" s="1" t="s">
        <v>14</v>
      </c>
      <c r="O69" s="11"/>
      <c r="P69" s="58" t="s">
        <v>16</v>
      </c>
      <c r="Q69" s="56">
        <v>1200</v>
      </c>
    </row>
    <row r="70" spans="1:17">
      <c r="A70" s="27" t="s">
        <v>15</v>
      </c>
      <c r="B70" s="3">
        <f>Enunciado!C28*0.2</f>
        <v>403.92000000000007</v>
      </c>
      <c r="C70" s="3">
        <f>C16+B70-Enunciado!C28</f>
        <v>704.31999999999994</v>
      </c>
      <c r="D70" s="3">
        <f>C70+Hoja4!D16-Enunciado!D28</f>
        <v>903.73999999999978</v>
      </c>
      <c r="E70" s="3">
        <f>D70+Hoja4!E16-Enunciado!E28</f>
        <v>1103.1599999999999</v>
      </c>
      <c r="F70" s="3">
        <f>E70+Hoja4!F16-Enunciado!F28</f>
        <v>1125.8649999999998</v>
      </c>
      <c r="G70" s="3">
        <f>F70+Hoja4!G16-Enunciado!G28</f>
        <v>1123.3249999999998</v>
      </c>
      <c r="H70" s="3">
        <f>G70+Hoja4!H16-Enunciado!H28</f>
        <v>1426.2494999999997</v>
      </c>
      <c r="I70" s="3">
        <f>H70+Hoja4!I16-Enunciado!I28</f>
        <v>989.49549999999999</v>
      </c>
      <c r="J70" s="3">
        <f>I70+Hoja4!J16-Enunciado!J28</f>
        <v>677.45179999999982</v>
      </c>
      <c r="K70" s="3">
        <f>J70+Hoja4!K16-Enunciado!K28</f>
        <v>480.69779999999992</v>
      </c>
      <c r="L70" s="3">
        <f>K70+Hoja4!L16-Enunciado!L28</f>
        <v>478.15779999999995</v>
      </c>
      <c r="M70" s="3">
        <f>L70+Hoja4!M16-Enunciado!M28</f>
        <v>450.3728000000001</v>
      </c>
      <c r="N70" s="3">
        <f>M70+Hoja4!N16-Enunciado!N28</f>
        <v>417.67205000000013</v>
      </c>
      <c r="O70" s="5"/>
    </row>
    <row r="71" spans="1:17">
      <c r="A71" s="27" t="s">
        <v>16</v>
      </c>
      <c r="B71" s="3">
        <f>Enunciado!C29*0.2</f>
        <v>100.98000000000002</v>
      </c>
      <c r="C71" s="3">
        <f>B71+C20-Enunciado!C29</f>
        <v>226.07999999999998</v>
      </c>
      <c r="D71" s="3">
        <f>C71+D20-Enunciado!D29</f>
        <v>199.70999999999992</v>
      </c>
      <c r="E71" s="3">
        <f>D71+E20-Enunciado!E29</f>
        <v>271.87</v>
      </c>
      <c r="F71" s="3">
        <f>E71+F20-Enunciado!F29</f>
        <v>295.99</v>
      </c>
      <c r="G71" s="3">
        <f>F71+G20-Enunciado!G29</f>
        <v>229.22799999999995</v>
      </c>
      <c r="H71" s="3">
        <f>G71+H20-Enunciado!H29</f>
        <v>152.36799999999994</v>
      </c>
      <c r="I71" s="3">
        <f>H71+I20-Enunciado!I29</f>
        <v>316.97799999999995</v>
      </c>
      <c r="J71" s="3">
        <f>I71+J20-Enunciado!J29</f>
        <v>246.6880000000001</v>
      </c>
      <c r="K71" s="3">
        <f>J71+K20-Enunciado!K29</f>
        <v>252.13300000000004</v>
      </c>
      <c r="L71" s="3">
        <f>K71+L20-Enunciado!L29</f>
        <v>207.08799999999997</v>
      </c>
      <c r="M71" s="3">
        <f>L71+M20-Enunciado!M29</f>
        <v>141.20799999999997</v>
      </c>
      <c r="N71" s="3">
        <f>M71+N20-Enunciado!N29</f>
        <v>114.83799999999997</v>
      </c>
      <c r="O71" s="11"/>
    </row>
    <row r="72" spans="1:17">
      <c r="P72" s="48" t="s">
        <v>242</v>
      </c>
      <c r="Q72" s="27" t="s">
        <v>132</v>
      </c>
    </row>
    <row r="73" spans="1:17">
      <c r="B73" s="203" t="s">
        <v>235</v>
      </c>
      <c r="C73" s="216"/>
      <c r="D73" s="216"/>
      <c r="E73" s="216"/>
      <c r="F73" s="216"/>
      <c r="G73" s="216"/>
      <c r="H73" s="216"/>
      <c r="I73" s="216"/>
      <c r="J73" s="216"/>
      <c r="K73" s="216"/>
      <c r="L73" s="216"/>
      <c r="M73" s="216"/>
      <c r="N73" s="217"/>
      <c r="P73" s="56">
        <v>0.9</v>
      </c>
      <c r="Q73">
        <v>0.99099999999999999</v>
      </c>
    </row>
    <row r="74" spans="1:17">
      <c r="B74" s="74"/>
      <c r="C74" s="74" t="s">
        <v>3</v>
      </c>
      <c r="D74" s="74" t="s">
        <v>4</v>
      </c>
      <c r="E74" s="74" t="s">
        <v>5</v>
      </c>
      <c r="F74" s="74" t="s">
        <v>6</v>
      </c>
      <c r="G74" s="74" t="s">
        <v>7</v>
      </c>
      <c r="H74" s="74" t="s">
        <v>8</v>
      </c>
      <c r="I74" s="74" t="s">
        <v>9</v>
      </c>
      <c r="J74" s="74" t="s">
        <v>10</v>
      </c>
      <c r="K74" s="74" t="s">
        <v>96</v>
      </c>
      <c r="L74" s="74" t="s">
        <v>12</v>
      </c>
      <c r="M74" s="74" t="s">
        <v>13</v>
      </c>
      <c r="N74" s="74" t="s">
        <v>14</v>
      </c>
      <c r="P74" s="48" t="s">
        <v>243</v>
      </c>
    </row>
    <row r="75" spans="1:17">
      <c r="B75" s="48" t="s">
        <v>15</v>
      </c>
      <c r="C75" s="3">
        <f>B70</f>
        <v>403.92000000000007</v>
      </c>
      <c r="D75" s="3">
        <f>C70</f>
        <v>704.31999999999994</v>
      </c>
      <c r="E75" s="3">
        <f t="shared" ref="E75:N75" si="20">D70</f>
        <v>903.73999999999978</v>
      </c>
      <c r="F75" s="3">
        <f t="shared" si="20"/>
        <v>1103.1599999999999</v>
      </c>
      <c r="G75" s="3">
        <f t="shared" si="20"/>
        <v>1125.8649999999998</v>
      </c>
      <c r="H75" s="3">
        <f t="shared" si="20"/>
        <v>1123.3249999999998</v>
      </c>
      <c r="I75" s="3">
        <f t="shared" si="20"/>
        <v>1426.2494999999997</v>
      </c>
      <c r="J75" s="3">
        <f t="shared" si="20"/>
        <v>989.49549999999999</v>
      </c>
      <c r="K75" s="3">
        <f t="shared" si="20"/>
        <v>677.45179999999982</v>
      </c>
      <c r="L75" s="3">
        <f t="shared" si="20"/>
        <v>480.69779999999992</v>
      </c>
      <c r="M75" s="3">
        <f t="shared" si="20"/>
        <v>478.15779999999995</v>
      </c>
      <c r="N75" s="3">
        <f t="shared" si="20"/>
        <v>450.3728000000001</v>
      </c>
      <c r="O75" s="5"/>
      <c r="P75" s="56">
        <v>0.99</v>
      </c>
    </row>
    <row r="76" spans="1:17">
      <c r="B76" s="48" t="s">
        <v>16</v>
      </c>
      <c r="C76" s="3">
        <f>B71</f>
        <v>100.98000000000002</v>
      </c>
      <c r="D76" s="3">
        <f>C71</f>
        <v>226.07999999999998</v>
      </c>
      <c r="E76" s="3">
        <f t="shared" ref="E76:N76" si="21">D71</f>
        <v>199.70999999999992</v>
      </c>
      <c r="F76" s="3">
        <f t="shared" si="21"/>
        <v>271.87</v>
      </c>
      <c r="G76" s="3">
        <f t="shared" si="21"/>
        <v>295.99</v>
      </c>
      <c r="H76" s="3">
        <f t="shared" si="21"/>
        <v>229.22799999999995</v>
      </c>
      <c r="I76" s="3">
        <f t="shared" si="21"/>
        <v>152.36799999999994</v>
      </c>
      <c r="J76" s="3">
        <f t="shared" si="21"/>
        <v>316.97799999999995</v>
      </c>
      <c r="K76" s="3">
        <f t="shared" si="21"/>
        <v>246.6880000000001</v>
      </c>
      <c r="L76" s="3">
        <f t="shared" si="21"/>
        <v>252.13300000000004</v>
      </c>
      <c r="M76" s="3">
        <f t="shared" si="21"/>
        <v>207.08799999999997</v>
      </c>
      <c r="N76" s="3">
        <f t="shared" si="21"/>
        <v>141.20799999999997</v>
      </c>
      <c r="O76" s="5"/>
    </row>
    <row r="79" spans="1:17">
      <c r="B79" s="206" t="s">
        <v>125</v>
      </c>
      <c r="C79" s="207"/>
      <c r="D79" s="207"/>
      <c r="E79" s="207"/>
      <c r="F79" s="207"/>
      <c r="G79" s="207"/>
      <c r="H79" s="207"/>
      <c r="I79" s="207"/>
      <c r="J79" s="207"/>
      <c r="K79" s="207"/>
      <c r="L79" s="207"/>
      <c r="M79" s="207"/>
      <c r="N79" s="207"/>
    </row>
    <row r="80" spans="1:17">
      <c r="B80" s="1"/>
      <c r="C80" s="1" t="s">
        <v>3</v>
      </c>
      <c r="D80" s="1" t="s">
        <v>4</v>
      </c>
      <c r="E80" s="1" t="s">
        <v>5</v>
      </c>
      <c r="F80" s="1" t="s">
        <v>6</v>
      </c>
      <c r="G80" s="1" t="s">
        <v>7</v>
      </c>
      <c r="H80" s="1" t="s">
        <v>8</v>
      </c>
      <c r="I80" s="1" t="s">
        <v>9</v>
      </c>
      <c r="J80" s="1" t="s">
        <v>10</v>
      </c>
      <c r="K80" s="1" t="s">
        <v>96</v>
      </c>
      <c r="L80" s="1" t="s">
        <v>12</v>
      </c>
      <c r="M80" s="1" t="s">
        <v>13</v>
      </c>
      <c r="N80" s="1" t="s">
        <v>14</v>
      </c>
    </row>
    <row r="81" spans="2:14">
      <c r="B81" s="1"/>
      <c r="C81" s="3">
        <v>0</v>
      </c>
      <c r="D81" s="3">
        <v>0</v>
      </c>
      <c r="E81" s="3">
        <v>0</v>
      </c>
      <c r="F81" s="69">
        <v>190</v>
      </c>
      <c r="G81" s="69">
        <v>190</v>
      </c>
      <c r="H81" s="69">
        <v>190</v>
      </c>
      <c r="I81" s="69">
        <v>190</v>
      </c>
      <c r="J81" s="69">
        <v>190</v>
      </c>
      <c r="K81" s="3">
        <v>0</v>
      </c>
      <c r="L81" s="3">
        <v>0</v>
      </c>
      <c r="M81" s="3">
        <v>0</v>
      </c>
      <c r="N81" s="3">
        <v>0</v>
      </c>
    </row>
    <row r="84" spans="2:14">
      <c r="B84" s="202" t="s">
        <v>200</v>
      </c>
      <c r="C84" s="202"/>
      <c r="D84" s="202"/>
      <c r="E84" s="202"/>
      <c r="F84" s="202"/>
      <c r="G84" s="202"/>
      <c r="H84" s="202"/>
      <c r="I84" s="202"/>
      <c r="J84" s="202"/>
      <c r="K84" s="202"/>
      <c r="L84" s="202"/>
      <c r="M84" s="202"/>
      <c r="N84" s="202"/>
    </row>
    <row r="85" spans="2:14">
      <c r="B85" s="1"/>
      <c r="C85" s="1" t="s">
        <v>3</v>
      </c>
      <c r="D85" s="1" t="s">
        <v>4</v>
      </c>
      <c r="E85" s="1" t="s">
        <v>5</v>
      </c>
      <c r="F85" s="1" t="s">
        <v>6</v>
      </c>
      <c r="G85" s="1" t="s">
        <v>7</v>
      </c>
      <c r="H85" s="1" t="s">
        <v>8</v>
      </c>
      <c r="I85" s="1" t="s">
        <v>9</v>
      </c>
      <c r="J85" s="1" t="s">
        <v>10</v>
      </c>
      <c r="K85" s="1" t="s">
        <v>96</v>
      </c>
      <c r="L85" s="1" t="s">
        <v>12</v>
      </c>
      <c r="M85" s="1" t="s">
        <v>13</v>
      </c>
      <c r="N85" s="1" t="s">
        <v>14</v>
      </c>
    </row>
    <row r="86" spans="2:14">
      <c r="B86" s="48" t="s">
        <v>126</v>
      </c>
      <c r="C86" s="59">
        <v>107</v>
      </c>
      <c r="D86" s="59">
        <v>107</v>
      </c>
      <c r="E86" s="59">
        <v>107</v>
      </c>
      <c r="F86" s="59">
        <v>87</v>
      </c>
      <c r="G86" s="59">
        <v>87</v>
      </c>
      <c r="H86" s="59">
        <v>87</v>
      </c>
      <c r="I86" s="59">
        <v>87</v>
      </c>
      <c r="J86" s="59">
        <v>87</v>
      </c>
      <c r="K86" s="59">
        <v>87</v>
      </c>
      <c r="L86" s="59">
        <v>87</v>
      </c>
      <c r="M86" s="59">
        <v>87</v>
      </c>
      <c r="N86" s="59">
        <v>87</v>
      </c>
    </row>
    <row r="87" spans="2:14">
      <c r="B87" s="48" t="s">
        <v>127</v>
      </c>
      <c r="C87" s="59">
        <v>145</v>
      </c>
      <c r="D87" s="59">
        <v>145</v>
      </c>
      <c r="E87" s="59">
        <v>145</v>
      </c>
      <c r="F87" s="59">
        <v>145</v>
      </c>
      <c r="G87" s="59">
        <v>145</v>
      </c>
      <c r="H87" s="59">
        <v>145</v>
      </c>
      <c r="I87" s="59">
        <v>145</v>
      </c>
      <c r="J87" s="59">
        <v>145</v>
      </c>
      <c r="K87" s="59">
        <v>145</v>
      </c>
      <c r="L87" s="59">
        <v>145</v>
      </c>
      <c r="M87" s="59">
        <v>145</v>
      </c>
      <c r="N87" s="59">
        <v>145</v>
      </c>
    </row>
    <row r="88" spans="2:14">
      <c r="B88" s="48" t="s">
        <v>128</v>
      </c>
      <c r="C88" s="59">
        <v>120</v>
      </c>
      <c r="D88" s="59">
        <v>120</v>
      </c>
      <c r="E88" s="59">
        <v>120</v>
      </c>
      <c r="F88" s="59">
        <v>120</v>
      </c>
      <c r="G88" s="59">
        <v>120</v>
      </c>
      <c r="H88" s="59">
        <v>120</v>
      </c>
      <c r="I88" s="59">
        <v>120</v>
      </c>
      <c r="J88" s="59">
        <v>120</v>
      </c>
      <c r="K88" s="59">
        <v>120</v>
      </c>
      <c r="L88" s="59">
        <v>120</v>
      </c>
      <c r="M88" s="59">
        <v>120</v>
      </c>
      <c r="N88" s="59">
        <v>120</v>
      </c>
    </row>
    <row r="89" spans="2:14">
      <c r="B89" s="46"/>
    </row>
    <row r="90" spans="2:14">
      <c r="B90" s="202" t="s">
        <v>131</v>
      </c>
      <c r="C90" s="202"/>
      <c r="D90" s="202"/>
      <c r="E90" s="202"/>
      <c r="F90" s="202"/>
      <c r="G90" s="202"/>
      <c r="H90" s="202"/>
      <c r="I90" s="202"/>
      <c r="J90" s="202"/>
      <c r="K90" s="202"/>
      <c r="L90" s="202"/>
      <c r="M90" s="202"/>
      <c r="N90" s="202"/>
    </row>
    <row r="91" spans="2:14">
      <c r="B91" s="1"/>
      <c r="C91" s="1" t="s">
        <v>3</v>
      </c>
      <c r="D91" s="1" t="s">
        <v>4</v>
      </c>
      <c r="E91" s="1" t="s">
        <v>5</v>
      </c>
      <c r="F91" s="1" t="s">
        <v>6</v>
      </c>
      <c r="G91" s="1" t="s">
        <v>7</v>
      </c>
      <c r="H91" s="1" t="s">
        <v>8</v>
      </c>
      <c r="I91" s="1" t="s">
        <v>9</v>
      </c>
      <c r="J91" s="1" t="s">
        <v>10</v>
      </c>
      <c r="K91" s="1" t="s">
        <v>96</v>
      </c>
      <c r="L91" s="1" t="s">
        <v>12</v>
      </c>
      <c r="M91" s="1" t="s">
        <v>13</v>
      </c>
      <c r="N91" s="1" t="s">
        <v>14</v>
      </c>
    </row>
    <row r="92" spans="2:14">
      <c r="B92" s="49" t="s">
        <v>129</v>
      </c>
      <c r="C92" s="59">
        <f>C97*0.05</f>
        <v>116.12700000000001</v>
      </c>
      <c r="D92" s="59">
        <f t="shared" ref="D92:N92" si="22">D97*0.05</f>
        <v>129.50685000000001</v>
      </c>
      <c r="E92" s="59">
        <f t="shared" si="22"/>
        <v>138.59504999999999</v>
      </c>
      <c r="F92" s="59">
        <f t="shared" si="22"/>
        <v>133.98783750000001</v>
      </c>
      <c r="G92" s="59">
        <f t="shared" si="22"/>
        <v>140.51367000000002</v>
      </c>
      <c r="H92" s="59">
        <f t="shared" si="22"/>
        <v>128.13730874999999</v>
      </c>
      <c r="I92" s="59">
        <f t="shared" si="22"/>
        <v>150.485445</v>
      </c>
      <c r="J92" s="59">
        <f t="shared" si="22"/>
        <v>175.47925725000002</v>
      </c>
      <c r="K92" s="59">
        <f t="shared" si="22"/>
        <v>176.23534500000002</v>
      </c>
      <c r="L92" s="59">
        <f t="shared" si="22"/>
        <v>160.81065000000001</v>
      </c>
      <c r="M92" s="59">
        <f t="shared" si="22"/>
        <v>136.13366249999999</v>
      </c>
      <c r="N92" s="59">
        <f t="shared" si="22"/>
        <v>122.37198187500002</v>
      </c>
    </row>
    <row r="93" spans="2:14">
      <c r="B93" s="46"/>
    </row>
    <row r="95" spans="2:14">
      <c r="B95" s="208" t="s">
        <v>238</v>
      </c>
      <c r="C95" s="208"/>
      <c r="D95" s="208"/>
      <c r="E95" s="208"/>
      <c r="F95" s="208"/>
      <c r="G95" s="208"/>
      <c r="H95" s="208"/>
      <c r="I95" s="208"/>
      <c r="J95" s="208"/>
      <c r="K95" s="208"/>
      <c r="L95" s="208"/>
      <c r="M95" s="208"/>
      <c r="N95" s="208"/>
    </row>
    <row r="96" spans="2:14">
      <c r="B96" s="1"/>
      <c r="C96" s="1" t="s">
        <v>3</v>
      </c>
      <c r="D96" s="1" t="s">
        <v>4</v>
      </c>
      <c r="E96" s="1" t="s">
        <v>5</v>
      </c>
      <c r="F96" s="1" t="s">
        <v>6</v>
      </c>
      <c r="G96" s="1" t="s">
        <v>7</v>
      </c>
      <c r="H96" s="1" t="s">
        <v>8</v>
      </c>
      <c r="I96" s="1" t="s">
        <v>9</v>
      </c>
      <c r="J96" s="1" t="s">
        <v>10</v>
      </c>
      <c r="K96" s="1" t="s">
        <v>96</v>
      </c>
      <c r="L96" s="1" t="s">
        <v>12</v>
      </c>
      <c r="M96" s="1" t="s">
        <v>13</v>
      </c>
      <c r="N96" s="1" t="s">
        <v>14</v>
      </c>
    </row>
    <row r="97" spans="2:19">
      <c r="B97" s="1"/>
      <c r="C97" s="59">
        <f>(Enunciado!C28*Hoja4!$Q$68+Enunciado!C29*Hoja4!$Q$69)/1000</f>
        <v>2322.54</v>
      </c>
      <c r="D97" s="59">
        <f>(Enunciado!D28*Hoja4!$Q$68+Enunciado!D29*Hoja4!$Q$69)/1000</f>
        <v>2590.1370000000002</v>
      </c>
      <c r="E97" s="59">
        <f>(Enunciado!E28*Hoja4!$Q$68+Enunciado!E29*Hoja4!$Q$69)/1000</f>
        <v>2771.9009999999998</v>
      </c>
      <c r="F97" s="59">
        <f>(Enunciado!F28*Hoja4!$Q$68+Enunciado!F29*Hoja4!$Q$69)/1000</f>
        <v>2679.75675</v>
      </c>
      <c r="G97" s="59">
        <f>(Enunciado!G28*Hoja4!$Q$68+Enunciado!G29*Hoja4!$Q$69)/1000</f>
        <v>2810.2734</v>
      </c>
      <c r="H97" s="59">
        <f>(Enunciado!H28*Hoja4!$Q$68+Enunciado!H29*Hoja4!$Q$69)/1000</f>
        <v>2562.7461749999998</v>
      </c>
      <c r="I97" s="59">
        <f>(Enunciado!I28*Hoja4!$Q$68+Enunciado!I29*Hoja4!$Q$69)/1000</f>
        <v>3009.7089000000001</v>
      </c>
      <c r="J97" s="59">
        <f>(Enunciado!J28*Hoja4!$Q$68+Enunciado!J29*Hoja4!$Q$69)/1000</f>
        <v>3509.585145</v>
      </c>
      <c r="K97" s="59">
        <f>(Enunciado!K28*Hoja4!$Q$68+Enunciado!K29*Hoja4!$Q$69)/1000</f>
        <v>3524.7069000000001</v>
      </c>
      <c r="L97" s="59">
        <f>(Enunciado!L28*Hoja4!$Q$68+Enunciado!L29*Hoja4!$Q$69)/1000</f>
        <v>3216.2130000000002</v>
      </c>
      <c r="M97" s="59">
        <f>(Enunciado!M28*Hoja4!$Q$68+Enunciado!M29*Hoja4!$Q$69)/1000</f>
        <v>2722.6732499999998</v>
      </c>
      <c r="N97" s="59">
        <f>(Enunciado!N28*Hoja4!$Q$68+Enunciado!N29*Hoja4!$Q$69)/1000</f>
        <v>2447.4396375000001</v>
      </c>
    </row>
    <row r="100" spans="2:19">
      <c r="B100" s="193" t="s">
        <v>239</v>
      </c>
      <c r="C100" s="194"/>
      <c r="D100" s="194"/>
      <c r="E100" s="194"/>
      <c r="F100" s="194"/>
      <c r="G100" s="194"/>
      <c r="H100" s="194"/>
      <c r="I100" s="194"/>
      <c r="J100" s="194"/>
      <c r="K100" s="194"/>
      <c r="L100" s="194"/>
      <c r="M100" s="194"/>
      <c r="N100" s="194"/>
      <c r="O100" s="194"/>
    </row>
    <row r="101" spans="2:19">
      <c r="B101" s="56"/>
      <c r="C101" s="56" t="s">
        <v>3</v>
      </c>
      <c r="D101" s="56" t="s">
        <v>4</v>
      </c>
      <c r="E101" s="56" t="s">
        <v>5</v>
      </c>
      <c r="F101" s="56" t="s">
        <v>6</v>
      </c>
      <c r="G101" s="56" t="s">
        <v>7</v>
      </c>
      <c r="H101" s="56" t="s">
        <v>8</v>
      </c>
      <c r="I101" s="56" t="s">
        <v>9</v>
      </c>
      <c r="J101" s="56" t="s">
        <v>10</v>
      </c>
      <c r="K101" s="56" t="s">
        <v>96</v>
      </c>
      <c r="L101" s="56" t="s">
        <v>12</v>
      </c>
      <c r="M101" s="56" t="s">
        <v>13</v>
      </c>
      <c r="N101" s="56" t="s">
        <v>14</v>
      </c>
      <c r="O101" s="58" t="s">
        <v>123</v>
      </c>
    </row>
    <row r="102" spans="2:19">
      <c r="B102" s="48" t="s">
        <v>133</v>
      </c>
      <c r="C102" s="3">
        <f>ROUNDUP(Enunciado!C28,0)</f>
        <v>2020</v>
      </c>
      <c r="D102" s="3">
        <f>ROUNDUP(Enunciado!D28,0)</f>
        <v>2121</v>
      </c>
      <c r="E102" s="3">
        <f>ROUNDUP(Enunciado!E28,0)</f>
        <v>2121</v>
      </c>
      <c r="F102" s="3">
        <f>ROUNDUP(Enunciado!F28,0)</f>
        <v>2298</v>
      </c>
      <c r="G102" s="3">
        <f>ROUNDUP(Enunciado!G28,0)</f>
        <v>2323</v>
      </c>
      <c r="H102" s="3">
        <f>ROUNDUP(Enunciado!H28,0)</f>
        <v>2018</v>
      </c>
      <c r="I102" s="3">
        <f>ROUNDUP(Enunciado!I28,0)</f>
        <v>2757</v>
      </c>
      <c r="J102" s="3">
        <f>ROUNDUP(Enunciado!J28,0)</f>
        <v>2633</v>
      </c>
      <c r="K102" s="3">
        <f>ROUNDUP(Enunciado!K28,0)</f>
        <v>2757</v>
      </c>
      <c r="L102" s="3">
        <f>ROUNDUP(Enunciado!L28,0)</f>
        <v>2323</v>
      </c>
      <c r="M102" s="3">
        <f>ROUNDUP(Enunciado!M28,0)</f>
        <v>2348</v>
      </c>
      <c r="N102" s="3">
        <f>ROUNDUP(Enunciado!N28,0)</f>
        <v>1953</v>
      </c>
      <c r="O102" s="3">
        <v>28219.572909000006</v>
      </c>
    </row>
    <row r="103" spans="2:19">
      <c r="B103" s="48" t="s">
        <v>134</v>
      </c>
      <c r="C103" s="3">
        <f>ROUNDUP(Enunciado!C29,0)</f>
        <v>505</v>
      </c>
      <c r="D103" s="3">
        <f>ROUNDUP(Enunciado!D29,0)</f>
        <v>657</v>
      </c>
      <c r="E103" s="3">
        <f>ROUNDUP(Enunciado!E29,0)</f>
        <v>808</v>
      </c>
      <c r="F103" s="3">
        <f>ROUNDUP(Enunciado!F29,0)</f>
        <v>606</v>
      </c>
      <c r="G103" s="3">
        <f>ROUNDUP(Enunciado!G29,0)</f>
        <v>697</v>
      </c>
      <c r="H103" s="3">
        <f>ROUNDUP(Enunciado!H29,0)</f>
        <v>707</v>
      </c>
      <c r="I103" s="3">
        <f>ROUNDUP(Enunciado!I29,0)</f>
        <v>556</v>
      </c>
      <c r="J103" s="3">
        <f>ROUNDUP(Enunciado!J29,0)</f>
        <v>1061</v>
      </c>
      <c r="K103" s="3">
        <f>ROUNDUP(Enunciado!K29,0)</f>
        <v>985</v>
      </c>
      <c r="L103" s="3">
        <f>ROUNDUP(Enunciado!L29,0)</f>
        <v>1036</v>
      </c>
      <c r="M103" s="3">
        <f>ROUNDUP(Enunciado!M29,0)</f>
        <v>606</v>
      </c>
      <c r="N103" s="3">
        <f>ROUNDUP(Enunciado!N29,0)</f>
        <v>657</v>
      </c>
      <c r="O103" s="3">
        <v>9053.6648400000013</v>
      </c>
    </row>
    <row r="104" spans="2:19">
      <c r="B104" s="48" t="s">
        <v>123</v>
      </c>
      <c r="C104" s="87">
        <f t="shared" ref="C104:O104" si="23">(C102*$Q68+C103*$Q69)/1000</f>
        <v>2323</v>
      </c>
      <c r="D104" s="87">
        <f t="shared" si="23"/>
        <v>2591.25</v>
      </c>
      <c r="E104" s="87">
        <f t="shared" si="23"/>
        <v>2772.45</v>
      </c>
      <c r="F104" s="87">
        <f t="shared" si="23"/>
        <v>2680.5</v>
      </c>
      <c r="G104" s="87">
        <f t="shared" si="23"/>
        <v>2810.95</v>
      </c>
      <c r="H104" s="87">
        <f t="shared" si="23"/>
        <v>2563.6999999999998</v>
      </c>
      <c r="I104" s="87">
        <f t="shared" si="23"/>
        <v>3010.65</v>
      </c>
      <c r="J104" s="87">
        <f t="shared" si="23"/>
        <v>3511.25</v>
      </c>
      <c r="K104" s="87">
        <f t="shared" si="23"/>
        <v>3525.45</v>
      </c>
      <c r="L104" s="87">
        <f t="shared" si="23"/>
        <v>3217.75</v>
      </c>
      <c r="M104" s="87">
        <f t="shared" si="23"/>
        <v>2723</v>
      </c>
      <c r="N104" s="87">
        <f t="shared" si="23"/>
        <v>2448.4499999999998</v>
      </c>
      <c r="O104" s="87">
        <f t="shared" si="23"/>
        <v>34851.034780650007</v>
      </c>
    </row>
    <row r="106" spans="2:19">
      <c r="B106" s="193" t="s">
        <v>240</v>
      </c>
      <c r="C106" s="194"/>
      <c r="D106" s="194"/>
      <c r="E106" s="194"/>
      <c r="F106" s="194"/>
      <c r="G106" s="194"/>
      <c r="H106" s="194"/>
      <c r="I106" s="194"/>
      <c r="J106" s="194"/>
      <c r="K106" s="194"/>
      <c r="L106" s="194"/>
      <c r="M106" s="194"/>
      <c r="N106" s="194"/>
      <c r="O106" s="194"/>
    </row>
    <row r="107" spans="2:19">
      <c r="B107" s="56"/>
      <c r="C107" s="56" t="s">
        <v>3</v>
      </c>
      <c r="D107" s="56" t="s">
        <v>4</v>
      </c>
      <c r="E107" s="56" t="s">
        <v>5</v>
      </c>
      <c r="F107" s="56" t="s">
        <v>6</v>
      </c>
      <c r="G107" s="56" t="s">
        <v>7</v>
      </c>
      <c r="H107" s="56" t="s">
        <v>8</v>
      </c>
      <c r="I107" s="56" t="s">
        <v>9</v>
      </c>
      <c r="J107" s="56" t="s">
        <v>10</v>
      </c>
      <c r="K107" s="56" t="s">
        <v>96</v>
      </c>
      <c r="L107" s="56" t="s">
        <v>12</v>
      </c>
      <c r="M107" s="56" t="s">
        <v>13</v>
      </c>
      <c r="N107" s="56" t="s">
        <v>14</v>
      </c>
      <c r="O107" s="58" t="s">
        <v>123</v>
      </c>
      <c r="P107" s="58" t="s">
        <v>137</v>
      </c>
      <c r="Q107" s="56">
        <v>1000</v>
      </c>
      <c r="S107">
        <f>C102*$Q68*$P$75</f>
        <v>1699830</v>
      </c>
    </row>
    <row r="108" spans="2:19">
      <c r="B108" s="48" t="s">
        <v>133</v>
      </c>
      <c r="C108" s="59">
        <f>(C102*$Q68*$P$75/1000)</f>
        <v>1699.83</v>
      </c>
      <c r="D108" s="59">
        <f t="shared" ref="D108:N108" si="24">((D102*$Q68*$P$75)/1000)</f>
        <v>1784.8215</v>
      </c>
      <c r="E108" s="59">
        <f t="shared" si="24"/>
        <v>1784.8215</v>
      </c>
      <c r="F108" s="59">
        <f t="shared" si="24"/>
        <v>1933.7670000000001</v>
      </c>
      <c r="G108" s="59">
        <f t="shared" si="24"/>
        <v>1954.8045</v>
      </c>
      <c r="H108" s="59">
        <f t="shared" si="24"/>
        <v>1698.1469999999999</v>
      </c>
      <c r="I108" s="59">
        <f t="shared" si="24"/>
        <v>2320.0155</v>
      </c>
      <c r="J108" s="59">
        <f t="shared" si="24"/>
        <v>2215.6695</v>
      </c>
      <c r="K108" s="59">
        <f t="shared" si="24"/>
        <v>2320.0155</v>
      </c>
      <c r="L108" s="59">
        <f t="shared" si="24"/>
        <v>1954.8045</v>
      </c>
      <c r="M108" s="59">
        <f t="shared" si="24"/>
        <v>1975.8420000000001</v>
      </c>
      <c r="N108" s="59">
        <f t="shared" si="24"/>
        <v>1643.4494999999999</v>
      </c>
      <c r="O108" s="59">
        <f>SUM(C108:N108)</f>
        <v>23285.987999999998</v>
      </c>
      <c r="P108" s="48" t="s">
        <v>138</v>
      </c>
      <c r="Q108" s="56">
        <v>100</v>
      </c>
      <c r="S108">
        <f>C103*$Q69*$P$75</f>
        <v>599940</v>
      </c>
    </row>
    <row r="109" spans="2:19">
      <c r="B109" s="48" t="s">
        <v>134</v>
      </c>
      <c r="C109" s="59">
        <f>((C103*$Q69*$P$75)/1000)</f>
        <v>599.94000000000005</v>
      </c>
      <c r="D109" s="59">
        <f t="shared" ref="D109:N109" si="25">((D103*$Q69*$P$75)/1000)</f>
        <v>780.51599999999996</v>
      </c>
      <c r="E109" s="59">
        <f t="shared" si="25"/>
        <v>959.904</v>
      </c>
      <c r="F109" s="59">
        <f t="shared" si="25"/>
        <v>719.928</v>
      </c>
      <c r="G109" s="59">
        <f t="shared" si="25"/>
        <v>828.03599999999994</v>
      </c>
      <c r="H109" s="59">
        <f t="shared" si="25"/>
        <v>839.91600000000005</v>
      </c>
      <c r="I109" s="59">
        <f t="shared" si="25"/>
        <v>660.52800000000002</v>
      </c>
      <c r="J109" s="59">
        <f t="shared" si="25"/>
        <v>1260.4680000000001</v>
      </c>
      <c r="K109" s="59">
        <f t="shared" si="25"/>
        <v>1170.18</v>
      </c>
      <c r="L109" s="59">
        <f t="shared" si="25"/>
        <v>1230.768</v>
      </c>
      <c r="M109" s="59">
        <f t="shared" si="25"/>
        <v>719.928</v>
      </c>
      <c r="N109" s="59">
        <f t="shared" si="25"/>
        <v>780.51599999999996</v>
      </c>
      <c r="O109" s="59">
        <f>SUM(C109:N109)</f>
        <v>10550.628000000001</v>
      </c>
    </row>
    <row r="110" spans="2:19">
      <c r="B110" s="48" t="s">
        <v>123</v>
      </c>
      <c r="C110" s="87">
        <f>C108+C109</f>
        <v>2299.77</v>
      </c>
      <c r="D110" s="87">
        <f t="shared" ref="D110:O110" si="26">D108+D109</f>
        <v>2565.3375000000001</v>
      </c>
      <c r="E110" s="87">
        <f t="shared" si="26"/>
        <v>2744.7255</v>
      </c>
      <c r="F110" s="87">
        <f t="shared" si="26"/>
        <v>2653.6950000000002</v>
      </c>
      <c r="G110" s="87">
        <f t="shared" si="26"/>
        <v>2782.8404999999998</v>
      </c>
      <c r="H110" s="87">
        <f t="shared" si="26"/>
        <v>2538.0630000000001</v>
      </c>
      <c r="I110" s="87">
        <f t="shared" si="26"/>
        <v>2980.5434999999998</v>
      </c>
      <c r="J110" s="87">
        <f t="shared" si="26"/>
        <v>3476.1374999999998</v>
      </c>
      <c r="K110" s="87">
        <f t="shared" si="26"/>
        <v>3490.1954999999998</v>
      </c>
      <c r="L110" s="87">
        <f t="shared" si="26"/>
        <v>3185.5725000000002</v>
      </c>
      <c r="M110" s="87">
        <f t="shared" si="26"/>
        <v>2695.77</v>
      </c>
      <c r="N110" s="87">
        <f t="shared" si="26"/>
        <v>2423.9654999999998</v>
      </c>
      <c r="O110" s="87">
        <f t="shared" si="26"/>
        <v>33836.615999999995</v>
      </c>
    </row>
    <row r="112" spans="2:19">
      <c r="B112" s="212" t="s">
        <v>241</v>
      </c>
      <c r="C112" s="213"/>
      <c r="D112" s="213"/>
      <c r="E112" s="213"/>
      <c r="F112" s="213"/>
      <c r="G112" s="213"/>
      <c r="H112" s="213"/>
      <c r="I112" s="213"/>
      <c r="J112" s="213"/>
      <c r="K112" s="213"/>
      <c r="L112" s="213"/>
      <c r="M112" s="213"/>
      <c r="N112" s="213"/>
      <c r="O112" s="213"/>
    </row>
    <row r="113" spans="2:19">
      <c r="B113" s="56"/>
      <c r="C113" s="56" t="s">
        <v>3</v>
      </c>
      <c r="D113" s="56" t="s">
        <v>4</v>
      </c>
      <c r="E113" s="56" t="s">
        <v>5</v>
      </c>
      <c r="F113" s="56" t="s">
        <v>6</v>
      </c>
      <c r="G113" s="56" t="s">
        <v>7</v>
      </c>
      <c r="H113" s="56" t="s">
        <v>8</v>
      </c>
      <c r="I113" s="56" t="s">
        <v>9</v>
      </c>
      <c r="J113" s="56" t="s">
        <v>10</v>
      </c>
      <c r="K113" s="56" t="s">
        <v>96</v>
      </c>
      <c r="L113" s="56" t="s">
        <v>12</v>
      </c>
      <c r="M113" s="56" t="s">
        <v>13</v>
      </c>
      <c r="N113" s="56" t="s">
        <v>14</v>
      </c>
      <c r="O113" s="58" t="s">
        <v>123</v>
      </c>
      <c r="Q113" s="48" t="s">
        <v>139</v>
      </c>
    </row>
    <row r="114" spans="2:19">
      <c r="B114" s="48" t="s">
        <v>133</v>
      </c>
      <c r="C114" s="56"/>
      <c r="D114" s="56"/>
      <c r="E114" s="56"/>
      <c r="F114" s="56"/>
      <c r="G114" s="56"/>
      <c r="H114" s="56"/>
      <c r="I114" s="56"/>
      <c r="J114" s="56"/>
      <c r="K114" s="56"/>
      <c r="L114" s="56"/>
      <c r="M114" s="56"/>
      <c r="N114" s="56"/>
      <c r="O114" s="56"/>
      <c r="Q114" s="56">
        <v>0.5</v>
      </c>
    </row>
    <row r="115" spans="2:19">
      <c r="B115" s="60" t="s">
        <v>135</v>
      </c>
      <c r="C115" s="59">
        <f>ROUNDUP(R121*Q114*Q73,0)</f>
        <v>799</v>
      </c>
      <c r="D115" s="59">
        <f t="shared" ref="D115:N115" si="27">ROUNDUP((C108*$Q$114)*$Q$73,0)</f>
        <v>843</v>
      </c>
      <c r="E115" s="59">
        <f t="shared" si="27"/>
        <v>885</v>
      </c>
      <c r="F115" s="59">
        <f t="shared" si="27"/>
        <v>885</v>
      </c>
      <c r="G115" s="59">
        <f t="shared" si="27"/>
        <v>959</v>
      </c>
      <c r="H115" s="59">
        <f t="shared" si="27"/>
        <v>969</v>
      </c>
      <c r="I115" s="59">
        <f t="shared" si="27"/>
        <v>842</v>
      </c>
      <c r="J115" s="59">
        <f t="shared" si="27"/>
        <v>1150</v>
      </c>
      <c r="K115" s="59">
        <f t="shared" si="27"/>
        <v>1098</v>
      </c>
      <c r="L115" s="59">
        <f t="shared" si="27"/>
        <v>1150</v>
      </c>
      <c r="M115" s="59">
        <f t="shared" si="27"/>
        <v>969</v>
      </c>
      <c r="N115" s="59">
        <f t="shared" si="27"/>
        <v>980</v>
      </c>
      <c r="O115" s="59">
        <f>SUM(D115:N115)</f>
        <v>10730</v>
      </c>
    </row>
    <row r="116" spans="2:19">
      <c r="B116" s="60" t="s">
        <v>136</v>
      </c>
      <c r="C116" s="59">
        <f>ROUNDUP(C108*Q114*Q73,0)</f>
        <v>843</v>
      </c>
      <c r="D116" s="59">
        <f t="shared" ref="D116:N116" si="28">ROUNDUP((D108*$Q$114)*$Q$73,0)</f>
        <v>885</v>
      </c>
      <c r="E116" s="59">
        <f t="shared" si="28"/>
        <v>885</v>
      </c>
      <c r="F116" s="59">
        <f t="shared" si="28"/>
        <v>959</v>
      </c>
      <c r="G116" s="59">
        <f t="shared" si="28"/>
        <v>969</v>
      </c>
      <c r="H116" s="59">
        <f t="shared" si="28"/>
        <v>842</v>
      </c>
      <c r="I116" s="59">
        <f t="shared" si="28"/>
        <v>1150</v>
      </c>
      <c r="J116" s="59">
        <f t="shared" si="28"/>
        <v>1098</v>
      </c>
      <c r="K116" s="59">
        <f t="shared" si="28"/>
        <v>1150</v>
      </c>
      <c r="L116" s="59">
        <f t="shared" si="28"/>
        <v>969</v>
      </c>
      <c r="M116" s="59">
        <f t="shared" si="28"/>
        <v>980</v>
      </c>
      <c r="N116" s="59">
        <f t="shared" si="28"/>
        <v>815</v>
      </c>
      <c r="O116" s="59">
        <f>SUM(D116:N116)</f>
        <v>10702</v>
      </c>
    </row>
    <row r="117" spans="2:19">
      <c r="B117" s="60" t="s">
        <v>107</v>
      </c>
      <c r="C117" s="87">
        <f>C115+C116</f>
        <v>1642</v>
      </c>
      <c r="D117" s="87">
        <f>D115+D116</f>
        <v>1728</v>
      </c>
      <c r="E117" s="87">
        <f t="shared" ref="E117:N117" si="29">E115+E116</f>
        <v>1770</v>
      </c>
      <c r="F117" s="87">
        <f t="shared" si="29"/>
        <v>1844</v>
      </c>
      <c r="G117" s="87">
        <f t="shared" si="29"/>
        <v>1928</v>
      </c>
      <c r="H117" s="87">
        <f t="shared" si="29"/>
        <v>1811</v>
      </c>
      <c r="I117" s="87">
        <f t="shared" si="29"/>
        <v>1992</v>
      </c>
      <c r="J117" s="87">
        <f t="shared" si="29"/>
        <v>2248</v>
      </c>
      <c r="K117" s="87">
        <f t="shared" si="29"/>
        <v>2248</v>
      </c>
      <c r="L117" s="87">
        <f t="shared" si="29"/>
        <v>2119</v>
      </c>
      <c r="M117" s="87">
        <f t="shared" si="29"/>
        <v>1949</v>
      </c>
      <c r="N117" s="87">
        <f t="shared" si="29"/>
        <v>1795</v>
      </c>
      <c r="O117" s="87">
        <f>O115+O116</f>
        <v>21432</v>
      </c>
      <c r="Q117" s="48" t="s">
        <v>146</v>
      </c>
    </row>
    <row r="118" spans="2:19">
      <c r="B118" s="48" t="s">
        <v>134</v>
      </c>
      <c r="C118" s="59"/>
      <c r="D118" s="56"/>
      <c r="E118" s="56"/>
      <c r="F118" s="56"/>
      <c r="G118" s="56"/>
      <c r="H118" s="56"/>
      <c r="I118" s="56"/>
      <c r="J118" s="56"/>
      <c r="K118" s="56"/>
      <c r="L118" s="56"/>
      <c r="M118" s="56"/>
      <c r="N118" s="56"/>
      <c r="O118" s="56"/>
      <c r="Q118" s="3">
        <f>N97*0.98</f>
        <v>2398.4908447500002</v>
      </c>
    </row>
    <row r="119" spans="2:19">
      <c r="B119" s="60" t="s">
        <v>135</v>
      </c>
      <c r="C119" s="59">
        <f>ROUNDUP(S121*Q114*Q73,0)</f>
        <v>380</v>
      </c>
      <c r="D119" s="59">
        <f t="shared" ref="D119:N119" si="30">ROUNDUP((C109*$Q$114)*$Q$73,0)</f>
        <v>298</v>
      </c>
      <c r="E119" s="59">
        <f t="shared" si="30"/>
        <v>387</v>
      </c>
      <c r="F119" s="59">
        <f t="shared" si="30"/>
        <v>476</v>
      </c>
      <c r="G119" s="59">
        <f t="shared" si="30"/>
        <v>357</v>
      </c>
      <c r="H119" s="59">
        <f t="shared" si="30"/>
        <v>411</v>
      </c>
      <c r="I119" s="59">
        <f t="shared" si="30"/>
        <v>417</v>
      </c>
      <c r="J119" s="59">
        <f t="shared" si="30"/>
        <v>328</v>
      </c>
      <c r="K119" s="59">
        <f t="shared" si="30"/>
        <v>625</v>
      </c>
      <c r="L119" s="59">
        <f t="shared" si="30"/>
        <v>580</v>
      </c>
      <c r="M119" s="59">
        <f t="shared" si="30"/>
        <v>610</v>
      </c>
      <c r="N119" s="59">
        <f t="shared" si="30"/>
        <v>357</v>
      </c>
      <c r="O119" s="59">
        <f>SUM(D119:N119)</f>
        <v>4846</v>
      </c>
    </row>
    <row r="120" spans="2:19">
      <c r="B120" s="60" t="s">
        <v>136</v>
      </c>
      <c r="C120" s="59">
        <f>ROUNDUP(C109*Q114*Q73,0)</f>
        <v>298</v>
      </c>
      <c r="D120" s="59">
        <f t="shared" ref="D120:N120" si="31">ROUNDUP((D109*$Q$114)*$Q$73,0)</f>
        <v>387</v>
      </c>
      <c r="E120" s="59">
        <f t="shared" si="31"/>
        <v>476</v>
      </c>
      <c r="F120" s="59">
        <f t="shared" si="31"/>
        <v>357</v>
      </c>
      <c r="G120" s="59">
        <f t="shared" si="31"/>
        <v>411</v>
      </c>
      <c r="H120" s="59">
        <f t="shared" si="31"/>
        <v>417</v>
      </c>
      <c r="I120" s="59">
        <f t="shared" si="31"/>
        <v>328</v>
      </c>
      <c r="J120" s="59">
        <f t="shared" si="31"/>
        <v>625</v>
      </c>
      <c r="K120" s="59">
        <f t="shared" si="31"/>
        <v>580</v>
      </c>
      <c r="L120" s="59">
        <f t="shared" si="31"/>
        <v>610</v>
      </c>
      <c r="M120" s="59">
        <f t="shared" si="31"/>
        <v>357</v>
      </c>
      <c r="N120" s="59">
        <f t="shared" si="31"/>
        <v>387</v>
      </c>
      <c r="O120" s="59">
        <f>SUM(D120:N120)</f>
        <v>4935</v>
      </c>
      <c r="Q120" s="48" t="s">
        <v>147</v>
      </c>
      <c r="R120" s="48" t="s">
        <v>15</v>
      </c>
      <c r="S120" s="48" t="s">
        <v>16</v>
      </c>
    </row>
    <row r="121" spans="2:19">
      <c r="B121" s="61" t="s">
        <v>108</v>
      </c>
      <c r="C121" s="87">
        <f>C119+C120</f>
        <v>678</v>
      </c>
      <c r="D121" s="87">
        <f>D119+D120</f>
        <v>685</v>
      </c>
      <c r="E121" s="87">
        <f t="shared" ref="E121:N121" si="32">E119+E120</f>
        <v>863</v>
      </c>
      <c r="F121" s="87">
        <f t="shared" si="32"/>
        <v>833</v>
      </c>
      <c r="G121" s="87">
        <f t="shared" si="32"/>
        <v>768</v>
      </c>
      <c r="H121" s="87">
        <f t="shared" si="32"/>
        <v>828</v>
      </c>
      <c r="I121" s="87">
        <f t="shared" si="32"/>
        <v>745</v>
      </c>
      <c r="J121" s="87">
        <f t="shared" si="32"/>
        <v>953</v>
      </c>
      <c r="K121" s="87">
        <f t="shared" si="32"/>
        <v>1205</v>
      </c>
      <c r="L121" s="87">
        <f t="shared" si="32"/>
        <v>1190</v>
      </c>
      <c r="M121" s="87">
        <f t="shared" si="32"/>
        <v>967</v>
      </c>
      <c r="N121" s="87">
        <f t="shared" si="32"/>
        <v>744</v>
      </c>
      <c r="O121" s="87">
        <f>O119+O120</f>
        <v>9781</v>
      </c>
      <c r="Q121" s="3">
        <f>Q118*P75*Q73</f>
        <v>2353.1353828757779</v>
      </c>
      <c r="R121" s="59">
        <f>N108*0.98</f>
        <v>1610.58051</v>
      </c>
      <c r="S121" s="59">
        <f>N109*0.98</f>
        <v>764.90567999999996</v>
      </c>
    </row>
    <row r="123" spans="2:19">
      <c r="B123" s="61" t="s">
        <v>140</v>
      </c>
      <c r="C123" s="87">
        <f>C117+C121</f>
        <v>2320</v>
      </c>
      <c r="D123" s="87">
        <f>D117+D121</f>
        <v>2413</v>
      </c>
      <c r="E123" s="87">
        <f t="shared" ref="E123:N123" si="33">E117+E121</f>
        <v>2633</v>
      </c>
      <c r="F123" s="87">
        <f t="shared" si="33"/>
        <v>2677</v>
      </c>
      <c r="G123" s="87">
        <f t="shared" si="33"/>
        <v>2696</v>
      </c>
      <c r="H123" s="87">
        <f t="shared" si="33"/>
        <v>2639</v>
      </c>
      <c r="I123" s="87">
        <f t="shared" si="33"/>
        <v>2737</v>
      </c>
      <c r="J123" s="87">
        <f t="shared" si="33"/>
        <v>3201</v>
      </c>
      <c r="K123" s="87">
        <f t="shared" si="33"/>
        <v>3453</v>
      </c>
      <c r="L123" s="87">
        <f t="shared" si="33"/>
        <v>3309</v>
      </c>
      <c r="M123" s="87">
        <f t="shared" si="33"/>
        <v>2916</v>
      </c>
      <c r="N123" s="87">
        <f t="shared" si="33"/>
        <v>2539</v>
      </c>
      <c r="O123" s="87">
        <f>O117+O121</f>
        <v>31213</v>
      </c>
    </row>
    <row r="124" spans="2:19">
      <c r="B124" s="61" t="s">
        <v>148</v>
      </c>
      <c r="C124" s="87">
        <f t="shared" ref="C124:N124" si="34">ROUNDUP(C123/$Q73,0)</f>
        <v>2342</v>
      </c>
      <c r="D124" s="87">
        <f t="shared" si="34"/>
        <v>2435</v>
      </c>
      <c r="E124" s="87">
        <f t="shared" si="34"/>
        <v>2657</v>
      </c>
      <c r="F124" s="87">
        <f t="shared" si="34"/>
        <v>2702</v>
      </c>
      <c r="G124" s="87">
        <f t="shared" si="34"/>
        <v>2721</v>
      </c>
      <c r="H124" s="87">
        <f t="shared" si="34"/>
        <v>2663</v>
      </c>
      <c r="I124" s="87">
        <f t="shared" si="34"/>
        <v>2762</v>
      </c>
      <c r="J124" s="87">
        <f t="shared" si="34"/>
        <v>3231</v>
      </c>
      <c r="K124" s="87">
        <f t="shared" si="34"/>
        <v>3485</v>
      </c>
      <c r="L124" s="87">
        <f t="shared" si="34"/>
        <v>3340</v>
      </c>
      <c r="M124" s="87">
        <f t="shared" si="34"/>
        <v>2943</v>
      </c>
      <c r="N124" s="87">
        <f t="shared" si="34"/>
        <v>2563</v>
      </c>
      <c r="O124" s="87">
        <f>O123/$Q73</f>
        <v>31496.468213925327</v>
      </c>
    </row>
    <row r="126" spans="2:19">
      <c r="B126" s="214" t="s">
        <v>141</v>
      </c>
      <c r="C126" s="215"/>
      <c r="D126" s="215"/>
      <c r="E126" s="215"/>
      <c r="F126" s="215"/>
      <c r="G126" s="215"/>
      <c r="H126" s="215"/>
      <c r="I126" s="215"/>
      <c r="J126" s="215"/>
      <c r="K126" s="215"/>
      <c r="L126" s="215"/>
      <c r="M126" s="215"/>
      <c r="N126" s="215"/>
      <c r="O126" s="215"/>
    </row>
    <row r="127" spans="2:19">
      <c r="B127" s="56"/>
      <c r="C127" s="56" t="s">
        <v>3</v>
      </c>
      <c r="D127" s="56" t="s">
        <v>4</v>
      </c>
      <c r="E127" s="56" t="s">
        <v>5</v>
      </c>
      <c r="F127" s="56" t="s">
        <v>6</v>
      </c>
      <c r="G127" s="56" t="s">
        <v>7</v>
      </c>
      <c r="H127" s="56" t="s">
        <v>8</v>
      </c>
      <c r="I127" s="56" t="s">
        <v>9</v>
      </c>
      <c r="J127" s="56" t="s">
        <v>10</v>
      </c>
      <c r="K127" s="56" t="s">
        <v>96</v>
      </c>
      <c r="L127" s="56" t="s">
        <v>12</v>
      </c>
      <c r="M127" s="56" t="s">
        <v>13</v>
      </c>
      <c r="N127" s="56" t="s">
        <v>14</v>
      </c>
      <c r="O127" s="58" t="s">
        <v>123</v>
      </c>
    </row>
    <row r="128" spans="2:19">
      <c r="B128" s="48" t="s">
        <v>133</v>
      </c>
      <c r="C128" s="56"/>
      <c r="D128" s="56"/>
      <c r="E128" s="56"/>
      <c r="F128" s="56"/>
      <c r="G128" s="56"/>
      <c r="H128" s="56"/>
      <c r="I128" s="56"/>
      <c r="J128" s="56"/>
      <c r="K128" s="56"/>
      <c r="L128" s="56"/>
      <c r="M128" s="56"/>
      <c r="N128" s="56"/>
      <c r="O128" s="56"/>
    </row>
    <row r="129" spans="2:16">
      <c r="B129" s="48" t="s">
        <v>142</v>
      </c>
      <c r="C129" s="3">
        <f>C75</f>
        <v>403.92000000000007</v>
      </c>
      <c r="D129" s="3">
        <f t="shared" ref="D129:N129" si="35">D75</f>
        <v>704.31999999999994</v>
      </c>
      <c r="E129" s="3">
        <f t="shared" si="35"/>
        <v>903.73999999999978</v>
      </c>
      <c r="F129" s="3">
        <f t="shared" si="35"/>
        <v>1103.1599999999999</v>
      </c>
      <c r="G129" s="3">
        <f t="shared" si="35"/>
        <v>1125.8649999999998</v>
      </c>
      <c r="H129" s="3">
        <f t="shared" si="35"/>
        <v>1123.3249999999998</v>
      </c>
      <c r="I129" s="3">
        <f t="shared" si="35"/>
        <v>1426.2494999999997</v>
      </c>
      <c r="J129" s="3">
        <f t="shared" si="35"/>
        <v>989.49549999999999</v>
      </c>
      <c r="K129" s="3">
        <f t="shared" si="35"/>
        <v>677.45179999999982</v>
      </c>
      <c r="L129" s="3">
        <f t="shared" si="35"/>
        <v>480.69779999999992</v>
      </c>
      <c r="M129" s="3">
        <f t="shared" si="35"/>
        <v>478.15779999999995</v>
      </c>
      <c r="N129" s="3">
        <f t="shared" si="35"/>
        <v>450.3728000000001</v>
      </c>
      <c r="O129" s="56"/>
    </row>
    <row r="130" spans="2:16">
      <c r="B130" s="48" t="s">
        <v>143</v>
      </c>
      <c r="C130" s="3">
        <f>Enunciado!C28</f>
        <v>2019.6000000000001</v>
      </c>
      <c r="D130" s="3">
        <f>Enunciado!D28</f>
        <v>2120.58</v>
      </c>
      <c r="E130" s="3">
        <f>Enunciado!E28</f>
        <v>2120.58</v>
      </c>
      <c r="F130" s="3">
        <f>Enunciado!F28</f>
        <v>2297.2950000000001</v>
      </c>
      <c r="G130" s="3">
        <f>Enunciado!G28</f>
        <v>2322.54</v>
      </c>
      <c r="H130" s="3">
        <f>Enunciado!H28</f>
        <v>2017.0755000000001</v>
      </c>
      <c r="I130" s="3">
        <f>Enunciado!I28</f>
        <v>2756.7539999999999</v>
      </c>
      <c r="J130" s="3">
        <f>Enunciado!J28</f>
        <v>2632.0437000000002</v>
      </c>
      <c r="K130" s="3">
        <f>Enunciado!K28</f>
        <v>2756.7539999999999</v>
      </c>
      <c r="L130" s="3">
        <f>Enunciado!L28</f>
        <v>2322.54</v>
      </c>
      <c r="M130" s="3">
        <f>Enunciado!M28</f>
        <v>2347.7849999999999</v>
      </c>
      <c r="N130" s="3">
        <f>Enunciado!N28</f>
        <v>1952.70075</v>
      </c>
      <c r="O130" s="56"/>
    </row>
    <row r="131" spans="2:16">
      <c r="B131" s="49" t="s">
        <v>144</v>
      </c>
      <c r="C131" s="3">
        <f>C70</f>
        <v>704.31999999999994</v>
      </c>
      <c r="D131" s="3">
        <f t="shared" ref="D131:N131" si="36">D70</f>
        <v>903.73999999999978</v>
      </c>
      <c r="E131" s="3">
        <f t="shared" si="36"/>
        <v>1103.1599999999999</v>
      </c>
      <c r="F131" s="3">
        <f t="shared" si="36"/>
        <v>1125.8649999999998</v>
      </c>
      <c r="G131" s="3">
        <f t="shared" si="36"/>
        <v>1123.3249999999998</v>
      </c>
      <c r="H131" s="3">
        <f t="shared" si="36"/>
        <v>1426.2494999999997</v>
      </c>
      <c r="I131" s="3">
        <f t="shared" si="36"/>
        <v>989.49549999999999</v>
      </c>
      <c r="J131" s="3">
        <f t="shared" si="36"/>
        <v>677.45179999999982</v>
      </c>
      <c r="K131" s="3">
        <f t="shared" si="36"/>
        <v>480.69779999999992</v>
      </c>
      <c r="L131" s="3">
        <f t="shared" si="36"/>
        <v>478.15779999999995</v>
      </c>
      <c r="M131" s="3">
        <f t="shared" si="36"/>
        <v>450.3728000000001</v>
      </c>
      <c r="N131" s="3">
        <f t="shared" si="36"/>
        <v>417.67205000000013</v>
      </c>
      <c r="O131" s="56"/>
    </row>
    <row r="132" spans="2:16">
      <c r="B132" s="49" t="s">
        <v>145</v>
      </c>
      <c r="C132" s="3">
        <f>C130+(C131-C129)</f>
        <v>2320</v>
      </c>
      <c r="D132" s="3">
        <f t="shared" ref="D132:N132" si="37">D130+(D131-D129)</f>
        <v>2320</v>
      </c>
      <c r="E132" s="3">
        <f t="shared" si="37"/>
        <v>2320</v>
      </c>
      <c r="F132" s="3">
        <f t="shared" si="37"/>
        <v>2320</v>
      </c>
      <c r="G132" s="3">
        <f t="shared" si="37"/>
        <v>2320</v>
      </c>
      <c r="H132" s="3">
        <f t="shared" si="37"/>
        <v>2320</v>
      </c>
      <c r="I132" s="3">
        <f t="shared" si="37"/>
        <v>2320</v>
      </c>
      <c r="J132" s="3">
        <f t="shared" si="37"/>
        <v>2320</v>
      </c>
      <c r="K132" s="3">
        <f t="shared" si="37"/>
        <v>2560</v>
      </c>
      <c r="L132" s="3">
        <f t="shared" si="37"/>
        <v>2320</v>
      </c>
      <c r="M132" s="3">
        <f t="shared" si="37"/>
        <v>2320</v>
      </c>
      <c r="N132" s="3">
        <f t="shared" si="37"/>
        <v>1920</v>
      </c>
      <c r="O132" s="3">
        <f>SUM(C132:N132)</f>
        <v>27680</v>
      </c>
    </row>
    <row r="133" spans="2:16">
      <c r="B133" s="56"/>
      <c r="C133" s="56"/>
      <c r="D133" s="56"/>
      <c r="E133" s="56"/>
      <c r="F133" s="56"/>
      <c r="G133" s="56"/>
      <c r="H133" s="56"/>
      <c r="I133" s="56"/>
      <c r="J133" s="56"/>
      <c r="K133" s="56"/>
      <c r="L133" s="56"/>
      <c r="M133" s="56"/>
      <c r="N133" s="56"/>
      <c r="O133" s="56"/>
    </row>
    <row r="134" spans="2:16">
      <c r="B134" s="48" t="s">
        <v>134</v>
      </c>
      <c r="C134" s="56"/>
      <c r="D134" s="56"/>
      <c r="E134" s="56"/>
      <c r="F134" s="56"/>
      <c r="G134" s="56"/>
      <c r="H134" s="56"/>
      <c r="I134" s="56"/>
      <c r="J134" s="56"/>
      <c r="K134" s="56"/>
      <c r="L134" s="56"/>
      <c r="M134" s="56"/>
      <c r="N134" s="56"/>
      <c r="O134" s="56"/>
    </row>
    <row r="135" spans="2:16">
      <c r="B135" s="48" t="s">
        <v>142</v>
      </c>
      <c r="C135" s="3">
        <f>C76</f>
        <v>100.98000000000002</v>
      </c>
      <c r="D135" s="3">
        <f t="shared" ref="D135:N135" si="38">D76</f>
        <v>226.07999999999998</v>
      </c>
      <c r="E135" s="3">
        <f t="shared" si="38"/>
        <v>199.70999999999992</v>
      </c>
      <c r="F135" s="3">
        <f t="shared" si="38"/>
        <v>271.87</v>
      </c>
      <c r="G135" s="3">
        <f t="shared" si="38"/>
        <v>295.99</v>
      </c>
      <c r="H135" s="3">
        <f t="shared" si="38"/>
        <v>229.22799999999995</v>
      </c>
      <c r="I135" s="3">
        <f t="shared" si="38"/>
        <v>152.36799999999994</v>
      </c>
      <c r="J135" s="3">
        <f t="shared" si="38"/>
        <v>316.97799999999995</v>
      </c>
      <c r="K135" s="3">
        <f t="shared" si="38"/>
        <v>246.6880000000001</v>
      </c>
      <c r="L135" s="3">
        <f t="shared" si="38"/>
        <v>252.13300000000004</v>
      </c>
      <c r="M135" s="3">
        <f t="shared" si="38"/>
        <v>207.08799999999997</v>
      </c>
      <c r="N135" s="3">
        <f t="shared" si="38"/>
        <v>141.20799999999997</v>
      </c>
      <c r="O135" s="56"/>
    </row>
    <row r="136" spans="2:16">
      <c r="B136" s="48" t="s">
        <v>143</v>
      </c>
      <c r="C136" s="3">
        <f>Enunciado!C29</f>
        <v>504.90000000000003</v>
      </c>
      <c r="D136" s="3">
        <f>Enunciado!D29</f>
        <v>656.37</v>
      </c>
      <c r="E136" s="3">
        <f>Enunciado!E29</f>
        <v>807.84</v>
      </c>
      <c r="F136" s="3">
        <f>Enunciado!F29</f>
        <v>605.88</v>
      </c>
      <c r="G136" s="3">
        <f>Enunciado!G29</f>
        <v>696.76200000000006</v>
      </c>
      <c r="H136" s="3">
        <f>Enunciado!H29</f>
        <v>706.86</v>
      </c>
      <c r="I136" s="3">
        <f>Enunciado!I29</f>
        <v>555.39</v>
      </c>
      <c r="J136" s="3">
        <f>Enunciado!J29</f>
        <v>1060.29</v>
      </c>
      <c r="K136" s="3">
        <f>Enunciado!K29</f>
        <v>984.55500000000006</v>
      </c>
      <c r="L136" s="3">
        <f>Enunciado!L29</f>
        <v>1035.0450000000001</v>
      </c>
      <c r="M136" s="3">
        <f>Enunciado!M29</f>
        <v>605.88</v>
      </c>
      <c r="N136" s="3">
        <f>Enunciado!N29</f>
        <v>656.37</v>
      </c>
      <c r="O136" s="56"/>
    </row>
    <row r="137" spans="2:16">
      <c r="B137" s="48" t="s">
        <v>144</v>
      </c>
      <c r="C137" s="3">
        <f>C71</f>
        <v>226.07999999999998</v>
      </c>
      <c r="D137" s="3">
        <f t="shared" ref="D137:N137" si="39">D71</f>
        <v>199.70999999999992</v>
      </c>
      <c r="E137" s="3">
        <f t="shared" si="39"/>
        <v>271.87</v>
      </c>
      <c r="F137" s="3">
        <f t="shared" si="39"/>
        <v>295.99</v>
      </c>
      <c r="G137" s="3">
        <f t="shared" si="39"/>
        <v>229.22799999999995</v>
      </c>
      <c r="H137" s="3">
        <f t="shared" si="39"/>
        <v>152.36799999999994</v>
      </c>
      <c r="I137" s="3">
        <f t="shared" si="39"/>
        <v>316.97799999999995</v>
      </c>
      <c r="J137" s="3">
        <f t="shared" si="39"/>
        <v>246.6880000000001</v>
      </c>
      <c r="K137" s="3">
        <f t="shared" si="39"/>
        <v>252.13300000000004</v>
      </c>
      <c r="L137" s="3">
        <f t="shared" si="39"/>
        <v>207.08799999999997</v>
      </c>
      <c r="M137" s="3">
        <f t="shared" si="39"/>
        <v>141.20799999999997</v>
      </c>
      <c r="N137" s="3">
        <f t="shared" si="39"/>
        <v>114.83799999999997</v>
      </c>
      <c r="O137" s="56"/>
    </row>
    <row r="138" spans="2:16">
      <c r="B138" s="48" t="s">
        <v>145</v>
      </c>
      <c r="C138" s="3">
        <f>C136+(C137-C135)</f>
        <v>630</v>
      </c>
      <c r="D138" s="3">
        <f t="shared" ref="D138:N138" si="40">D136+(D137-D135)</f>
        <v>630</v>
      </c>
      <c r="E138" s="3">
        <f t="shared" si="40"/>
        <v>880.00000000000011</v>
      </c>
      <c r="F138" s="3">
        <f t="shared" si="40"/>
        <v>630</v>
      </c>
      <c r="G138" s="3">
        <f t="shared" si="40"/>
        <v>630</v>
      </c>
      <c r="H138" s="3">
        <f t="shared" si="40"/>
        <v>630</v>
      </c>
      <c r="I138" s="3">
        <f t="shared" si="40"/>
        <v>720</v>
      </c>
      <c r="J138" s="3">
        <f t="shared" si="40"/>
        <v>990.00000000000011</v>
      </c>
      <c r="K138" s="3">
        <f t="shared" si="40"/>
        <v>990</v>
      </c>
      <c r="L138" s="3">
        <f t="shared" si="40"/>
        <v>990</v>
      </c>
      <c r="M138" s="3">
        <f t="shared" si="40"/>
        <v>540</v>
      </c>
      <c r="N138" s="3">
        <f t="shared" si="40"/>
        <v>630</v>
      </c>
      <c r="O138" s="3">
        <f>SUM(C138:N138)</f>
        <v>8890</v>
      </c>
    </row>
    <row r="140" spans="2:16">
      <c r="B140" s="214" t="s">
        <v>149</v>
      </c>
      <c r="C140" s="214"/>
      <c r="D140" s="214"/>
      <c r="E140" s="214"/>
      <c r="F140" s="214"/>
      <c r="G140" s="214"/>
      <c r="H140" s="214"/>
      <c r="I140" s="214"/>
      <c r="J140" s="214"/>
      <c r="K140" s="214"/>
      <c r="L140" s="214"/>
      <c r="M140" s="214"/>
      <c r="N140" s="214"/>
      <c r="O140" s="214"/>
    </row>
    <row r="141" spans="2:16">
      <c r="B141" s="56"/>
      <c r="C141" s="48" t="s">
        <v>152</v>
      </c>
      <c r="D141" s="56" t="s">
        <v>3</v>
      </c>
      <c r="E141" s="56" t="s">
        <v>4</v>
      </c>
      <c r="F141" s="56" t="s">
        <v>5</v>
      </c>
      <c r="G141" s="56" t="s">
        <v>6</v>
      </c>
      <c r="H141" s="56" t="s">
        <v>7</v>
      </c>
      <c r="I141" s="56" t="s">
        <v>8</v>
      </c>
      <c r="J141" s="56" t="s">
        <v>9</v>
      </c>
      <c r="K141" s="56" t="s">
        <v>10</v>
      </c>
      <c r="L141" s="56" t="s">
        <v>96</v>
      </c>
      <c r="M141" s="56" t="s">
        <v>12</v>
      </c>
      <c r="N141" s="56" t="s">
        <v>13</v>
      </c>
      <c r="O141" s="56" t="s">
        <v>14</v>
      </c>
      <c r="P141" s="65" t="s">
        <v>123</v>
      </c>
    </row>
    <row r="142" spans="2:16">
      <c r="B142" s="48" t="s">
        <v>133</v>
      </c>
      <c r="C142" s="48" t="s">
        <v>153</v>
      </c>
      <c r="D142" s="3">
        <f>C132</f>
        <v>2320</v>
      </c>
      <c r="E142" s="3">
        <f t="shared" ref="E142:P142" si="41">D132</f>
        <v>2320</v>
      </c>
      <c r="F142" s="3">
        <f t="shared" si="41"/>
        <v>2320</v>
      </c>
      <c r="G142" s="3">
        <f t="shared" si="41"/>
        <v>2320</v>
      </c>
      <c r="H142" s="3">
        <f t="shared" si="41"/>
        <v>2320</v>
      </c>
      <c r="I142" s="3">
        <f t="shared" si="41"/>
        <v>2320</v>
      </c>
      <c r="J142" s="3">
        <f t="shared" si="41"/>
        <v>2320</v>
      </c>
      <c r="K142" s="3">
        <f t="shared" si="41"/>
        <v>2320</v>
      </c>
      <c r="L142" s="3">
        <f t="shared" si="41"/>
        <v>2560</v>
      </c>
      <c r="M142" s="3">
        <f t="shared" si="41"/>
        <v>2320</v>
      </c>
      <c r="N142" s="3">
        <f t="shared" si="41"/>
        <v>2320</v>
      </c>
      <c r="O142" s="3">
        <f t="shared" si="41"/>
        <v>1920</v>
      </c>
      <c r="P142" s="37">
        <f t="shared" si="41"/>
        <v>27680</v>
      </c>
    </row>
    <row r="143" spans="2:16">
      <c r="B143" s="211" t="s">
        <v>157</v>
      </c>
      <c r="C143" s="48" t="s">
        <v>142</v>
      </c>
      <c r="D143" s="3">
        <f>C49</f>
        <v>2019.6000000000001</v>
      </c>
      <c r="E143" s="3">
        <f t="shared" ref="E143:N143" si="42">D49</f>
        <v>2320</v>
      </c>
      <c r="F143" s="3">
        <f t="shared" si="42"/>
        <v>2320</v>
      </c>
      <c r="G143" s="3">
        <f t="shared" si="42"/>
        <v>2320</v>
      </c>
      <c r="H143" s="3">
        <f t="shared" si="42"/>
        <v>2320</v>
      </c>
      <c r="I143" s="3">
        <f t="shared" si="42"/>
        <v>2320</v>
      </c>
      <c r="J143" s="3">
        <f t="shared" si="42"/>
        <v>2320</v>
      </c>
      <c r="K143" s="3">
        <f t="shared" si="42"/>
        <v>2320</v>
      </c>
      <c r="L143" s="3">
        <f t="shared" si="42"/>
        <v>2560</v>
      </c>
      <c r="M143" s="3">
        <f t="shared" si="42"/>
        <v>2320</v>
      </c>
      <c r="N143" s="3">
        <f t="shared" si="42"/>
        <v>2320</v>
      </c>
      <c r="O143" s="56">
        <f>N145</f>
        <v>1920</v>
      </c>
    </row>
    <row r="144" spans="2:16">
      <c r="B144" s="144"/>
      <c r="C144" s="48" t="s">
        <v>154</v>
      </c>
      <c r="D144" s="56">
        <f>C56</f>
        <v>23200</v>
      </c>
      <c r="E144" s="56">
        <f t="shared" ref="E144:O144" si="43">D56</f>
        <v>23200</v>
      </c>
      <c r="F144" s="56">
        <f t="shared" si="43"/>
        <v>23200</v>
      </c>
      <c r="G144" s="56">
        <f t="shared" si="43"/>
        <v>23200</v>
      </c>
      <c r="H144" s="56">
        <f t="shared" si="43"/>
        <v>23200</v>
      </c>
      <c r="I144" s="56">
        <f t="shared" si="43"/>
        <v>23200</v>
      </c>
      <c r="J144" s="56">
        <f t="shared" si="43"/>
        <v>23200</v>
      </c>
      <c r="K144" s="56">
        <f t="shared" si="43"/>
        <v>23200</v>
      </c>
      <c r="L144" s="56">
        <f t="shared" si="43"/>
        <v>25600</v>
      </c>
      <c r="M144" s="56">
        <f t="shared" si="43"/>
        <v>23200</v>
      </c>
      <c r="N144" s="56">
        <f t="shared" si="43"/>
        <v>23200</v>
      </c>
      <c r="O144" s="56">
        <f t="shared" si="43"/>
        <v>19200</v>
      </c>
    </row>
    <row r="145" spans="2:17">
      <c r="B145" s="144"/>
      <c r="C145" s="48" t="s">
        <v>144</v>
      </c>
      <c r="D145" s="3">
        <f>C42</f>
        <v>2320</v>
      </c>
      <c r="E145" s="3">
        <f t="shared" ref="E145:N145" si="44">D42</f>
        <v>2320</v>
      </c>
      <c r="F145" s="3">
        <f t="shared" si="44"/>
        <v>2320</v>
      </c>
      <c r="G145" s="3">
        <f t="shared" si="44"/>
        <v>2320</v>
      </c>
      <c r="H145" s="3">
        <f t="shared" si="44"/>
        <v>2320</v>
      </c>
      <c r="I145" s="3">
        <f t="shared" si="44"/>
        <v>2320</v>
      </c>
      <c r="J145" s="3">
        <f t="shared" si="44"/>
        <v>2320</v>
      </c>
      <c r="K145" s="3">
        <f t="shared" si="44"/>
        <v>2560</v>
      </c>
      <c r="L145" s="3">
        <f t="shared" si="44"/>
        <v>2320</v>
      </c>
      <c r="M145" s="3">
        <f t="shared" si="44"/>
        <v>2320</v>
      </c>
      <c r="N145" s="3">
        <f t="shared" si="44"/>
        <v>1920</v>
      </c>
      <c r="O145" s="3">
        <f>N42</f>
        <v>2367</v>
      </c>
    </row>
    <row r="146" spans="2:17">
      <c r="B146" s="144"/>
      <c r="C146" s="48" t="s">
        <v>155</v>
      </c>
      <c r="D146" s="88">
        <f>D144+D145-D143</f>
        <v>23500.400000000001</v>
      </c>
      <c r="E146" s="89">
        <f t="shared" ref="E146:O146" si="45">E144+E145-E143</f>
        <v>23200</v>
      </c>
      <c r="F146" s="89">
        <f t="shared" si="45"/>
        <v>23200</v>
      </c>
      <c r="G146" s="89">
        <f t="shared" si="45"/>
        <v>23200</v>
      </c>
      <c r="H146" s="89">
        <f t="shared" si="45"/>
        <v>23200</v>
      </c>
      <c r="I146" s="89">
        <f t="shared" si="45"/>
        <v>23200</v>
      </c>
      <c r="J146" s="89">
        <f t="shared" si="45"/>
        <v>23200</v>
      </c>
      <c r="K146" s="89">
        <f t="shared" si="45"/>
        <v>23440</v>
      </c>
      <c r="L146" s="89">
        <f t="shared" si="45"/>
        <v>25360</v>
      </c>
      <c r="M146" s="89">
        <f t="shared" si="45"/>
        <v>23200</v>
      </c>
      <c r="N146" s="89">
        <f t="shared" si="45"/>
        <v>22800</v>
      </c>
      <c r="O146" s="89">
        <f t="shared" si="45"/>
        <v>19647</v>
      </c>
    </row>
    <row r="147" spans="2:17">
      <c r="B147" s="144"/>
      <c r="C147" s="48" t="s">
        <v>156</v>
      </c>
      <c r="D147" s="87">
        <f t="shared" ref="D147:O147" si="46">(D146*$T$13)/1000</f>
        <v>211.50360000000001</v>
      </c>
      <c r="E147" s="87">
        <f t="shared" si="46"/>
        <v>208.8</v>
      </c>
      <c r="F147" s="87">
        <f t="shared" si="46"/>
        <v>208.8</v>
      </c>
      <c r="G147" s="87">
        <f t="shared" si="46"/>
        <v>208.8</v>
      </c>
      <c r="H147" s="87">
        <f t="shared" si="46"/>
        <v>208.8</v>
      </c>
      <c r="I147" s="87">
        <f t="shared" si="46"/>
        <v>208.8</v>
      </c>
      <c r="J147" s="87">
        <f t="shared" si="46"/>
        <v>208.8</v>
      </c>
      <c r="K147" s="87">
        <f t="shared" si="46"/>
        <v>210.96</v>
      </c>
      <c r="L147" s="87">
        <f t="shared" si="46"/>
        <v>228.24</v>
      </c>
      <c r="M147" s="87">
        <f t="shared" si="46"/>
        <v>208.8</v>
      </c>
      <c r="N147" s="87">
        <f t="shared" si="46"/>
        <v>205.2</v>
      </c>
      <c r="O147" s="87">
        <f t="shared" si="46"/>
        <v>176.82300000000001</v>
      </c>
    </row>
    <row r="148" spans="2:17">
      <c r="B148" s="211" t="s">
        <v>158</v>
      </c>
      <c r="C148" s="48" t="s">
        <v>142</v>
      </c>
      <c r="D148" s="3">
        <f>C50</f>
        <v>2827.4400000000005</v>
      </c>
      <c r="E148" s="3">
        <f t="shared" ref="E148:N148" si="47">D50</f>
        <v>3248</v>
      </c>
      <c r="F148" s="3">
        <f t="shared" si="47"/>
        <v>3248</v>
      </c>
      <c r="G148" s="3">
        <f t="shared" si="47"/>
        <v>3248</v>
      </c>
      <c r="H148" s="3">
        <f t="shared" si="47"/>
        <v>3248</v>
      </c>
      <c r="I148" s="3">
        <f t="shared" si="47"/>
        <v>3248</v>
      </c>
      <c r="J148" s="3">
        <f t="shared" si="47"/>
        <v>3248</v>
      </c>
      <c r="K148" s="3">
        <f t="shared" si="47"/>
        <v>3248</v>
      </c>
      <c r="L148" s="3">
        <f t="shared" si="47"/>
        <v>3584</v>
      </c>
      <c r="M148" s="3">
        <f t="shared" si="47"/>
        <v>3248</v>
      </c>
      <c r="N148" s="3">
        <f t="shared" si="47"/>
        <v>3248</v>
      </c>
      <c r="O148" s="3">
        <f>N50</f>
        <v>2688</v>
      </c>
    </row>
    <row r="149" spans="2:17">
      <c r="B149" s="144"/>
      <c r="C149" s="48" t="s">
        <v>154</v>
      </c>
      <c r="D149" s="56">
        <f>C57</f>
        <v>32480</v>
      </c>
      <c r="E149" s="56">
        <f t="shared" ref="E149:O149" si="48">D57</f>
        <v>32480</v>
      </c>
      <c r="F149" s="56">
        <f t="shared" si="48"/>
        <v>32480</v>
      </c>
      <c r="G149" s="56">
        <f t="shared" si="48"/>
        <v>32480</v>
      </c>
      <c r="H149" s="56">
        <f t="shared" si="48"/>
        <v>32480</v>
      </c>
      <c r="I149" s="56">
        <f t="shared" si="48"/>
        <v>32480</v>
      </c>
      <c r="J149" s="56">
        <f t="shared" si="48"/>
        <v>32480</v>
      </c>
      <c r="K149" s="56">
        <f t="shared" si="48"/>
        <v>32480</v>
      </c>
      <c r="L149" s="56">
        <f t="shared" si="48"/>
        <v>35840</v>
      </c>
      <c r="M149" s="56">
        <f t="shared" si="48"/>
        <v>32480</v>
      </c>
      <c r="N149" s="56">
        <f t="shared" si="48"/>
        <v>32480</v>
      </c>
      <c r="O149" s="56">
        <f t="shared" si="48"/>
        <v>26880</v>
      </c>
    </row>
    <row r="150" spans="2:17">
      <c r="B150" s="144"/>
      <c r="C150" s="48" t="s">
        <v>144</v>
      </c>
      <c r="D150" s="56">
        <f>C43</f>
        <v>3248</v>
      </c>
      <c r="E150" s="74">
        <f t="shared" ref="E150:N150" si="49">D43</f>
        <v>3248</v>
      </c>
      <c r="F150" s="74">
        <f t="shared" si="49"/>
        <v>3248</v>
      </c>
      <c r="G150" s="74">
        <f t="shared" si="49"/>
        <v>3248</v>
      </c>
      <c r="H150" s="74">
        <f t="shared" si="49"/>
        <v>3248</v>
      </c>
      <c r="I150" s="74">
        <f t="shared" si="49"/>
        <v>3248</v>
      </c>
      <c r="J150" s="74">
        <f t="shared" si="49"/>
        <v>3248</v>
      </c>
      <c r="K150" s="74">
        <f t="shared" si="49"/>
        <v>3584</v>
      </c>
      <c r="L150" s="74">
        <f t="shared" si="49"/>
        <v>3248</v>
      </c>
      <c r="M150" s="74">
        <f t="shared" si="49"/>
        <v>3248</v>
      </c>
      <c r="N150" s="74">
        <f t="shared" si="49"/>
        <v>2688</v>
      </c>
      <c r="O150" s="74">
        <f>N43</f>
        <v>3314</v>
      </c>
    </row>
    <row r="151" spans="2:17">
      <c r="B151" s="144"/>
      <c r="C151" s="48" t="s">
        <v>155</v>
      </c>
      <c r="D151" s="88">
        <f>D149+D150-D148</f>
        <v>32900.559999999998</v>
      </c>
      <c r="E151" s="89">
        <f t="shared" ref="E151:O151" si="50">E149+E150-E148</f>
        <v>32480</v>
      </c>
      <c r="F151" s="89">
        <f t="shared" si="50"/>
        <v>32480</v>
      </c>
      <c r="G151" s="89">
        <f t="shared" si="50"/>
        <v>32480</v>
      </c>
      <c r="H151" s="89">
        <f t="shared" si="50"/>
        <v>32480</v>
      </c>
      <c r="I151" s="89">
        <f t="shared" si="50"/>
        <v>32480</v>
      </c>
      <c r="J151" s="89">
        <f t="shared" si="50"/>
        <v>32480</v>
      </c>
      <c r="K151" s="89">
        <f t="shared" si="50"/>
        <v>32816</v>
      </c>
      <c r="L151" s="89">
        <f t="shared" si="50"/>
        <v>35504</v>
      </c>
      <c r="M151" s="89">
        <f t="shared" si="50"/>
        <v>32480</v>
      </c>
      <c r="N151" s="89">
        <f t="shared" si="50"/>
        <v>31920</v>
      </c>
      <c r="O151" s="89">
        <f t="shared" si="50"/>
        <v>27506</v>
      </c>
    </row>
    <row r="152" spans="2:17">
      <c r="B152" s="144"/>
      <c r="C152" s="48" t="s">
        <v>156</v>
      </c>
      <c r="D152" s="87">
        <f t="shared" ref="D152:O152" si="51">(D151*$T$14)/1000</f>
        <v>329.00559999999996</v>
      </c>
      <c r="E152" s="87">
        <f t="shared" si="51"/>
        <v>324.8</v>
      </c>
      <c r="F152" s="87">
        <f t="shared" si="51"/>
        <v>324.8</v>
      </c>
      <c r="G152" s="87">
        <f t="shared" si="51"/>
        <v>324.8</v>
      </c>
      <c r="H152" s="87">
        <f t="shared" si="51"/>
        <v>324.8</v>
      </c>
      <c r="I152" s="87">
        <f t="shared" si="51"/>
        <v>324.8</v>
      </c>
      <c r="J152" s="87">
        <f t="shared" si="51"/>
        <v>324.8</v>
      </c>
      <c r="K152" s="87">
        <f t="shared" si="51"/>
        <v>328.16</v>
      </c>
      <c r="L152" s="87">
        <f t="shared" si="51"/>
        <v>355.04</v>
      </c>
      <c r="M152" s="87">
        <f t="shared" si="51"/>
        <v>324.8</v>
      </c>
      <c r="N152" s="87">
        <f t="shared" si="51"/>
        <v>319.2</v>
      </c>
      <c r="O152" s="87">
        <f t="shared" si="51"/>
        <v>275.06</v>
      </c>
    </row>
    <row r="153" spans="2:17">
      <c r="B153" s="48" t="s">
        <v>134</v>
      </c>
      <c r="C153" s="48" t="s">
        <v>153</v>
      </c>
      <c r="D153" s="3">
        <f>C138</f>
        <v>630</v>
      </c>
      <c r="E153" s="3">
        <f t="shared" ref="E153:P153" si="52">D138</f>
        <v>630</v>
      </c>
      <c r="F153" s="3">
        <f t="shared" si="52"/>
        <v>880.00000000000011</v>
      </c>
      <c r="G153" s="3">
        <f t="shared" si="52"/>
        <v>630</v>
      </c>
      <c r="H153" s="3">
        <f t="shared" si="52"/>
        <v>630</v>
      </c>
      <c r="I153" s="3">
        <f t="shared" si="52"/>
        <v>630</v>
      </c>
      <c r="J153" s="3">
        <f t="shared" si="52"/>
        <v>720</v>
      </c>
      <c r="K153" s="3">
        <f t="shared" si="52"/>
        <v>990.00000000000011</v>
      </c>
      <c r="L153" s="3">
        <f t="shared" si="52"/>
        <v>990</v>
      </c>
      <c r="M153" s="3">
        <f t="shared" si="52"/>
        <v>990</v>
      </c>
      <c r="N153" s="3">
        <f t="shared" si="52"/>
        <v>540</v>
      </c>
      <c r="O153" s="3">
        <f t="shared" si="52"/>
        <v>630</v>
      </c>
      <c r="P153" s="37">
        <f t="shared" si="52"/>
        <v>8890</v>
      </c>
    </row>
    <row r="154" spans="2:17">
      <c r="B154" s="211" t="s">
        <v>159</v>
      </c>
      <c r="C154" s="48" t="s">
        <v>142</v>
      </c>
      <c r="D154" s="3">
        <f>C51</f>
        <v>1110.7800000000002</v>
      </c>
      <c r="E154" s="3">
        <f t="shared" ref="E154:N154" si="53">D51</f>
        <v>1386</v>
      </c>
      <c r="F154" s="3">
        <f t="shared" si="53"/>
        <v>1936</v>
      </c>
      <c r="G154" s="3">
        <f t="shared" si="53"/>
        <v>1386</v>
      </c>
      <c r="H154" s="3">
        <f t="shared" si="53"/>
        <v>1386</v>
      </c>
      <c r="I154" s="3">
        <f t="shared" si="53"/>
        <v>1386</v>
      </c>
      <c r="J154" s="3">
        <f t="shared" si="53"/>
        <v>1584</v>
      </c>
      <c r="K154" s="3">
        <f t="shared" si="53"/>
        <v>2178</v>
      </c>
      <c r="L154" s="3">
        <f t="shared" si="53"/>
        <v>2178</v>
      </c>
      <c r="M154" s="3">
        <f t="shared" si="53"/>
        <v>2178</v>
      </c>
      <c r="N154" s="3">
        <f t="shared" si="53"/>
        <v>1188</v>
      </c>
      <c r="O154" s="3">
        <f>N51</f>
        <v>1386</v>
      </c>
    </row>
    <row r="155" spans="2:17">
      <c r="B155" s="144"/>
      <c r="C155" s="48" t="s">
        <v>154</v>
      </c>
      <c r="D155" s="56">
        <f>C58</f>
        <v>13860</v>
      </c>
      <c r="E155" s="56">
        <f t="shared" ref="E155:N155" si="54">D58</f>
        <v>13860</v>
      </c>
      <c r="F155" s="56">
        <f t="shared" si="54"/>
        <v>19360</v>
      </c>
      <c r="G155" s="56">
        <f t="shared" si="54"/>
        <v>13860</v>
      </c>
      <c r="H155" s="56">
        <f t="shared" si="54"/>
        <v>13860</v>
      </c>
      <c r="I155" s="56">
        <f t="shared" si="54"/>
        <v>13860</v>
      </c>
      <c r="J155" s="56">
        <f t="shared" si="54"/>
        <v>15840</v>
      </c>
      <c r="K155" s="56">
        <f t="shared" si="54"/>
        <v>21780</v>
      </c>
      <c r="L155" s="56">
        <f t="shared" si="54"/>
        <v>21780</v>
      </c>
      <c r="M155" s="56">
        <f t="shared" si="54"/>
        <v>21780</v>
      </c>
      <c r="N155" s="56">
        <f t="shared" si="54"/>
        <v>11880</v>
      </c>
      <c r="O155" s="56">
        <f>N58</f>
        <v>13860</v>
      </c>
    </row>
    <row r="156" spans="2:17">
      <c r="B156" s="144"/>
      <c r="C156" s="48" t="s">
        <v>144</v>
      </c>
      <c r="D156" s="56">
        <f>C44</f>
        <v>1386</v>
      </c>
      <c r="E156" s="74">
        <f t="shared" ref="E156:O156" si="55">D44</f>
        <v>1936</v>
      </c>
      <c r="F156" s="74">
        <f t="shared" si="55"/>
        <v>1386</v>
      </c>
      <c r="G156" s="74">
        <f t="shared" si="55"/>
        <v>1386</v>
      </c>
      <c r="H156" s="74">
        <f t="shared" si="55"/>
        <v>1386</v>
      </c>
      <c r="I156" s="74">
        <f t="shared" si="55"/>
        <v>1584</v>
      </c>
      <c r="J156" s="74">
        <f t="shared" si="55"/>
        <v>2178</v>
      </c>
      <c r="K156" s="74">
        <f t="shared" si="55"/>
        <v>2178</v>
      </c>
      <c r="L156" s="74">
        <f t="shared" si="55"/>
        <v>2178</v>
      </c>
      <c r="M156" s="74">
        <f t="shared" si="55"/>
        <v>1188</v>
      </c>
      <c r="N156" s="74">
        <f t="shared" si="55"/>
        <v>1386</v>
      </c>
      <c r="O156" s="74">
        <f t="shared" si="55"/>
        <v>1415</v>
      </c>
    </row>
    <row r="157" spans="2:17">
      <c r="B157" s="144"/>
      <c r="C157" s="48" t="s">
        <v>155</v>
      </c>
      <c r="D157" s="88">
        <f>D155+D156-D154</f>
        <v>14135.22</v>
      </c>
      <c r="E157" s="89">
        <f t="shared" ref="E157:O157" si="56">E155+E156-E154</f>
        <v>14410</v>
      </c>
      <c r="F157" s="89">
        <f t="shared" si="56"/>
        <v>18810</v>
      </c>
      <c r="G157" s="89">
        <f t="shared" si="56"/>
        <v>13860</v>
      </c>
      <c r="H157" s="89">
        <f t="shared" si="56"/>
        <v>13860</v>
      </c>
      <c r="I157" s="89">
        <f t="shared" si="56"/>
        <v>14058</v>
      </c>
      <c r="J157" s="89">
        <f t="shared" si="56"/>
        <v>16434</v>
      </c>
      <c r="K157" s="89">
        <f t="shared" si="56"/>
        <v>21780</v>
      </c>
      <c r="L157" s="89">
        <f t="shared" si="56"/>
        <v>21780</v>
      </c>
      <c r="M157" s="89">
        <f t="shared" si="56"/>
        <v>20790</v>
      </c>
      <c r="N157" s="89">
        <f t="shared" si="56"/>
        <v>12078</v>
      </c>
      <c r="O157" s="89">
        <f t="shared" si="56"/>
        <v>13889</v>
      </c>
    </row>
    <row r="158" spans="2:17">
      <c r="B158" s="144"/>
      <c r="C158" s="48" t="s">
        <v>156</v>
      </c>
      <c r="D158" s="87">
        <f t="shared" ref="D158:O158" si="57">(D157*$T$15)/1000</f>
        <v>113.08175999999999</v>
      </c>
      <c r="E158" s="87">
        <f t="shared" si="57"/>
        <v>115.28</v>
      </c>
      <c r="F158" s="87">
        <f t="shared" si="57"/>
        <v>150.47999999999999</v>
      </c>
      <c r="G158" s="87">
        <f t="shared" si="57"/>
        <v>110.88</v>
      </c>
      <c r="H158" s="87">
        <f t="shared" si="57"/>
        <v>110.88</v>
      </c>
      <c r="I158" s="87">
        <f t="shared" si="57"/>
        <v>112.464</v>
      </c>
      <c r="J158" s="87">
        <f t="shared" si="57"/>
        <v>131.47200000000001</v>
      </c>
      <c r="K158" s="87">
        <f t="shared" si="57"/>
        <v>174.24</v>
      </c>
      <c r="L158" s="87">
        <f t="shared" si="57"/>
        <v>174.24</v>
      </c>
      <c r="M158" s="87">
        <f t="shared" si="57"/>
        <v>166.32</v>
      </c>
      <c r="N158" s="87">
        <f t="shared" si="57"/>
        <v>96.623999999999995</v>
      </c>
      <c r="O158" s="87">
        <f t="shared" si="57"/>
        <v>111.11199999999999</v>
      </c>
    </row>
    <row r="159" spans="2:17">
      <c r="B159" s="211" t="s">
        <v>160</v>
      </c>
      <c r="C159" s="48" t="s">
        <v>142</v>
      </c>
      <c r="D159" s="3">
        <f>C52</f>
        <v>1211.76</v>
      </c>
      <c r="E159" s="3">
        <f t="shared" ref="E159:O159" si="58">D52</f>
        <v>1512</v>
      </c>
      <c r="F159" s="3">
        <f t="shared" si="58"/>
        <v>2112</v>
      </c>
      <c r="G159" s="3">
        <f t="shared" si="58"/>
        <v>1512</v>
      </c>
      <c r="H159" s="3">
        <f t="shared" si="58"/>
        <v>1512</v>
      </c>
      <c r="I159" s="3">
        <f t="shared" si="58"/>
        <v>1512</v>
      </c>
      <c r="J159" s="3">
        <f t="shared" si="58"/>
        <v>1728</v>
      </c>
      <c r="K159" s="3">
        <f t="shared" si="58"/>
        <v>2376</v>
      </c>
      <c r="L159" s="3">
        <f t="shared" si="58"/>
        <v>2376</v>
      </c>
      <c r="M159" s="3">
        <f t="shared" si="58"/>
        <v>2376</v>
      </c>
      <c r="N159" s="3">
        <f t="shared" si="58"/>
        <v>1296</v>
      </c>
      <c r="O159" s="3">
        <f t="shared" si="58"/>
        <v>1512</v>
      </c>
      <c r="Q159">
        <v>1000</v>
      </c>
    </row>
    <row r="160" spans="2:17">
      <c r="B160" s="144"/>
      <c r="C160" s="48" t="s">
        <v>154</v>
      </c>
      <c r="D160" s="56">
        <f>C59</f>
        <v>15120</v>
      </c>
      <c r="E160" s="56">
        <f t="shared" ref="E160:O160" si="59">D59</f>
        <v>15120</v>
      </c>
      <c r="F160" s="56">
        <f t="shared" si="59"/>
        <v>21120</v>
      </c>
      <c r="G160" s="56">
        <f t="shared" si="59"/>
        <v>15120</v>
      </c>
      <c r="H160" s="56">
        <f t="shared" si="59"/>
        <v>15120</v>
      </c>
      <c r="I160" s="56">
        <f t="shared" si="59"/>
        <v>15120</v>
      </c>
      <c r="J160" s="56">
        <f t="shared" si="59"/>
        <v>17280</v>
      </c>
      <c r="K160" s="56">
        <f t="shared" si="59"/>
        <v>23760</v>
      </c>
      <c r="L160" s="56">
        <f t="shared" si="59"/>
        <v>23760</v>
      </c>
      <c r="M160" s="56">
        <f t="shared" si="59"/>
        <v>23760</v>
      </c>
      <c r="N160" s="56">
        <f t="shared" si="59"/>
        <v>12960</v>
      </c>
      <c r="O160" s="56">
        <f t="shared" si="59"/>
        <v>15120</v>
      </c>
    </row>
    <row r="161" spans="1:17">
      <c r="B161" s="144"/>
      <c r="C161" s="48" t="s">
        <v>144</v>
      </c>
      <c r="D161" s="56">
        <f>C45</f>
        <v>1512</v>
      </c>
      <c r="E161" s="74">
        <f t="shared" ref="E161:O161" si="60">D45</f>
        <v>2112</v>
      </c>
      <c r="F161" s="74">
        <f t="shared" si="60"/>
        <v>1512</v>
      </c>
      <c r="G161" s="74">
        <f t="shared" si="60"/>
        <v>1512</v>
      </c>
      <c r="H161" s="74">
        <f t="shared" si="60"/>
        <v>1512</v>
      </c>
      <c r="I161" s="74">
        <f t="shared" si="60"/>
        <v>1728</v>
      </c>
      <c r="J161" s="74">
        <f t="shared" si="60"/>
        <v>2376</v>
      </c>
      <c r="K161" s="74">
        <f t="shared" si="60"/>
        <v>2376</v>
      </c>
      <c r="L161" s="74">
        <f t="shared" si="60"/>
        <v>2376</v>
      </c>
      <c r="M161" s="74">
        <f t="shared" si="60"/>
        <v>1296</v>
      </c>
      <c r="N161" s="74">
        <f t="shared" si="60"/>
        <v>1512</v>
      </c>
      <c r="O161" s="74">
        <f t="shared" si="60"/>
        <v>1544</v>
      </c>
    </row>
    <row r="162" spans="1:17">
      <c r="B162" s="144"/>
      <c r="C162" s="48" t="s">
        <v>155</v>
      </c>
      <c r="D162" s="88">
        <f>D160+D161-D159</f>
        <v>15420.24</v>
      </c>
      <c r="E162" s="89">
        <f t="shared" ref="E162:O162" si="61">E160+E161-E159</f>
        <v>15720</v>
      </c>
      <c r="F162" s="89">
        <f t="shared" si="61"/>
        <v>20520</v>
      </c>
      <c r="G162" s="89">
        <f t="shared" si="61"/>
        <v>15120</v>
      </c>
      <c r="H162" s="89">
        <f t="shared" si="61"/>
        <v>15120</v>
      </c>
      <c r="I162" s="89">
        <f t="shared" si="61"/>
        <v>15336</v>
      </c>
      <c r="J162" s="89">
        <f t="shared" si="61"/>
        <v>17928</v>
      </c>
      <c r="K162" s="89">
        <f t="shared" si="61"/>
        <v>23760</v>
      </c>
      <c r="L162" s="89">
        <f t="shared" si="61"/>
        <v>23760</v>
      </c>
      <c r="M162" s="89">
        <f t="shared" si="61"/>
        <v>22680</v>
      </c>
      <c r="N162" s="89">
        <f t="shared" si="61"/>
        <v>13176</v>
      </c>
      <c r="O162" s="89">
        <f t="shared" si="61"/>
        <v>15152</v>
      </c>
    </row>
    <row r="163" spans="1:17">
      <c r="B163" s="144"/>
      <c r="C163" s="48" t="s">
        <v>156</v>
      </c>
      <c r="D163" s="87">
        <f t="shared" ref="D163:O163" si="62">(D162*$T$16)/1000</f>
        <v>107.94167999999999</v>
      </c>
      <c r="E163" s="87">
        <f t="shared" si="62"/>
        <v>110.04</v>
      </c>
      <c r="F163" s="87">
        <f t="shared" si="62"/>
        <v>143.63999999999999</v>
      </c>
      <c r="G163" s="87">
        <f t="shared" si="62"/>
        <v>105.84</v>
      </c>
      <c r="H163" s="87">
        <f t="shared" si="62"/>
        <v>105.84</v>
      </c>
      <c r="I163" s="87">
        <f t="shared" si="62"/>
        <v>107.352</v>
      </c>
      <c r="J163" s="87">
        <f t="shared" si="62"/>
        <v>125.496</v>
      </c>
      <c r="K163" s="87">
        <f t="shared" si="62"/>
        <v>166.32</v>
      </c>
      <c r="L163" s="87">
        <f t="shared" si="62"/>
        <v>166.32</v>
      </c>
      <c r="M163" s="87">
        <f t="shared" si="62"/>
        <v>158.76</v>
      </c>
      <c r="N163" s="87">
        <f t="shared" si="62"/>
        <v>92.231999999999999</v>
      </c>
      <c r="O163" s="87">
        <f t="shared" si="62"/>
        <v>106.06399999999999</v>
      </c>
    </row>
    <row r="164" spans="1:17">
      <c r="B164" s="48" t="s">
        <v>161</v>
      </c>
      <c r="C164" s="56"/>
      <c r="D164" s="87">
        <f>D147+D152+D158+D163</f>
        <v>761.53264000000001</v>
      </c>
      <c r="E164" s="87">
        <f t="shared" ref="E164:O164" si="63">E147+E152+E158+E163</f>
        <v>758.92</v>
      </c>
      <c r="F164" s="87">
        <f t="shared" si="63"/>
        <v>827.72</v>
      </c>
      <c r="G164" s="87">
        <f t="shared" si="63"/>
        <v>750.32</v>
      </c>
      <c r="H164" s="87">
        <f t="shared" si="63"/>
        <v>750.32</v>
      </c>
      <c r="I164" s="87">
        <f t="shared" si="63"/>
        <v>753.41600000000005</v>
      </c>
      <c r="J164" s="87">
        <f t="shared" si="63"/>
        <v>790.56799999999998</v>
      </c>
      <c r="K164" s="87">
        <f t="shared" si="63"/>
        <v>879.68000000000006</v>
      </c>
      <c r="L164" s="87">
        <f t="shared" si="63"/>
        <v>923.83999999999992</v>
      </c>
      <c r="M164" s="87">
        <f t="shared" si="63"/>
        <v>858.68000000000006</v>
      </c>
      <c r="N164" s="87">
        <f t="shared" si="63"/>
        <v>713.25599999999997</v>
      </c>
      <c r="O164" s="87">
        <f t="shared" si="63"/>
        <v>669.05899999999997</v>
      </c>
    </row>
    <row r="166" spans="1:17">
      <c r="C166" s="74" t="s">
        <v>3</v>
      </c>
      <c r="D166" s="74" t="s">
        <v>4</v>
      </c>
      <c r="E166" s="74" t="s">
        <v>5</v>
      </c>
      <c r="F166" s="74" t="s">
        <v>6</v>
      </c>
      <c r="G166" s="74" t="s">
        <v>7</v>
      </c>
      <c r="H166" s="74" t="s">
        <v>8</v>
      </c>
      <c r="I166" s="74" t="s">
        <v>9</v>
      </c>
      <c r="J166" s="74" t="s">
        <v>10</v>
      </c>
      <c r="K166" s="74" t="s">
        <v>96</v>
      </c>
      <c r="L166" s="74" t="s">
        <v>12</v>
      </c>
      <c r="M166" s="74" t="s">
        <v>13</v>
      </c>
      <c r="N166" s="74" t="s">
        <v>14</v>
      </c>
      <c r="P166" s="27" t="s">
        <v>247</v>
      </c>
      <c r="Q166" s="46" t="s">
        <v>249</v>
      </c>
    </row>
    <row r="167" spans="1:17">
      <c r="B167" s="27" t="s">
        <v>244</v>
      </c>
      <c r="C167">
        <v>4</v>
      </c>
      <c r="D167">
        <v>4</v>
      </c>
      <c r="E167">
        <v>4</v>
      </c>
      <c r="F167">
        <v>4</v>
      </c>
      <c r="G167">
        <v>4</v>
      </c>
      <c r="H167">
        <v>4</v>
      </c>
      <c r="I167">
        <v>4</v>
      </c>
      <c r="J167">
        <v>4</v>
      </c>
      <c r="K167">
        <v>4</v>
      </c>
      <c r="L167">
        <v>4</v>
      </c>
      <c r="M167">
        <v>4</v>
      </c>
      <c r="N167">
        <v>4</v>
      </c>
      <c r="P167">
        <f>MAX(R4:U4)</f>
        <v>42</v>
      </c>
      <c r="Q167">
        <v>22</v>
      </c>
    </row>
    <row r="168" spans="1:17">
      <c r="B168" s="27" t="s">
        <v>245</v>
      </c>
      <c r="C168">
        <v>4</v>
      </c>
      <c r="D168">
        <v>4</v>
      </c>
      <c r="E168">
        <v>4</v>
      </c>
      <c r="F168">
        <v>4</v>
      </c>
      <c r="G168">
        <v>4</v>
      </c>
      <c r="H168">
        <v>4</v>
      </c>
      <c r="I168">
        <v>4</v>
      </c>
      <c r="J168">
        <v>4</v>
      </c>
      <c r="K168">
        <v>4</v>
      </c>
      <c r="L168">
        <v>4</v>
      </c>
      <c r="M168">
        <v>4</v>
      </c>
      <c r="N168">
        <v>4</v>
      </c>
      <c r="Q168">
        <v>22</v>
      </c>
    </row>
    <row r="169" spans="1:17">
      <c r="B169" s="46" t="s">
        <v>246</v>
      </c>
      <c r="C169">
        <v>5</v>
      </c>
      <c r="D169">
        <v>5</v>
      </c>
      <c r="E169">
        <v>5</v>
      </c>
      <c r="F169">
        <v>5</v>
      </c>
      <c r="G169">
        <v>5</v>
      </c>
      <c r="H169">
        <v>5</v>
      </c>
      <c r="I169">
        <v>5</v>
      </c>
      <c r="J169">
        <v>5</v>
      </c>
      <c r="K169">
        <v>5</v>
      </c>
      <c r="L169">
        <v>5</v>
      </c>
      <c r="M169">
        <v>5</v>
      </c>
      <c r="N169">
        <v>5</v>
      </c>
      <c r="Q169">
        <v>22</v>
      </c>
    </row>
    <row r="170" spans="1:17">
      <c r="B170" s="46"/>
    </row>
    <row r="171" spans="1:17">
      <c r="A171" s="27" t="s">
        <v>250</v>
      </c>
      <c r="B171" s="46" t="s">
        <v>251</v>
      </c>
      <c r="C171">
        <v>0</v>
      </c>
      <c r="D171">
        <v>0</v>
      </c>
      <c r="E171">
        <v>0</v>
      </c>
      <c r="F171">
        <v>0</v>
      </c>
      <c r="G171">
        <v>0</v>
      </c>
      <c r="H171">
        <v>0</v>
      </c>
      <c r="I171">
        <v>0</v>
      </c>
      <c r="J171">
        <v>0</v>
      </c>
      <c r="K171">
        <v>2</v>
      </c>
      <c r="L171">
        <v>0</v>
      </c>
      <c r="M171">
        <v>0</v>
      </c>
      <c r="N171">
        <v>0</v>
      </c>
      <c r="P171" s="27" t="s">
        <v>256</v>
      </c>
    </row>
    <row r="172" spans="1:17">
      <c r="A172" s="27" t="s">
        <v>254</v>
      </c>
      <c r="B172" s="46" t="s">
        <v>252</v>
      </c>
      <c r="C172">
        <v>0</v>
      </c>
      <c r="D172">
        <v>0</v>
      </c>
      <c r="E172">
        <v>0</v>
      </c>
      <c r="F172">
        <v>0</v>
      </c>
      <c r="G172">
        <v>0</v>
      </c>
      <c r="H172">
        <v>0</v>
      </c>
      <c r="I172">
        <v>0</v>
      </c>
      <c r="J172">
        <v>0</v>
      </c>
      <c r="K172">
        <v>3</v>
      </c>
      <c r="L172">
        <v>0</v>
      </c>
      <c r="M172">
        <v>0</v>
      </c>
      <c r="N172">
        <v>0</v>
      </c>
      <c r="P172">
        <v>1.5</v>
      </c>
    </row>
    <row r="173" spans="1:17">
      <c r="A173" s="27" t="s">
        <v>255</v>
      </c>
      <c r="B173" s="46" t="s">
        <v>253</v>
      </c>
      <c r="C173">
        <v>0</v>
      </c>
      <c r="D173">
        <v>0</v>
      </c>
      <c r="E173">
        <v>5</v>
      </c>
      <c r="F173">
        <v>0</v>
      </c>
      <c r="G173">
        <v>0</v>
      </c>
      <c r="H173">
        <v>0</v>
      </c>
      <c r="I173">
        <v>2</v>
      </c>
      <c r="J173">
        <v>7</v>
      </c>
      <c r="K173">
        <v>7</v>
      </c>
      <c r="L173">
        <v>7</v>
      </c>
      <c r="M173">
        <v>0</v>
      </c>
      <c r="N173">
        <v>0</v>
      </c>
    </row>
    <row r="174" spans="1:17">
      <c r="B174" s="46"/>
    </row>
    <row r="176" spans="1:17">
      <c r="B176" s="218" t="s">
        <v>164</v>
      </c>
      <c r="C176" s="218"/>
      <c r="D176" s="218"/>
      <c r="E176" s="218"/>
      <c r="F176" s="218"/>
      <c r="G176" s="218"/>
      <c r="H176" s="218"/>
      <c r="I176" s="218"/>
      <c r="J176" s="218"/>
      <c r="K176" s="218"/>
      <c r="L176" s="218"/>
      <c r="M176" s="218"/>
      <c r="N176" s="218"/>
      <c r="O176" s="218"/>
    </row>
    <row r="177" spans="2:17">
      <c r="B177" s="56"/>
      <c r="C177" s="56" t="s">
        <v>3</v>
      </c>
      <c r="D177" s="56" t="s">
        <v>4</v>
      </c>
      <c r="E177" s="56" t="s">
        <v>5</v>
      </c>
      <c r="F177" s="56" t="s">
        <v>6</v>
      </c>
      <c r="G177" s="56" t="s">
        <v>7</v>
      </c>
      <c r="H177" s="56" t="s">
        <v>8</v>
      </c>
      <c r="I177" s="56" t="s">
        <v>9</v>
      </c>
      <c r="J177" s="56" t="s">
        <v>10</v>
      </c>
      <c r="K177" s="56" t="s">
        <v>96</v>
      </c>
      <c r="L177" s="56" t="s">
        <v>12</v>
      </c>
      <c r="M177" s="56" t="s">
        <v>13</v>
      </c>
      <c r="N177" s="56" t="s">
        <v>14</v>
      </c>
      <c r="O177" s="65" t="s">
        <v>123</v>
      </c>
    </row>
    <row r="178" spans="2:17">
      <c r="B178" s="66" t="s">
        <v>133</v>
      </c>
      <c r="C178" s="56"/>
      <c r="D178" s="56"/>
      <c r="E178" s="56"/>
      <c r="F178" s="56"/>
      <c r="G178" s="56"/>
      <c r="H178" s="56"/>
      <c r="I178" s="56"/>
      <c r="J178" s="56"/>
      <c r="K178" s="56"/>
      <c r="L178" s="56"/>
      <c r="M178" s="56"/>
      <c r="N178" s="56"/>
      <c r="O178" s="56"/>
    </row>
    <row r="179" spans="2:17">
      <c r="B179" s="48" t="s">
        <v>165</v>
      </c>
      <c r="C179" s="56">
        <f>C8</f>
        <v>24</v>
      </c>
      <c r="D179" s="74">
        <f t="shared" ref="D179:N179" si="64">D8</f>
        <v>24</v>
      </c>
      <c r="E179" s="74">
        <f t="shared" si="64"/>
        <v>24</v>
      </c>
      <c r="F179" s="74">
        <f t="shared" si="64"/>
        <v>24</v>
      </c>
      <c r="G179" s="74">
        <f t="shared" si="64"/>
        <v>24</v>
      </c>
      <c r="H179" s="74">
        <f t="shared" si="64"/>
        <v>24</v>
      </c>
      <c r="I179" s="74">
        <f t="shared" si="64"/>
        <v>24</v>
      </c>
      <c r="J179" s="74">
        <f t="shared" si="64"/>
        <v>24</v>
      </c>
      <c r="K179" s="74">
        <f t="shared" si="64"/>
        <v>26</v>
      </c>
      <c r="L179" s="74">
        <f t="shared" si="64"/>
        <v>24</v>
      </c>
      <c r="M179" s="74">
        <f t="shared" si="64"/>
        <v>24</v>
      </c>
      <c r="N179" s="74">
        <f t="shared" si="64"/>
        <v>21</v>
      </c>
      <c r="O179" s="56">
        <f>SUM(C179:N179)</f>
        <v>287</v>
      </c>
    </row>
    <row r="180" spans="2:17">
      <c r="B180" s="48" t="s">
        <v>284</v>
      </c>
      <c r="C180" s="48">
        <v>8</v>
      </c>
      <c r="D180" s="48">
        <v>8</v>
      </c>
      <c r="E180" s="48">
        <v>8</v>
      </c>
      <c r="F180" s="48">
        <v>8</v>
      </c>
      <c r="G180" s="48">
        <v>8</v>
      </c>
      <c r="H180" s="48">
        <v>8</v>
      </c>
      <c r="I180" s="48">
        <v>8</v>
      </c>
      <c r="J180" s="48">
        <v>8</v>
      </c>
      <c r="K180" s="48">
        <v>8</v>
      </c>
      <c r="L180" s="48">
        <v>8</v>
      </c>
      <c r="M180" s="48">
        <v>8</v>
      </c>
      <c r="N180" s="48">
        <v>8</v>
      </c>
      <c r="O180" s="56">
        <v>8</v>
      </c>
    </row>
    <row r="181" spans="2:17">
      <c r="B181" s="49" t="s">
        <v>167</v>
      </c>
      <c r="C181" s="56">
        <f>C9</f>
        <v>29</v>
      </c>
      <c r="D181" s="74">
        <f t="shared" ref="D181:N181" si="65">D9</f>
        <v>29</v>
      </c>
      <c r="E181" s="74">
        <f t="shared" si="65"/>
        <v>29</v>
      </c>
      <c r="F181" s="74">
        <f t="shared" si="65"/>
        <v>29</v>
      </c>
      <c r="G181" s="74">
        <f t="shared" si="65"/>
        <v>29</v>
      </c>
      <c r="H181" s="74">
        <f t="shared" si="65"/>
        <v>29</v>
      </c>
      <c r="I181" s="74">
        <f t="shared" si="65"/>
        <v>29</v>
      </c>
      <c r="J181" s="74">
        <f t="shared" si="65"/>
        <v>29</v>
      </c>
      <c r="K181" s="74">
        <f t="shared" si="65"/>
        <v>32</v>
      </c>
      <c r="L181" s="74">
        <f t="shared" si="65"/>
        <v>29</v>
      </c>
      <c r="M181" s="74">
        <f t="shared" si="65"/>
        <v>29</v>
      </c>
      <c r="N181" s="74">
        <f t="shared" si="65"/>
        <v>24</v>
      </c>
      <c r="O181" s="56">
        <f>SUM(C181:N181)</f>
        <v>346</v>
      </c>
    </row>
    <row r="182" spans="2:17">
      <c r="B182" s="49" t="s">
        <v>285</v>
      </c>
      <c r="C182" s="48">
        <v>8</v>
      </c>
      <c r="D182" s="48">
        <v>8</v>
      </c>
      <c r="E182" s="48">
        <v>8</v>
      </c>
      <c r="F182" s="48">
        <v>8</v>
      </c>
      <c r="G182" s="48">
        <v>8</v>
      </c>
      <c r="H182" s="48">
        <v>8</v>
      </c>
      <c r="I182" s="48">
        <v>8</v>
      </c>
      <c r="J182" s="48">
        <v>8</v>
      </c>
      <c r="K182" s="48">
        <v>8</v>
      </c>
      <c r="L182" s="48">
        <v>8</v>
      </c>
      <c r="M182" s="48">
        <v>8</v>
      </c>
      <c r="N182" s="48">
        <v>8</v>
      </c>
      <c r="O182" s="56">
        <v>8</v>
      </c>
    </row>
    <row r="183" spans="2:17">
      <c r="B183" s="66" t="s">
        <v>134</v>
      </c>
      <c r="C183" s="56"/>
      <c r="D183" s="56"/>
      <c r="E183" s="56"/>
      <c r="F183" s="56"/>
      <c r="G183" s="56"/>
      <c r="H183" s="56"/>
      <c r="I183" s="56"/>
      <c r="J183" s="56"/>
      <c r="K183" s="56"/>
      <c r="L183" s="56"/>
      <c r="M183" s="56"/>
      <c r="N183" s="56"/>
      <c r="O183" s="56"/>
    </row>
    <row r="184" spans="2:17">
      <c r="B184" s="48" t="s">
        <v>165</v>
      </c>
      <c r="C184" s="56">
        <f>C10</f>
        <v>6</v>
      </c>
      <c r="D184" s="74">
        <f t="shared" ref="D184:N184" si="66">D10</f>
        <v>6</v>
      </c>
      <c r="E184" s="74">
        <f t="shared" si="66"/>
        <v>8</v>
      </c>
      <c r="F184" s="74">
        <f t="shared" si="66"/>
        <v>6</v>
      </c>
      <c r="G184" s="74">
        <f t="shared" si="66"/>
        <v>6</v>
      </c>
      <c r="H184" s="74">
        <f t="shared" si="66"/>
        <v>6</v>
      </c>
      <c r="I184" s="74">
        <f t="shared" si="66"/>
        <v>7</v>
      </c>
      <c r="J184" s="74">
        <f t="shared" si="66"/>
        <v>9</v>
      </c>
      <c r="K184" s="74">
        <f t="shared" si="66"/>
        <v>9</v>
      </c>
      <c r="L184" s="74">
        <f t="shared" si="66"/>
        <v>9</v>
      </c>
      <c r="M184" s="74">
        <f t="shared" si="66"/>
        <v>5</v>
      </c>
      <c r="N184" s="74">
        <f t="shared" si="66"/>
        <v>6</v>
      </c>
      <c r="O184" s="56">
        <f>SUM(C184:N184)</f>
        <v>83</v>
      </c>
    </row>
    <row r="185" spans="2:17">
      <c r="B185" s="48" t="s">
        <v>166</v>
      </c>
      <c r="C185" s="56">
        <v>3</v>
      </c>
      <c r="D185" s="56">
        <v>3</v>
      </c>
      <c r="E185" s="56">
        <v>3</v>
      </c>
      <c r="F185" s="56">
        <v>3</v>
      </c>
      <c r="G185" s="56">
        <v>3</v>
      </c>
      <c r="H185" s="56">
        <v>3</v>
      </c>
      <c r="I185" s="56">
        <v>3</v>
      </c>
      <c r="J185" s="56">
        <v>3</v>
      </c>
      <c r="K185" s="56">
        <v>3</v>
      </c>
      <c r="L185" s="56">
        <v>3</v>
      </c>
      <c r="M185" s="56">
        <v>3</v>
      </c>
      <c r="N185" s="56">
        <v>3</v>
      </c>
      <c r="O185" s="56">
        <v>3</v>
      </c>
    </row>
    <row r="186" spans="2:17">
      <c r="B186" s="49" t="s">
        <v>167</v>
      </c>
      <c r="C186" s="56">
        <f>C11</f>
        <v>7</v>
      </c>
      <c r="D186" s="74">
        <f t="shared" ref="D186:N186" si="67">D11</f>
        <v>7</v>
      </c>
      <c r="E186" s="74">
        <f t="shared" si="67"/>
        <v>10</v>
      </c>
      <c r="F186" s="74">
        <f t="shared" si="67"/>
        <v>7</v>
      </c>
      <c r="G186" s="74">
        <f t="shared" si="67"/>
        <v>7</v>
      </c>
      <c r="H186" s="74">
        <f t="shared" si="67"/>
        <v>7</v>
      </c>
      <c r="I186" s="74">
        <f t="shared" si="67"/>
        <v>8</v>
      </c>
      <c r="J186" s="74">
        <f t="shared" si="67"/>
        <v>11</v>
      </c>
      <c r="K186" s="74">
        <f t="shared" si="67"/>
        <v>11</v>
      </c>
      <c r="L186" s="74">
        <f t="shared" si="67"/>
        <v>11</v>
      </c>
      <c r="M186" s="74">
        <f t="shared" si="67"/>
        <v>6</v>
      </c>
      <c r="N186" s="74">
        <f t="shared" si="67"/>
        <v>7</v>
      </c>
      <c r="O186" s="56">
        <f>SUM(C186:N186)</f>
        <v>99</v>
      </c>
    </row>
    <row r="187" spans="2:17">
      <c r="B187" s="49" t="s">
        <v>168</v>
      </c>
      <c r="C187" s="56">
        <v>5</v>
      </c>
      <c r="D187" s="56">
        <v>5</v>
      </c>
      <c r="E187" s="56">
        <v>5</v>
      </c>
      <c r="F187" s="56">
        <v>5</v>
      </c>
      <c r="G187" s="56">
        <v>5</v>
      </c>
      <c r="H187" s="56">
        <v>5</v>
      </c>
      <c r="I187" s="56">
        <v>5</v>
      </c>
      <c r="J187" s="56">
        <v>5</v>
      </c>
      <c r="K187" s="56">
        <v>5</v>
      </c>
      <c r="L187" s="56">
        <v>5</v>
      </c>
      <c r="M187" s="56">
        <v>5</v>
      </c>
      <c r="N187" s="56">
        <v>5</v>
      </c>
      <c r="O187" s="56">
        <v>5</v>
      </c>
    </row>
    <row r="188" spans="2:17">
      <c r="B188" s="49" t="s">
        <v>169</v>
      </c>
      <c r="C188" s="56">
        <f>C179+C181+C184+C186</f>
        <v>66</v>
      </c>
      <c r="D188" s="56">
        <f t="shared" ref="D188:N188" si="68">D179+D181+D184+D186</f>
        <v>66</v>
      </c>
      <c r="E188" s="56">
        <f t="shared" si="68"/>
        <v>71</v>
      </c>
      <c r="F188" s="56">
        <f t="shared" si="68"/>
        <v>66</v>
      </c>
      <c r="G188" s="56">
        <f t="shared" si="68"/>
        <v>66</v>
      </c>
      <c r="H188" s="56">
        <f t="shared" si="68"/>
        <v>66</v>
      </c>
      <c r="I188" s="56">
        <f t="shared" si="68"/>
        <v>68</v>
      </c>
      <c r="J188" s="56">
        <f t="shared" si="68"/>
        <v>73</v>
      </c>
      <c r="K188" s="56">
        <f t="shared" si="68"/>
        <v>78</v>
      </c>
      <c r="L188" s="56">
        <f t="shared" si="68"/>
        <v>73</v>
      </c>
      <c r="M188" s="56">
        <f t="shared" si="68"/>
        <v>64</v>
      </c>
      <c r="N188" s="56">
        <f t="shared" si="68"/>
        <v>58</v>
      </c>
      <c r="O188" s="56">
        <f>SUM(C188:N188)</f>
        <v>815</v>
      </c>
    </row>
    <row r="189" spans="2:17">
      <c r="B189" s="49" t="s">
        <v>170</v>
      </c>
      <c r="C189" s="56">
        <v>13</v>
      </c>
      <c r="D189" s="56">
        <v>13</v>
      </c>
      <c r="E189" s="56">
        <v>13</v>
      </c>
      <c r="F189" s="56">
        <v>13</v>
      </c>
      <c r="G189" s="56">
        <v>13</v>
      </c>
      <c r="H189" s="56">
        <v>13</v>
      </c>
      <c r="I189" s="56">
        <v>13</v>
      </c>
      <c r="J189" s="56">
        <v>13</v>
      </c>
      <c r="K189" s="56">
        <v>13</v>
      </c>
      <c r="L189" s="56">
        <v>13</v>
      </c>
      <c r="M189" s="56">
        <v>13</v>
      </c>
      <c r="N189" s="56">
        <v>13</v>
      </c>
      <c r="O189" s="56">
        <v>13</v>
      </c>
    </row>
    <row r="190" spans="2:17">
      <c r="B190" s="49" t="s">
        <v>171</v>
      </c>
      <c r="C190" s="59">
        <f t="shared" ref="C190:N190" si="69">$Q167*$R9*(C167*$R4+C168*$S4+C169*$P167)/1000</f>
        <v>80.608000000000004</v>
      </c>
      <c r="D190" s="59">
        <f t="shared" si="69"/>
        <v>80.608000000000004</v>
      </c>
      <c r="E190" s="59">
        <f t="shared" si="69"/>
        <v>80.608000000000004</v>
      </c>
      <c r="F190" s="59">
        <f t="shared" si="69"/>
        <v>80.608000000000004</v>
      </c>
      <c r="G190" s="59">
        <f t="shared" si="69"/>
        <v>80.608000000000004</v>
      </c>
      <c r="H190" s="59">
        <f t="shared" si="69"/>
        <v>80.608000000000004</v>
      </c>
      <c r="I190" s="59">
        <f t="shared" si="69"/>
        <v>80.608000000000004</v>
      </c>
      <c r="J190" s="59">
        <f t="shared" si="69"/>
        <v>80.608000000000004</v>
      </c>
      <c r="K190" s="59">
        <f t="shared" si="69"/>
        <v>80.608000000000004</v>
      </c>
      <c r="L190" s="59">
        <f t="shared" si="69"/>
        <v>80.608000000000004</v>
      </c>
      <c r="M190" s="59">
        <f t="shared" si="69"/>
        <v>80.608000000000004</v>
      </c>
      <c r="N190" s="59">
        <f t="shared" si="69"/>
        <v>80.608000000000004</v>
      </c>
      <c r="O190" s="59">
        <f>SUM(C190:N190)</f>
        <v>967.29599999999982</v>
      </c>
      <c r="Q190">
        <v>1000</v>
      </c>
    </row>
    <row r="191" spans="2:17">
      <c r="B191" s="49" t="s">
        <v>172</v>
      </c>
      <c r="C191" s="59">
        <f t="shared" ref="C191:N191" si="70">($P172*$R9*(C171*$R4+C172*$S4+C173*$P167))/1000</f>
        <v>0</v>
      </c>
      <c r="D191" s="59">
        <f t="shared" si="70"/>
        <v>0</v>
      </c>
      <c r="E191" s="59">
        <f t="shared" si="70"/>
        <v>2.52</v>
      </c>
      <c r="F191" s="59">
        <f t="shared" si="70"/>
        <v>0</v>
      </c>
      <c r="G191" s="59">
        <f t="shared" si="70"/>
        <v>0</v>
      </c>
      <c r="H191" s="59">
        <f t="shared" si="70"/>
        <v>0</v>
      </c>
      <c r="I191" s="59">
        <f t="shared" si="70"/>
        <v>1.008</v>
      </c>
      <c r="J191" s="59">
        <f t="shared" si="70"/>
        <v>3.528</v>
      </c>
      <c r="K191" s="59">
        <f t="shared" si="70"/>
        <v>5.3520000000000003</v>
      </c>
      <c r="L191" s="59">
        <f t="shared" si="70"/>
        <v>3.528</v>
      </c>
      <c r="M191" s="59">
        <f t="shared" si="70"/>
        <v>0</v>
      </c>
      <c r="N191" s="59">
        <f t="shared" si="70"/>
        <v>0</v>
      </c>
      <c r="O191" s="59">
        <f>SUM(C191:N191)</f>
        <v>15.936000000000002</v>
      </c>
    </row>
    <row r="192" spans="2:17">
      <c r="B192" s="49" t="s">
        <v>173</v>
      </c>
      <c r="C192" s="87">
        <f>C190+C191</f>
        <v>80.608000000000004</v>
      </c>
      <c r="D192" s="87">
        <f t="shared" ref="D192:N192" si="71">D190+D191</f>
        <v>80.608000000000004</v>
      </c>
      <c r="E192" s="87">
        <f t="shared" si="71"/>
        <v>83.128</v>
      </c>
      <c r="F192" s="87">
        <f t="shared" si="71"/>
        <v>80.608000000000004</v>
      </c>
      <c r="G192" s="87">
        <f t="shared" si="71"/>
        <v>80.608000000000004</v>
      </c>
      <c r="H192" s="87">
        <f t="shared" si="71"/>
        <v>80.608000000000004</v>
      </c>
      <c r="I192" s="87">
        <f t="shared" si="71"/>
        <v>81.616</v>
      </c>
      <c r="J192" s="87">
        <f t="shared" si="71"/>
        <v>84.13600000000001</v>
      </c>
      <c r="K192" s="87">
        <f t="shared" si="71"/>
        <v>85.960000000000008</v>
      </c>
      <c r="L192" s="87">
        <f t="shared" si="71"/>
        <v>84.13600000000001</v>
      </c>
      <c r="M192" s="87">
        <f t="shared" si="71"/>
        <v>80.608000000000004</v>
      </c>
      <c r="N192" s="87">
        <f t="shared" si="71"/>
        <v>80.608000000000004</v>
      </c>
      <c r="O192" s="59">
        <f>SUM(C192:N192)</f>
        <v>983.23199999999997</v>
      </c>
    </row>
    <row r="193" spans="2:15">
      <c r="B193" s="49" t="s">
        <v>174</v>
      </c>
      <c r="C193" s="59">
        <f>(C192+C191)*0.8</f>
        <v>64.486400000000003</v>
      </c>
      <c r="D193" s="59">
        <f t="shared" ref="D193:N193" si="72">(D192+D191)*0.8</f>
        <v>64.486400000000003</v>
      </c>
      <c r="E193" s="59">
        <f t="shared" si="72"/>
        <v>68.5184</v>
      </c>
      <c r="F193" s="59">
        <f t="shared" si="72"/>
        <v>64.486400000000003</v>
      </c>
      <c r="G193" s="59">
        <f t="shared" si="72"/>
        <v>64.486400000000003</v>
      </c>
      <c r="H193" s="59">
        <f t="shared" si="72"/>
        <v>64.486400000000003</v>
      </c>
      <c r="I193" s="59">
        <f t="shared" si="72"/>
        <v>66.099199999999996</v>
      </c>
      <c r="J193" s="59">
        <f t="shared" si="72"/>
        <v>70.131200000000021</v>
      </c>
      <c r="K193" s="59">
        <f t="shared" si="72"/>
        <v>73.049600000000012</v>
      </c>
      <c r="L193" s="59">
        <f t="shared" si="72"/>
        <v>70.131200000000021</v>
      </c>
      <c r="M193" s="59">
        <f t="shared" si="72"/>
        <v>64.486400000000003</v>
      </c>
      <c r="N193" s="59">
        <f t="shared" si="72"/>
        <v>64.486400000000003</v>
      </c>
      <c r="O193" s="59">
        <f>SUM(C193:N193)</f>
        <v>799.33440000000007</v>
      </c>
    </row>
    <row r="194" spans="2:15">
      <c r="B194" s="49" t="s">
        <v>175</v>
      </c>
      <c r="C194" s="87">
        <f>C192+C193</f>
        <v>145.09440000000001</v>
      </c>
      <c r="D194" s="87">
        <f t="shared" ref="D194:N194" si="73">D192+D193</f>
        <v>145.09440000000001</v>
      </c>
      <c r="E194" s="87">
        <f t="shared" si="73"/>
        <v>151.6464</v>
      </c>
      <c r="F194" s="87">
        <f t="shared" si="73"/>
        <v>145.09440000000001</v>
      </c>
      <c r="G194" s="87">
        <f t="shared" si="73"/>
        <v>145.09440000000001</v>
      </c>
      <c r="H194" s="87">
        <f t="shared" si="73"/>
        <v>145.09440000000001</v>
      </c>
      <c r="I194" s="87">
        <f t="shared" si="73"/>
        <v>147.71519999999998</v>
      </c>
      <c r="J194" s="87">
        <f t="shared" si="73"/>
        <v>154.26720000000003</v>
      </c>
      <c r="K194" s="87">
        <f t="shared" si="73"/>
        <v>159.00960000000003</v>
      </c>
      <c r="L194" s="87">
        <f t="shared" si="73"/>
        <v>154.26720000000003</v>
      </c>
      <c r="M194" s="87">
        <f t="shared" si="73"/>
        <v>145.09440000000001</v>
      </c>
      <c r="N194" s="87">
        <f t="shared" si="73"/>
        <v>145.09440000000001</v>
      </c>
      <c r="O194" s="59">
        <f>SUM(C194:N194)</f>
        <v>1782.5663999999999</v>
      </c>
    </row>
    <row r="195" spans="2:15">
      <c r="B195" s="46"/>
      <c r="C195" s="72"/>
      <c r="D195" s="72"/>
      <c r="E195" s="72"/>
      <c r="F195" s="72"/>
      <c r="G195" s="72"/>
      <c r="H195" s="72"/>
      <c r="I195" s="72"/>
      <c r="J195" s="72"/>
      <c r="K195" s="72"/>
      <c r="L195" s="72"/>
      <c r="M195" s="72"/>
      <c r="N195" s="72"/>
      <c r="O195" s="11"/>
    </row>
    <row r="197" spans="2:15">
      <c r="B197" s="219" t="s">
        <v>125</v>
      </c>
      <c r="C197" s="220"/>
      <c r="D197" s="220"/>
      <c r="E197" s="220"/>
      <c r="F197" s="220"/>
      <c r="G197" s="220"/>
      <c r="H197" s="220"/>
      <c r="I197" s="220"/>
      <c r="J197" s="220"/>
      <c r="K197" s="220"/>
      <c r="L197" s="220"/>
      <c r="M197" s="220"/>
      <c r="N197" s="220"/>
      <c r="O197" s="221"/>
    </row>
    <row r="198" spans="2:15">
      <c r="B198" s="56"/>
      <c r="C198" s="56" t="s">
        <v>3</v>
      </c>
      <c r="D198" s="56" t="s">
        <v>4</v>
      </c>
      <c r="E198" s="56" t="s">
        <v>5</v>
      </c>
      <c r="F198" s="56" t="s">
        <v>6</v>
      </c>
      <c r="G198" s="56" t="s">
        <v>7</v>
      </c>
      <c r="H198" s="56" t="s">
        <v>8</v>
      </c>
      <c r="I198" s="56" t="s">
        <v>9</v>
      </c>
      <c r="J198" s="56" t="s">
        <v>10</v>
      </c>
      <c r="K198" s="56" t="s">
        <v>96</v>
      </c>
      <c r="L198" s="56" t="s">
        <v>12</v>
      </c>
      <c r="M198" s="56" t="s">
        <v>13</v>
      </c>
      <c r="N198" s="56" t="s">
        <v>14</v>
      </c>
      <c r="O198" s="58" t="s">
        <v>123</v>
      </c>
    </row>
    <row r="199" spans="2:15">
      <c r="B199" s="48" t="s">
        <v>125</v>
      </c>
      <c r="C199" s="3">
        <f t="shared" ref="C199:N199" si="74">(C81)</f>
        <v>0</v>
      </c>
      <c r="D199" s="3">
        <f t="shared" si="74"/>
        <v>0</v>
      </c>
      <c r="E199" s="3">
        <f t="shared" si="74"/>
        <v>0</v>
      </c>
      <c r="F199" s="3">
        <f t="shared" si="74"/>
        <v>190</v>
      </c>
      <c r="G199" s="3">
        <f t="shared" si="74"/>
        <v>190</v>
      </c>
      <c r="H199" s="3">
        <f t="shared" si="74"/>
        <v>190</v>
      </c>
      <c r="I199" s="3">
        <f t="shared" si="74"/>
        <v>190</v>
      </c>
      <c r="J199" s="3">
        <f t="shared" si="74"/>
        <v>190</v>
      </c>
      <c r="K199" s="3">
        <f t="shared" si="74"/>
        <v>0</v>
      </c>
      <c r="L199" s="3">
        <f t="shared" si="74"/>
        <v>0</v>
      </c>
      <c r="M199" s="3">
        <f t="shared" si="74"/>
        <v>0</v>
      </c>
      <c r="N199" s="3">
        <f t="shared" si="74"/>
        <v>0</v>
      </c>
      <c r="O199" s="56">
        <f>SUM(F199:J199)</f>
        <v>950</v>
      </c>
    </row>
    <row r="201" spans="2:15">
      <c r="B201" s="219" t="s">
        <v>176</v>
      </c>
      <c r="C201" s="224"/>
      <c r="D201" s="224"/>
      <c r="E201" s="224"/>
      <c r="F201" s="224"/>
      <c r="G201" s="224"/>
      <c r="H201" s="224"/>
      <c r="I201" s="224"/>
      <c r="J201" s="224"/>
      <c r="K201" s="224"/>
      <c r="L201" s="224"/>
      <c r="M201" s="224"/>
      <c r="N201" s="224"/>
      <c r="O201" s="225"/>
    </row>
    <row r="202" spans="2:15">
      <c r="B202" s="56"/>
      <c r="C202" s="56" t="s">
        <v>3</v>
      </c>
      <c r="D202" s="56" t="s">
        <v>4</v>
      </c>
      <c r="E202" s="56" t="s">
        <v>5</v>
      </c>
      <c r="F202" s="56" t="s">
        <v>6</v>
      </c>
      <c r="G202" s="56" t="s">
        <v>7</v>
      </c>
      <c r="H202" s="56" t="s">
        <v>8</v>
      </c>
      <c r="I202" s="56" t="s">
        <v>9</v>
      </c>
      <c r="J202" s="56" t="s">
        <v>10</v>
      </c>
      <c r="K202" s="56" t="s">
        <v>96</v>
      </c>
      <c r="L202" s="56" t="s">
        <v>12</v>
      </c>
      <c r="M202" s="56" t="s">
        <v>13</v>
      </c>
      <c r="N202" s="56" t="s">
        <v>14</v>
      </c>
      <c r="O202" s="58" t="s">
        <v>123</v>
      </c>
    </row>
    <row r="203" spans="2:15">
      <c r="B203" s="48" t="s">
        <v>126</v>
      </c>
      <c r="C203" s="59">
        <f t="shared" ref="C203:N203" si="75">((C86)/1000)*1000</f>
        <v>107</v>
      </c>
      <c r="D203" s="59">
        <f t="shared" si="75"/>
        <v>107</v>
      </c>
      <c r="E203" s="59">
        <f t="shared" si="75"/>
        <v>107</v>
      </c>
      <c r="F203" s="59">
        <f t="shared" si="75"/>
        <v>87</v>
      </c>
      <c r="G203" s="59">
        <f t="shared" si="75"/>
        <v>87</v>
      </c>
      <c r="H203" s="59">
        <f t="shared" si="75"/>
        <v>87</v>
      </c>
      <c r="I203" s="59">
        <f t="shared" si="75"/>
        <v>87</v>
      </c>
      <c r="J203" s="59">
        <f t="shared" si="75"/>
        <v>87</v>
      </c>
      <c r="K203" s="59">
        <f t="shared" si="75"/>
        <v>87</v>
      </c>
      <c r="L203" s="59">
        <f t="shared" si="75"/>
        <v>87</v>
      </c>
      <c r="M203" s="59">
        <f t="shared" si="75"/>
        <v>87</v>
      </c>
      <c r="N203" s="59">
        <f t="shared" si="75"/>
        <v>87</v>
      </c>
      <c r="O203" s="59">
        <f>(SUM(C203:N203))</f>
        <v>1104</v>
      </c>
    </row>
    <row r="204" spans="2:15">
      <c r="B204" s="48" t="s">
        <v>127</v>
      </c>
      <c r="C204" s="59">
        <f t="shared" ref="C204:N204" si="76">((C87)/1000)*1000</f>
        <v>145</v>
      </c>
      <c r="D204" s="59">
        <f t="shared" si="76"/>
        <v>145</v>
      </c>
      <c r="E204" s="59">
        <f t="shared" si="76"/>
        <v>145</v>
      </c>
      <c r="F204" s="59">
        <f t="shared" si="76"/>
        <v>145</v>
      </c>
      <c r="G204" s="59">
        <f t="shared" si="76"/>
        <v>145</v>
      </c>
      <c r="H204" s="59">
        <f t="shared" si="76"/>
        <v>145</v>
      </c>
      <c r="I204" s="59">
        <f t="shared" si="76"/>
        <v>145</v>
      </c>
      <c r="J204" s="59">
        <f t="shared" si="76"/>
        <v>145</v>
      </c>
      <c r="K204" s="59">
        <f t="shared" si="76"/>
        <v>145</v>
      </c>
      <c r="L204" s="59">
        <f t="shared" si="76"/>
        <v>145</v>
      </c>
      <c r="M204" s="59">
        <f t="shared" si="76"/>
        <v>145</v>
      </c>
      <c r="N204" s="59">
        <f t="shared" si="76"/>
        <v>145</v>
      </c>
      <c r="O204" s="59">
        <f>(SUM(C204:N204))</f>
        <v>1740</v>
      </c>
    </row>
    <row r="205" spans="2:15">
      <c r="B205" s="48" t="s">
        <v>123</v>
      </c>
      <c r="C205" s="59">
        <f>C203+C204</f>
        <v>252</v>
      </c>
      <c r="D205" s="59">
        <f t="shared" ref="D205:N205" si="77">D203+D204</f>
        <v>252</v>
      </c>
      <c r="E205" s="59">
        <f t="shared" si="77"/>
        <v>252</v>
      </c>
      <c r="F205" s="59">
        <f t="shared" si="77"/>
        <v>232</v>
      </c>
      <c r="G205" s="59">
        <f t="shared" si="77"/>
        <v>232</v>
      </c>
      <c r="H205" s="59">
        <f t="shared" si="77"/>
        <v>232</v>
      </c>
      <c r="I205" s="59">
        <f t="shared" si="77"/>
        <v>232</v>
      </c>
      <c r="J205" s="59">
        <f t="shared" si="77"/>
        <v>232</v>
      </c>
      <c r="K205" s="59">
        <f t="shared" si="77"/>
        <v>232</v>
      </c>
      <c r="L205" s="59">
        <f t="shared" si="77"/>
        <v>232</v>
      </c>
      <c r="M205" s="59">
        <f t="shared" si="77"/>
        <v>232</v>
      </c>
      <c r="N205" s="59">
        <f t="shared" si="77"/>
        <v>232</v>
      </c>
      <c r="O205" s="59">
        <f>SUM(C205:N205)</f>
        <v>2844</v>
      </c>
    </row>
    <row r="207" spans="2:15">
      <c r="B207" s="222" t="s">
        <v>177</v>
      </c>
      <c r="C207" s="223"/>
      <c r="D207" s="223"/>
      <c r="E207" s="223"/>
      <c r="F207" s="223"/>
      <c r="G207" s="223"/>
      <c r="H207" s="223"/>
      <c r="I207" s="223"/>
      <c r="J207" s="223"/>
      <c r="K207" s="223"/>
      <c r="L207" s="223"/>
      <c r="M207" s="223"/>
      <c r="N207" s="223"/>
      <c r="O207" s="223"/>
    </row>
    <row r="208" spans="2:15">
      <c r="B208" s="56"/>
      <c r="C208" s="56" t="s">
        <v>3</v>
      </c>
      <c r="D208" s="56" t="s">
        <v>4</v>
      </c>
      <c r="E208" s="56" t="s">
        <v>5</v>
      </c>
      <c r="F208" s="56" t="s">
        <v>6</v>
      </c>
      <c r="G208" s="56" t="s">
        <v>7</v>
      </c>
      <c r="H208" s="56" t="s">
        <v>8</v>
      </c>
      <c r="I208" s="56" t="s">
        <v>9</v>
      </c>
      <c r="J208" s="56" t="s">
        <v>10</v>
      </c>
      <c r="K208" s="56" t="s">
        <v>96</v>
      </c>
      <c r="L208" s="56" t="s">
        <v>12</v>
      </c>
      <c r="M208" s="56" t="s">
        <v>13</v>
      </c>
      <c r="N208" s="56" t="s">
        <v>14</v>
      </c>
      <c r="O208" s="58" t="s">
        <v>123</v>
      </c>
    </row>
    <row r="209" spans="2:21">
      <c r="B209" s="48" t="s">
        <v>128</v>
      </c>
      <c r="C209" s="59">
        <f t="shared" ref="C209:N209" si="78">((C88)/1000)*1000</f>
        <v>120</v>
      </c>
      <c r="D209" s="59">
        <f t="shared" si="78"/>
        <v>120</v>
      </c>
      <c r="E209" s="59">
        <f t="shared" si="78"/>
        <v>120</v>
      </c>
      <c r="F209" s="59">
        <f t="shared" si="78"/>
        <v>120</v>
      </c>
      <c r="G209" s="59">
        <f t="shared" si="78"/>
        <v>120</v>
      </c>
      <c r="H209" s="59">
        <f t="shared" si="78"/>
        <v>120</v>
      </c>
      <c r="I209" s="59">
        <f t="shared" si="78"/>
        <v>120</v>
      </c>
      <c r="J209" s="59">
        <f t="shared" si="78"/>
        <v>120</v>
      </c>
      <c r="K209" s="59">
        <f t="shared" si="78"/>
        <v>120</v>
      </c>
      <c r="L209" s="59">
        <f t="shared" si="78"/>
        <v>120</v>
      </c>
      <c r="M209" s="59">
        <f t="shared" si="78"/>
        <v>120</v>
      </c>
      <c r="N209" s="59">
        <f t="shared" si="78"/>
        <v>120</v>
      </c>
      <c r="O209" s="59">
        <f>(SUM(C209:N209))</f>
        <v>1440</v>
      </c>
    </row>
    <row r="210" spans="2:21">
      <c r="B210" s="48" t="s">
        <v>129</v>
      </c>
      <c r="C210" s="59">
        <f>C92</f>
        <v>116.12700000000001</v>
      </c>
      <c r="D210" s="59">
        <f t="shared" ref="D210:N210" si="79">D92</f>
        <v>129.50685000000001</v>
      </c>
      <c r="E210" s="59">
        <f t="shared" si="79"/>
        <v>138.59504999999999</v>
      </c>
      <c r="F210" s="59">
        <f t="shared" si="79"/>
        <v>133.98783750000001</v>
      </c>
      <c r="G210" s="59">
        <f t="shared" si="79"/>
        <v>140.51367000000002</v>
      </c>
      <c r="H210" s="59">
        <f t="shared" si="79"/>
        <v>128.13730874999999</v>
      </c>
      <c r="I210" s="59">
        <f t="shared" si="79"/>
        <v>150.485445</v>
      </c>
      <c r="J210" s="59">
        <f t="shared" si="79"/>
        <v>175.47925725000002</v>
      </c>
      <c r="K210" s="59">
        <f t="shared" si="79"/>
        <v>176.23534500000002</v>
      </c>
      <c r="L210" s="59">
        <f t="shared" si="79"/>
        <v>160.81065000000001</v>
      </c>
      <c r="M210" s="59">
        <f t="shared" si="79"/>
        <v>136.13366249999999</v>
      </c>
      <c r="N210" s="59">
        <f t="shared" si="79"/>
        <v>122.37198187500002</v>
      </c>
      <c r="O210" s="59">
        <f>(SUM(C210:N210))</f>
        <v>1708.3840578750001</v>
      </c>
      <c r="P210" s="27" t="s">
        <v>204</v>
      </c>
    </row>
    <row r="211" spans="2:21">
      <c r="B211" s="48" t="s">
        <v>123</v>
      </c>
      <c r="C211" s="59">
        <f>C209+C210</f>
        <v>236.12700000000001</v>
      </c>
      <c r="D211" s="59">
        <f t="shared" ref="D211:O211" si="80">D209+D210</f>
        <v>249.50685000000001</v>
      </c>
      <c r="E211" s="59">
        <f t="shared" si="80"/>
        <v>258.59505000000001</v>
      </c>
      <c r="F211" s="59">
        <f t="shared" si="80"/>
        <v>253.98783750000001</v>
      </c>
      <c r="G211" s="59">
        <f t="shared" si="80"/>
        <v>260.51367000000005</v>
      </c>
      <c r="H211" s="59">
        <f t="shared" si="80"/>
        <v>248.13730874999999</v>
      </c>
      <c r="I211" s="59">
        <f t="shared" si="80"/>
        <v>270.48544500000003</v>
      </c>
      <c r="J211" s="59">
        <f t="shared" si="80"/>
        <v>295.47925725000005</v>
      </c>
      <c r="K211" s="59">
        <f t="shared" si="80"/>
        <v>296.23534500000005</v>
      </c>
      <c r="L211" s="59">
        <f t="shared" si="80"/>
        <v>280.81065000000001</v>
      </c>
      <c r="M211" s="59">
        <f t="shared" si="80"/>
        <v>256.13366250000001</v>
      </c>
      <c r="N211" s="59">
        <f t="shared" si="80"/>
        <v>242.37198187500002</v>
      </c>
      <c r="O211" s="59">
        <f t="shared" si="80"/>
        <v>3148.3840578750001</v>
      </c>
    </row>
    <row r="213" spans="2:21">
      <c r="B213" s="209" t="s">
        <v>264</v>
      </c>
      <c r="C213" s="210"/>
      <c r="D213" s="210"/>
      <c r="E213" s="210"/>
      <c r="F213" s="210"/>
      <c r="G213" s="210"/>
      <c r="H213" s="210"/>
      <c r="I213" s="210"/>
      <c r="J213" s="210"/>
      <c r="K213" s="210"/>
      <c r="L213" s="210"/>
      <c r="M213" s="210"/>
      <c r="N213" s="210"/>
      <c r="O213" s="210"/>
    </row>
    <row r="214" spans="2:21">
      <c r="B214" s="56"/>
      <c r="C214" s="56" t="s">
        <v>3</v>
      </c>
      <c r="D214" s="56" t="s">
        <v>4</v>
      </c>
      <c r="E214" s="56" t="s">
        <v>5</v>
      </c>
      <c r="F214" s="56" t="s">
        <v>6</v>
      </c>
      <c r="G214" s="56" t="s">
        <v>7</v>
      </c>
      <c r="H214" s="56" t="s">
        <v>8</v>
      </c>
      <c r="I214" s="56" t="s">
        <v>9</v>
      </c>
      <c r="J214" s="56" t="s">
        <v>10</v>
      </c>
      <c r="K214" s="56" t="s">
        <v>96</v>
      </c>
      <c r="L214" s="56" t="s">
        <v>12</v>
      </c>
      <c r="M214" s="56" t="s">
        <v>13</v>
      </c>
      <c r="N214" s="56" t="s">
        <v>14</v>
      </c>
      <c r="O214" s="58" t="s">
        <v>123</v>
      </c>
      <c r="R214" s="27" t="s">
        <v>181</v>
      </c>
      <c r="S214" s="46" t="s">
        <v>186</v>
      </c>
      <c r="T214" s="46" t="s">
        <v>187</v>
      </c>
      <c r="U214" s="46" t="s">
        <v>188</v>
      </c>
    </row>
    <row r="215" spans="2:21">
      <c r="B215" s="68" t="s">
        <v>143</v>
      </c>
      <c r="C215" s="59">
        <f>C110</f>
        <v>2299.77</v>
      </c>
      <c r="D215" s="59">
        <f t="shared" ref="D215:N215" si="81">D110</f>
        <v>2565.3375000000001</v>
      </c>
      <c r="E215" s="59">
        <f t="shared" si="81"/>
        <v>2744.7255</v>
      </c>
      <c r="F215" s="59">
        <f t="shared" si="81"/>
        <v>2653.6950000000002</v>
      </c>
      <c r="G215" s="59">
        <f t="shared" si="81"/>
        <v>2782.8404999999998</v>
      </c>
      <c r="H215" s="59">
        <f t="shared" si="81"/>
        <v>2538.0630000000001</v>
      </c>
      <c r="I215" s="59">
        <f t="shared" si="81"/>
        <v>2980.5434999999998</v>
      </c>
      <c r="J215" s="59">
        <f t="shared" si="81"/>
        <v>3476.1374999999998</v>
      </c>
      <c r="K215" s="59">
        <f t="shared" si="81"/>
        <v>3490.1954999999998</v>
      </c>
      <c r="L215" s="59">
        <f t="shared" si="81"/>
        <v>3185.5725000000002</v>
      </c>
      <c r="M215" s="59">
        <f t="shared" si="81"/>
        <v>2695.77</v>
      </c>
      <c r="N215" s="59">
        <f t="shared" si="81"/>
        <v>2423.9654999999998</v>
      </c>
      <c r="O215" s="59">
        <f>SUM(C215:N215)</f>
        <v>33836.616000000002</v>
      </c>
      <c r="R215">
        <v>1500</v>
      </c>
      <c r="S215">
        <v>50</v>
      </c>
      <c r="T215">
        <f>R215/S215</f>
        <v>30</v>
      </c>
      <c r="U215">
        <f>T215/12</f>
        <v>2.5</v>
      </c>
    </row>
    <row r="216" spans="2:21">
      <c r="B216" s="48" t="s">
        <v>178</v>
      </c>
      <c r="C216" s="59">
        <f>(C260+C262+C263)/1000+C205</f>
        <v>1018.3763694768472</v>
      </c>
      <c r="D216" s="59">
        <f t="shared" ref="D216:N216" si="82">(D260+D262+D263)/1000+D205</f>
        <v>1098.9008204453203</v>
      </c>
      <c r="E216" s="59">
        <f t="shared" si="82"/>
        <v>1139.5591913172414</v>
      </c>
      <c r="F216" s="59">
        <f t="shared" si="82"/>
        <v>1103.9152797793104</v>
      </c>
      <c r="G216" s="59">
        <f t="shared" si="82"/>
        <v>1142.1466218482758</v>
      </c>
      <c r="H216" s="59">
        <f t="shared" si="82"/>
        <v>1060.6592166068965</v>
      </c>
      <c r="I216" s="59">
        <f t="shared" si="82"/>
        <v>1230.0046852827586</v>
      </c>
      <c r="J216" s="59">
        <f t="shared" si="82"/>
        <v>1372.3995102689657</v>
      </c>
      <c r="K216" s="59">
        <f t="shared" si="82"/>
        <v>1358.8685933312499</v>
      </c>
      <c r="L216" s="59">
        <f t="shared" si="82"/>
        <v>1250.6519966137935</v>
      </c>
      <c r="M216" s="59">
        <f t="shared" si="82"/>
        <v>1112.6177757793103</v>
      </c>
      <c r="N216" s="59">
        <f t="shared" si="82"/>
        <v>1057.3842770004464</v>
      </c>
      <c r="O216" s="59">
        <f>SUM(C216:N216)</f>
        <v>13945.484337750417</v>
      </c>
      <c r="R216">
        <v>500</v>
      </c>
      <c r="S216">
        <v>10</v>
      </c>
      <c r="T216">
        <f>R216/S216</f>
        <v>50</v>
      </c>
      <c r="U216">
        <f>T216/12</f>
        <v>4.166666666666667</v>
      </c>
    </row>
    <row r="217" spans="2:21">
      <c r="B217" s="68" t="s">
        <v>179</v>
      </c>
      <c r="C217" s="87">
        <f>C215-C216</f>
        <v>1281.3936305231528</v>
      </c>
      <c r="D217" s="87">
        <f t="shared" ref="D217:N217" si="83">D215-D216</f>
        <v>1466.4366795546798</v>
      </c>
      <c r="E217" s="87">
        <f t="shared" si="83"/>
        <v>1605.1663086827587</v>
      </c>
      <c r="F217" s="87">
        <f t="shared" si="83"/>
        <v>1549.7797202206898</v>
      </c>
      <c r="G217" s="87">
        <f t="shared" si="83"/>
        <v>1640.693878151724</v>
      </c>
      <c r="H217" s="87">
        <f t="shared" si="83"/>
        <v>1477.4037833931036</v>
      </c>
      <c r="I217" s="87">
        <f t="shared" si="83"/>
        <v>1750.5388147172412</v>
      </c>
      <c r="J217" s="87">
        <f t="shared" si="83"/>
        <v>2103.7379897310338</v>
      </c>
      <c r="K217" s="87">
        <f t="shared" si="83"/>
        <v>2131.3269066687499</v>
      </c>
      <c r="L217" s="87">
        <f t="shared" si="83"/>
        <v>1934.9205033862067</v>
      </c>
      <c r="M217" s="87">
        <f t="shared" si="83"/>
        <v>1583.1522242206897</v>
      </c>
      <c r="N217" s="87">
        <f t="shared" si="83"/>
        <v>1366.5812229995533</v>
      </c>
      <c r="O217" s="87">
        <f>O215-O216</f>
        <v>19891.131662249587</v>
      </c>
    </row>
    <row r="218" spans="2:21">
      <c r="B218" s="49" t="s">
        <v>180</v>
      </c>
      <c r="C218" s="59">
        <f>C211</f>
        <v>236.12700000000001</v>
      </c>
      <c r="D218" s="59">
        <f t="shared" ref="D218:N218" si="84">D211</f>
        <v>249.50685000000001</v>
      </c>
      <c r="E218" s="59">
        <f t="shared" si="84"/>
        <v>258.59505000000001</v>
      </c>
      <c r="F218" s="59">
        <f t="shared" si="84"/>
        <v>253.98783750000001</v>
      </c>
      <c r="G218" s="59">
        <f t="shared" si="84"/>
        <v>260.51367000000005</v>
      </c>
      <c r="H218" s="59">
        <f t="shared" si="84"/>
        <v>248.13730874999999</v>
      </c>
      <c r="I218" s="59">
        <f t="shared" si="84"/>
        <v>270.48544500000003</v>
      </c>
      <c r="J218" s="59">
        <f t="shared" si="84"/>
        <v>295.47925725000005</v>
      </c>
      <c r="K218" s="59">
        <f t="shared" si="84"/>
        <v>296.23534500000005</v>
      </c>
      <c r="L218" s="59">
        <f t="shared" si="84"/>
        <v>280.81065000000001</v>
      </c>
      <c r="M218" s="59">
        <f t="shared" si="84"/>
        <v>256.13366250000001</v>
      </c>
      <c r="N218" s="59">
        <f t="shared" si="84"/>
        <v>242.37198187500002</v>
      </c>
      <c r="O218" s="59">
        <f>SUM(C218:N218)</f>
        <v>3148.3840578750001</v>
      </c>
    </row>
    <row r="219" spans="2:21">
      <c r="B219" s="49" t="s">
        <v>181</v>
      </c>
      <c r="C219" s="59">
        <f>$U215+$U216</f>
        <v>6.666666666666667</v>
      </c>
      <c r="D219" s="59">
        <f t="shared" ref="D219:N219" si="85">$U215+$U216</f>
        <v>6.666666666666667</v>
      </c>
      <c r="E219" s="59">
        <f t="shared" si="85"/>
        <v>6.666666666666667</v>
      </c>
      <c r="F219" s="59">
        <f t="shared" si="85"/>
        <v>6.666666666666667</v>
      </c>
      <c r="G219" s="59">
        <f t="shared" si="85"/>
        <v>6.666666666666667</v>
      </c>
      <c r="H219" s="59">
        <f t="shared" si="85"/>
        <v>6.666666666666667</v>
      </c>
      <c r="I219" s="59">
        <f t="shared" si="85"/>
        <v>6.666666666666667</v>
      </c>
      <c r="J219" s="59">
        <f t="shared" si="85"/>
        <v>6.666666666666667</v>
      </c>
      <c r="K219" s="59">
        <f t="shared" si="85"/>
        <v>6.666666666666667</v>
      </c>
      <c r="L219" s="59">
        <f t="shared" si="85"/>
        <v>6.666666666666667</v>
      </c>
      <c r="M219" s="59">
        <f t="shared" si="85"/>
        <v>6.666666666666667</v>
      </c>
      <c r="N219" s="59">
        <f t="shared" si="85"/>
        <v>6.666666666666667</v>
      </c>
      <c r="O219" s="59">
        <f>SUM(C219:N219)</f>
        <v>80</v>
      </c>
      <c r="Q219" s="27" t="s">
        <v>189</v>
      </c>
    </row>
    <row r="220" spans="2:21">
      <c r="B220" s="68" t="s">
        <v>182</v>
      </c>
      <c r="C220" s="87">
        <f>C217-C218-C219</f>
        <v>1038.5999638564861</v>
      </c>
      <c r="D220" s="87">
        <f t="shared" ref="D220:O220" si="86">D217-D218-D219</f>
        <v>1210.2631628880131</v>
      </c>
      <c r="E220" s="87">
        <f t="shared" si="86"/>
        <v>1339.9045920160918</v>
      </c>
      <c r="F220" s="87">
        <f t="shared" si="86"/>
        <v>1289.125216054023</v>
      </c>
      <c r="G220" s="87">
        <f t="shared" si="86"/>
        <v>1373.5135414850572</v>
      </c>
      <c r="H220" s="87">
        <f t="shared" si="86"/>
        <v>1222.599807976437</v>
      </c>
      <c r="I220" s="87">
        <f t="shared" si="86"/>
        <v>1473.3867030505744</v>
      </c>
      <c r="J220" s="87">
        <f t="shared" si="86"/>
        <v>1801.5920658143671</v>
      </c>
      <c r="K220" s="87">
        <f t="shared" si="86"/>
        <v>1828.4248950020831</v>
      </c>
      <c r="L220" s="87">
        <f t="shared" si="86"/>
        <v>1647.4431867195401</v>
      </c>
      <c r="M220" s="87">
        <f t="shared" si="86"/>
        <v>1320.3518950540231</v>
      </c>
      <c r="N220" s="87">
        <f t="shared" si="86"/>
        <v>1117.5425744578865</v>
      </c>
      <c r="O220" s="87">
        <f t="shared" si="86"/>
        <v>16662.747604374588</v>
      </c>
      <c r="Q220" s="27">
        <v>0.35</v>
      </c>
    </row>
    <row r="221" spans="2:21">
      <c r="B221" s="49" t="s">
        <v>183</v>
      </c>
      <c r="C221" s="59">
        <v>0</v>
      </c>
      <c r="D221" s="59">
        <v>0</v>
      </c>
      <c r="E221" s="59">
        <v>0</v>
      </c>
      <c r="F221" s="59">
        <v>0</v>
      </c>
      <c r="G221" s="59">
        <v>0</v>
      </c>
      <c r="H221" s="59">
        <v>0</v>
      </c>
      <c r="I221" s="59">
        <v>0</v>
      </c>
      <c r="J221" s="59">
        <v>0</v>
      </c>
      <c r="K221" s="59">
        <v>0</v>
      </c>
      <c r="L221" s="59">
        <v>0</v>
      </c>
      <c r="M221" s="59">
        <v>0</v>
      </c>
      <c r="N221" s="59">
        <v>0</v>
      </c>
      <c r="O221" s="59">
        <v>0</v>
      </c>
    </row>
    <row r="222" spans="2:21">
      <c r="B222" s="49" t="s">
        <v>184</v>
      </c>
      <c r="C222" s="59">
        <f>Q223*Q220</f>
        <v>383.47049123554922</v>
      </c>
      <c r="D222" s="59">
        <f>C220*$Q220</f>
        <v>363.50998734977009</v>
      </c>
      <c r="E222" s="59">
        <f t="shared" ref="E222:N222" si="87">D220*$Q220</f>
        <v>423.59210701080457</v>
      </c>
      <c r="F222" s="59">
        <f t="shared" si="87"/>
        <v>468.9666072056321</v>
      </c>
      <c r="G222" s="59">
        <f t="shared" si="87"/>
        <v>451.19382561890802</v>
      </c>
      <c r="H222" s="59">
        <f t="shared" si="87"/>
        <v>480.72973951976996</v>
      </c>
      <c r="I222" s="59">
        <f t="shared" si="87"/>
        <v>427.90993279175291</v>
      </c>
      <c r="J222" s="59">
        <f t="shared" si="87"/>
        <v>515.68534606770106</v>
      </c>
      <c r="K222" s="59">
        <f t="shared" si="87"/>
        <v>630.55722303502841</v>
      </c>
      <c r="L222" s="59">
        <f t="shared" si="87"/>
        <v>639.94871325072904</v>
      </c>
      <c r="M222" s="59">
        <f t="shared" si="87"/>
        <v>576.605115351839</v>
      </c>
      <c r="N222" s="59">
        <f t="shared" si="87"/>
        <v>462.12316326890806</v>
      </c>
      <c r="O222" s="59">
        <f>SUM(C222:N222)</f>
        <v>5824.2922517063926</v>
      </c>
      <c r="Q222" s="27" t="s">
        <v>201</v>
      </c>
    </row>
    <row r="223" spans="2:21">
      <c r="B223" s="68" t="s">
        <v>185</v>
      </c>
      <c r="C223" s="87">
        <f>C220-C221-C222</f>
        <v>655.12947262093689</v>
      </c>
      <c r="D223" s="87">
        <f t="shared" ref="D223:N223" si="88">D220-D221-D222</f>
        <v>846.753175538243</v>
      </c>
      <c r="E223" s="87">
        <f t="shared" si="88"/>
        <v>916.31248500528727</v>
      </c>
      <c r="F223" s="87">
        <f t="shared" si="88"/>
        <v>820.15860884839094</v>
      </c>
      <c r="G223" s="87">
        <f t="shared" si="88"/>
        <v>922.31971586614918</v>
      </c>
      <c r="H223" s="87">
        <f t="shared" si="88"/>
        <v>741.87006845666701</v>
      </c>
      <c r="I223" s="87">
        <f t="shared" si="88"/>
        <v>1045.4767702588215</v>
      </c>
      <c r="J223" s="87">
        <f t="shared" si="88"/>
        <v>1285.9067197466661</v>
      </c>
      <c r="K223" s="87">
        <f t="shared" si="88"/>
        <v>1197.8676719670548</v>
      </c>
      <c r="L223" s="87">
        <f t="shared" si="88"/>
        <v>1007.4944734688111</v>
      </c>
      <c r="M223" s="87">
        <f t="shared" si="88"/>
        <v>743.74677970218409</v>
      </c>
      <c r="N223" s="87">
        <f t="shared" si="88"/>
        <v>655.41941118897853</v>
      </c>
      <c r="O223" s="87">
        <f>SUM(C223:N223)</f>
        <v>10838.45535266819</v>
      </c>
      <c r="Q223" s="71">
        <f>N220/1.02</f>
        <v>1095.6299749587122</v>
      </c>
    </row>
    <row r="226" spans="2:17">
      <c r="B226" s="209" t="s">
        <v>190</v>
      </c>
      <c r="C226" s="210"/>
      <c r="D226" s="210"/>
      <c r="E226" s="210"/>
      <c r="F226" s="210"/>
      <c r="G226" s="210"/>
      <c r="H226" s="210"/>
      <c r="I226" s="210"/>
      <c r="J226" s="210"/>
      <c r="K226" s="210"/>
      <c r="L226" s="210"/>
      <c r="M226" s="210"/>
      <c r="N226" s="210"/>
      <c r="O226" s="210"/>
    </row>
    <row r="227" spans="2:17">
      <c r="B227" s="74"/>
      <c r="C227" s="74" t="s">
        <v>3</v>
      </c>
      <c r="D227" s="74" t="s">
        <v>4</v>
      </c>
      <c r="E227" s="74" t="s">
        <v>5</v>
      </c>
      <c r="F227" s="74" t="s">
        <v>6</v>
      </c>
      <c r="G227" s="74" t="s">
        <v>7</v>
      </c>
      <c r="H227" s="74" t="s">
        <v>8</v>
      </c>
      <c r="I227" s="74" t="s">
        <v>9</v>
      </c>
      <c r="J227" s="74" t="s">
        <v>10</v>
      </c>
      <c r="K227" s="74" t="s">
        <v>96</v>
      </c>
      <c r="L227" s="74" t="s">
        <v>12</v>
      </c>
      <c r="M227" s="74" t="s">
        <v>13</v>
      </c>
      <c r="N227" s="74" t="s">
        <v>14</v>
      </c>
      <c r="O227" s="58" t="s">
        <v>123</v>
      </c>
    </row>
    <row r="228" spans="2:17">
      <c r="B228" s="48" t="s">
        <v>191</v>
      </c>
      <c r="C228" s="59">
        <f>C124</f>
        <v>2342</v>
      </c>
      <c r="D228" s="59">
        <f t="shared" ref="D228:O228" si="89">D124</f>
        <v>2435</v>
      </c>
      <c r="E228" s="59">
        <f t="shared" si="89"/>
        <v>2657</v>
      </c>
      <c r="F228" s="59">
        <f t="shared" si="89"/>
        <v>2702</v>
      </c>
      <c r="G228" s="59">
        <f t="shared" si="89"/>
        <v>2721</v>
      </c>
      <c r="H228" s="59">
        <f t="shared" si="89"/>
        <v>2663</v>
      </c>
      <c r="I228" s="59">
        <f t="shared" si="89"/>
        <v>2762</v>
      </c>
      <c r="J228" s="59">
        <f t="shared" si="89"/>
        <v>3231</v>
      </c>
      <c r="K228" s="59">
        <f t="shared" si="89"/>
        <v>3485</v>
      </c>
      <c r="L228" s="59">
        <f t="shared" si="89"/>
        <v>3340</v>
      </c>
      <c r="M228" s="59">
        <f t="shared" si="89"/>
        <v>2943</v>
      </c>
      <c r="N228" s="59">
        <f t="shared" si="89"/>
        <v>2563</v>
      </c>
      <c r="O228" s="59">
        <f t="shared" si="89"/>
        <v>31496.468213925327</v>
      </c>
    </row>
    <row r="229" spans="2:17">
      <c r="B229" s="48" t="s">
        <v>192</v>
      </c>
      <c r="C229" s="59">
        <v>0</v>
      </c>
      <c r="D229" s="59">
        <v>0</v>
      </c>
      <c r="E229" s="59">
        <v>0</v>
      </c>
      <c r="F229" s="59">
        <v>0</v>
      </c>
      <c r="G229" s="59">
        <v>0</v>
      </c>
      <c r="H229" s="59">
        <v>0</v>
      </c>
      <c r="I229" s="59">
        <v>0</v>
      </c>
      <c r="J229" s="59">
        <v>0</v>
      </c>
      <c r="K229" s="59">
        <v>0</v>
      </c>
      <c r="L229" s="59">
        <v>0</v>
      </c>
      <c r="M229" s="59">
        <v>0</v>
      </c>
      <c r="N229" s="59">
        <v>0</v>
      </c>
      <c r="O229" s="59">
        <v>0</v>
      </c>
    </row>
    <row r="230" spans="2:17">
      <c r="B230" s="48" t="s">
        <v>198</v>
      </c>
      <c r="C230" s="87">
        <f>C228+C229</f>
        <v>2342</v>
      </c>
      <c r="D230" s="87">
        <f t="shared" ref="D230:O230" si="90">D228+D229</f>
        <v>2435</v>
      </c>
      <c r="E230" s="87">
        <f t="shared" si="90"/>
        <v>2657</v>
      </c>
      <c r="F230" s="87">
        <f t="shared" si="90"/>
        <v>2702</v>
      </c>
      <c r="G230" s="87">
        <f t="shared" si="90"/>
        <v>2721</v>
      </c>
      <c r="H230" s="87">
        <f t="shared" si="90"/>
        <v>2663</v>
      </c>
      <c r="I230" s="87">
        <f t="shared" si="90"/>
        <v>2762</v>
      </c>
      <c r="J230" s="87">
        <f t="shared" si="90"/>
        <v>3231</v>
      </c>
      <c r="K230" s="87">
        <f t="shared" si="90"/>
        <v>3485</v>
      </c>
      <c r="L230" s="87">
        <f t="shared" si="90"/>
        <v>3340</v>
      </c>
      <c r="M230" s="87">
        <f t="shared" si="90"/>
        <v>2943</v>
      </c>
      <c r="N230" s="87">
        <f t="shared" si="90"/>
        <v>2563</v>
      </c>
      <c r="O230" s="87">
        <f t="shared" si="90"/>
        <v>31496.468213925327</v>
      </c>
    </row>
    <row r="231" spans="2:17">
      <c r="B231" s="48" t="s">
        <v>19</v>
      </c>
      <c r="C231" s="59">
        <f>D164</f>
        <v>761.53264000000001</v>
      </c>
      <c r="D231" s="59">
        <f t="shared" ref="D231:N231" si="91">E164</f>
        <v>758.92</v>
      </c>
      <c r="E231" s="59">
        <f t="shared" si="91"/>
        <v>827.72</v>
      </c>
      <c r="F231" s="59">
        <f t="shared" si="91"/>
        <v>750.32</v>
      </c>
      <c r="G231" s="59">
        <f t="shared" si="91"/>
        <v>750.32</v>
      </c>
      <c r="H231" s="59">
        <f t="shared" si="91"/>
        <v>753.41600000000005</v>
      </c>
      <c r="I231" s="59">
        <f t="shared" si="91"/>
        <v>790.56799999999998</v>
      </c>
      <c r="J231" s="59">
        <f t="shared" si="91"/>
        <v>879.68000000000006</v>
      </c>
      <c r="K231" s="59">
        <f t="shared" si="91"/>
        <v>923.83999999999992</v>
      </c>
      <c r="L231" s="59">
        <f t="shared" si="91"/>
        <v>858.68000000000006</v>
      </c>
      <c r="M231" s="59">
        <f t="shared" si="91"/>
        <v>713.25599999999997</v>
      </c>
      <c r="N231" s="59">
        <f t="shared" si="91"/>
        <v>669.05899999999997</v>
      </c>
      <c r="O231" s="59">
        <f>SUM(C231:N231)</f>
        <v>9437.3116399999999</v>
      </c>
    </row>
    <row r="232" spans="2:17">
      <c r="B232" s="49" t="s">
        <v>193</v>
      </c>
      <c r="C232" s="59">
        <f t="shared" ref="C232:N232" si="92">((C194)/1000)*1000</f>
        <v>145.09440000000001</v>
      </c>
      <c r="D232" s="59">
        <f t="shared" si="92"/>
        <v>145.09440000000001</v>
      </c>
      <c r="E232" s="59">
        <f t="shared" si="92"/>
        <v>151.6464</v>
      </c>
      <c r="F232" s="59">
        <f t="shared" si="92"/>
        <v>145.09440000000001</v>
      </c>
      <c r="G232" s="59">
        <f t="shared" si="92"/>
        <v>145.09440000000001</v>
      </c>
      <c r="H232" s="59">
        <f t="shared" si="92"/>
        <v>145.09440000000001</v>
      </c>
      <c r="I232" s="59">
        <f t="shared" si="92"/>
        <v>147.71519999999998</v>
      </c>
      <c r="J232" s="59">
        <f t="shared" si="92"/>
        <v>154.26720000000003</v>
      </c>
      <c r="K232" s="59">
        <f t="shared" si="92"/>
        <v>159.00960000000003</v>
      </c>
      <c r="L232" s="59">
        <f t="shared" si="92"/>
        <v>154.26720000000003</v>
      </c>
      <c r="M232" s="59">
        <f t="shared" si="92"/>
        <v>145.09440000000001</v>
      </c>
      <c r="N232" s="59">
        <f t="shared" si="92"/>
        <v>145.09440000000001</v>
      </c>
      <c r="O232" s="59">
        <f>((SUM(C232:N232))/1000)*1000</f>
        <v>1782.5663999999999</v>
      </c>
    </row>
    <row r="233" spans="2:17">
      <c r="B233" s="49" t="s">
        <v>125</v>
      </c>
      <c r="C233" s="59">
        <f t="shared" ref="C233:O233" si="93">((C199)/1000)*1000</f>
        <v>0</v>
      </c>
      <c r="D233" s="59">
        <f t="shared" si="93"/>
        <v>0</v>
      </c>
      <c r="E233" s="59">
        <f t="shared" si="93"/>
        <v>0</v>
      </c>
      <c r="F233" s="59">
        <f t="shared" si="93"/>
        <v>190</v>
      </c>
      <c r="G233" s="59">
        <f t="shared" si="93"/>
        <v>190</v>
      </c>
      <c r="H233" s="59">
        <f t="shared" si="93"/>
        <v>190</v>
      </c>
      <c r="I233" s="59">
        <f t="shared" si="93"/>
        <v>190</v>
      </c>
      <c r="J233" s="59">
        <f t="shared" si="93"/>
        <v>190</v>
      </c>
      <c r="K233" s="59">
        <f t="shared" si="93"/>
        <v>0</v>
      </c>
      <c r="L233" s="59">
        <f t="shared" si="93"/>
        <v>0</v>
      </c>
      <c r="M233" s="59">
        <f t="shared" si="93"/>
        <v>0</v>
      </c>
      <c r="N233" s="59">
        <f t="shared" si="93"/>
        <v>0</v>
      </c>
      <c r="O233" s="59">
        <f t="shared" si="93"/>
        <v>950</v>
      </c>
    </row>
    <row r="234" spans="2:17">
      <c r="B234" s="49" t="s">
        <v>194</v>
      </c>
      <c r="C234" s="59">
        <f t="shared" ref="C234:O234" si="94">((C205)/1000)*1000</f>
        <v>252</v>
      </c>
      <c r="D234" s="59">
        <f t="shared" si="94"/>
        <v>252</v>
      </c>
      <c r="E234" s="59">
        <f t="shared" si="94"/>
        <v>252</v>
      </c>
      <c r="F234" s="59">
        <f t="shared" si="94"/>
        <v>232</v>
      </c>
      <c r="G234" s="59">
        <f t="shared" si="94"/>
        <v>232</v>
      </c>
      <c r="H234" s="59">
        <f t="shared" si="94"/>
        <v>232</v>
      </c>
      <c r="I234" s="59">
        <f t="shared" si="94"/>
        <v>232</v>
      </c>
      <c r="J234" s="59">
        <f t="shared" si="94"/>
        <v>232</v>
      </c>
      <c r="K234" s="59">
        <f t="shared" si="94"/>
        <v>232</v>
      </c>
      <c r="L234" s="59">
        <f t="shared" si="94"/>
        <v>232</v>
      </c>
      <c r="M234" s="59">
        <f t="shared" si="94"/>
        <v>232</v>
      </c>
      <c r="N234" s="59">
        <f t="shared" si="94"/>
        <v>232</v>
      </c>
      <c r="O234" s="59">
        <f t="shared" si="94"/>
        <v>2844</v>
      </c>
    </row>
    <row r="235" spans="2:17">
      <c r="B235" s="49" t="s">
        <v>195</v>
      </c>
      <c r="C235" s="59">
        <f t="shared" ref="C235:O235" si="95">((C211)/1000)*1000</f>
        <v>236.12700000000001</v>
      </c>
      <c r="D235" s="59">
        <f t="shared" si="95"/>
        <v>249.50685000000001</v>
      </c>
      <c r="E235" s="59">
        <f t="shared" si="95"/>
        <v>258.59505000000001</v>
      </c>
      <c r="F235" s="59">
        <f t="shared" si="95"/>
        <v>253.98783750000004</v>
      </c>
      <c r="G235" s="59">
        <f t="shared" si="95"/>
        <v>260.51367000000005</v>
      </c>
      <c r="H235" s="59">
        <f t="shared" si="95"/>
        <v>248.13730874999999</v>
      </c>
      <c r="I235" s="59">
        <f t="shared" si="95"/>
        <v>270.48544500000003</v>
      </c>
      <c r="J235" s="59">
        <f t="shared" si="95"/>
        <v>295.47925725000005</v>
      </c>
      <c r="K235" s="59">
        <f t="shared" si="95"/>
        <v>296.23534500000005</v>
      </c>
      <c r="L235" s="59">
        <f t="shared" si="95"/>
        <v>280.81065000000001</v>
      </c>
      <c r="M235" s="59">
        <f t="shared" si="95"/>
        <v>256.13366250000001</v>
      </c>
      <c r="N235" s="59">
        <f t="shared" si="95"/>
        <v>242.37198187500002</v>
      </c>
      <c r="O235" s="59">
        <f t="shared" si="95"/>
        <v>3148.3840578750001</v>
      </c>
      <c r="Q235">
        <v>1000</v>
      </c>
    </row>
    <row r="236" spans="2:17">
      <c r="B236" s="49" t="s">
        <v>196</v>
      </c>
      <c r="C236" s="59">
        <v>0</v>
      </c>
      <c r="D236" s="59">
        <v>0</v>
      </c>
      <c r="E236" s="59">
        <v>0</v>
      </c>
      <c r="F236" s="59">
        <v>0</v>
      </c>
      <c r="G236" s="59">
        <v>0</v>
      </c>
      <c r="H236" s="59">
        <v>0</v>
      </c>
      <c r="I236" s="59">
        <v>0</v>
      </c>
      <c r="J236" s="59">
        <v>0</v>
      </c>
      <c r="K236" s="59">
        <v>0</v>
      </c>
      <c r="L236" s="59">
        <v>0</v>
      </c>
      <c r="M236" s="59">
        <v>0</v>
      </c>
      <c r="N236" s="59">
        <v>0</v>
      </c>
      <c r="O236" s="59">
        <v>0</v>
      </c>
    </row>
    <row r="237" spans="2:17">
      <c r="B237" s="49" t="s">
        <v>184</v>
      </c>
      <c r="C237" s="59">
        <f>C222</f>
        <v>383.47049123554922</v>
      </c>
      <c r="D237" s="59">
        <f t="shared" ref="D237:O237" si="96">((D222)/1000)*1000</f>
        <v>363.50998734977009</v>
      </c>
      <c r="E237" s="59">
        <f t="shared" si="96"/>
        <v>423.59210701080457</v>
      </c>
      <c r="F237" s="59">
        <f t="shared" si="96"/>
        <v>468.9666072056321</v>
      </c>
      <c r="G237" s="59">
        <f t="shared" si="96"/>
        <v>451.19382561890802</v>
      </c>
      <c r="H237" s="59">
        <f t="shared" si="96"/>
        <v>480.72973951976996</v>
      </c>
      <c r="I237" s="59">
        <f t="shared" si="96"/>
        <v>427.90993279175291</v>
      </c>
      <c r="J237" s="59">
        <f t="shared" si="96"/>
        <v>515.68534606770106</v>
      </c>
      <c r="K237" s="59">
        <f t="shared" si="96"/>
        <v>630.55722303502841</v>
      </c>
      <c r="L237" s="59">
        <f t="shared" si="96"/>
        <v>639.94871325072904</v>
      </c>
      <c r="M237" s="59">
        <f t="shared" si="96"/>
        <v>576.605115351839</v>
      </c>
      <c r="N237" s="59">
        <f t="shared" si="96"/>
        <v>462.12316326890806</v>
      </c>
      <c r="O237" s="59">
        <f t="shared" si="96"/>
        <v>5824.2922517063926</v>
      </c>
    </row>
    <row r="238" spans="2:17">
      <c r="B238" s="49" t="s">
        <v>197</v>
      </c>
      <c r="C238" s="87">
        <f>C231+C232+C233+C234+C235+C236+C237</f>
        <v>1778.2245312355492</v>
      </c>
      <c r="D238" s="87">
        <f t="shared" ref="D238:O238" si="97">D231+D232+D233+D234+D235+D236+D237</f>
        <v>1769.03123734977</v>
      </c>
      <c r="E238" s="87">
        <f t="shared" si="97"/>
        <v>1913.5535570108043</v>
      </c>
      <c r="F238" s="87">
        <f t="shared" si="97"/>
        <v>2040.3688447056322</v>
      </c>
      <c r="G238" s="87">
        <f t="shared" si="97"/>
        <v>2029.1218956189082</v>
      </c>
      <c r="H238" s="87">
        <f t="shared" si="97"/>
        <v>2049.37744826977</v>
      </c>
      <c r="I238" s="87">
        <f t="shared" si="97"/>
        <v>2058.678577791753</v>
      </c>
      <c r="J238" s="87">
        <f t="shared" si="97"/>
        <v>2267.1118033177013</v>
      </c>
      <c r="K238" s="87">
        <f t="shared" si="97"/>
        <v>2241.6421680350286</v>
      </c>
      <c r="L238" s="87">
        <f t="shared" si="97"/>
        <v>2165.7065632507292</v>
      </c>
      <c r="M238" s="87">
        <f t="shared" si="97"/>
        <v>1923.0891778518392</v>
      </c>
      <c r="N238" s="87">
        <f t="shared" si="97"/>
        <v>1750.648545143908</v>
      </c>
      <c r="O238" s="87">
        <f t="shared" si="97"/>
        <v>23986.554349581391</v>
      </c>
    </row>
    <row r="239" spans="2:17">
      <c r="B239" s="49" t="s">
        <v>190</v>
      </c>
      <c r="C239" s="59">
        <f>C230-C238</f>
        <v>563.77546876445081</v>
      </c>
      <c r="D239" s="59">
        <f t="shared" ref="D239:O239" si="98">D230-D238</f>
        <v>665.96876265023002</v>
      </c>
      <c r="E239" s="59">
        <f t="shared" si="98"/>
        <v>743.4464429891957</v>
      </c>
      <c r="F239" s="59">
        <f t="shared" si="98"/>
        <v>661.63115529436777</v>
      </c>
      <c r="G239" s="59">
        <f t="shared" si="98"/>
        <v>691.87810438109182</v>
      </c>
      <c r="H239" s="59">
        <f t="shared" si="98"/>
        <v>613.62255173023004</v>
      </c>
      <c r="I239" s="59">
        <f t="shared" si="98"/>
        <v>703.32142220824699</v>
      </c>
      <c r="J239" s="59">
        <f t="shared" si="98"/>
        <v>963.88819668229871</v>
      </c>
      <c r="K239" s="59">
        <f t="shared" si="98"/>
        <v>1243.3578319649714</v>
      </c>
      <c r="L239" s="59">
        <f t="shared" si="98"/>
        <v>1174.2934367492708</v>
      </c>
      <c r="M239" s="59">
        <f t="shared" si="98"/>
        <v>1019.9108221481608</v>
      </c>
      <c r="N239" s="59">
        <f t="shared" si="98"/>
        <v>812.351454856092</v>
      </c>
      <c r="O239" s="59">
        <f t="shared" si="98"/>
        <v>7509.9138643439364</v>
      </c>
    </row>
    <row r="240" spans="2:17">
      <c r="B240" s="49" t="s">
        <v>199</v>
      </c>
      <c r="C240" s="59">
        <f>C239</f>
        <v>563.77546876445081</v>
      </c>
      <c r="D240" s="59">
        <f>D239+C240</f>
        <v>1229.7442314146808</v>
      </c>
      <c r="E240" s="59">
        <f>E239+D240</f>
        <v>1973.1906744038765</v>
      </c>
      <c r="F240" s="59">
        <f t="shared" ref="F240:N240" si="99">F239+E240</f>
        <v>2634.8218296982441</v>
      </c>
      <c r="G240" s="59">
        <f t="shared" si="99"/>
        <v>3326.6999340793359</v>
      </c>
      <c r="H240" s="59">
        <f t="shared" si="99"/>
        <v>3940.3224858095659</v>
      </c>
      <c r="I240" s="59">
        <f t="shared" si="99"/>
        <v>4643.6439080178134</v>
      </c>
      <c r="J240" s="59">
        <f t="shared" si="99"/>
        <v>5607.5321047001125</v>
      </c>
      <c r="K240" s="59">
        <f t="shared" si="99"/>
        <v>6850.889936665084</v>
      </c>
      <c r="L240" s="59">
        <f t="shared" si="99"/>
        <v>8025.1833734143547</v>
      </c>
      <c r="M240" s="59">
        <f t="shared" si="99"/>
        <v>9045.0941955625149</v>
      </c>
      <c r="N240" s="59">
        <f t="shared" si="99"/>
        <v>9857.4456504186073</v>
      </c>
      <c r="O240" s="59"/>
    </row>
    <row r="245" spans="2:14">
      <c r="C245" t="s">
        <v>260</v>
      </c>
    </row>
    <row r="246" spans="2:14">
      <c r="C246" s="93">
        <f>C108*1000/$Q68</f>
        <v>1999.8</v>
      </c>
      <c r="D246" s="93">
        <f t="shared" ref="D246:N246" si="100">D108*1000/$Q68</f>
        <v>2099.79</v>
      </c>
      <c r="E246" s="93">
        <f t="shared" si="100"/>
        <v>2099.79</v>
      </c>
      <c r="F246" s="93">
        <f t="shared" si="100"/>
        <v>2275.02</v>
      </c>
      <c r="G246" s="93">
        <f t="shared" si="100"/>
        <v>2299.77</v>
      </c>
      <c r="H246" s="93">
        <f t="shared" si="100"/>
        <v>1997.82</v>
      </c>
      <c r="I246" s="93">
        <f t="shared" si="100"/>
        <v>2729.43</v>
      </c>
      <c r="J246" s="93">
        <f t="shared" si="100"/>
        <v>2606.67</v>
      </c>
      <c r="K246" s="93">
        <f t="shared" si="100"/>
        <v>2729.43</v>
      </c>
      <c r="L246" s="93">
        <f t="shared" si="100"/>
        <v>2299.77</v>
      </c>
      <c r="M246" s="93">
        <f t="shared" si="100"/>
        <v>2324.52</v>
      </c>
      <c r="N246" s="93">
        <f t="shared" si="100"/>
        <v>1933.47</v>
      </c>
    </row>
    <row r="247" spans="2:14">
      <c r="C247" s="93">
        <f>C109*1000/$Q69</f>
        <v>499.95</v>
      </c>
      <c r="D247" s="93">
        <f t="shared" ref="D247:N247" si="101">D109*1000/$Q69</f>
        <v>650.42999999999995</v>
      </c>
      <c r="E247" s="93">
        <f t="shared" si="101"/>
        <v>799.92</v>
      </c>
      <c r="F247" s="93">
        <f t="shared" si="101"/>
        <v>599.94000000000005</v>
      </c>
      <c r="G247" s="93">
        <f t="shared" si="101"/>
        <v>690.03</v>
      </c>
      <c r="H247" s="93">
        <f t="shared" si="101"/>
        <v>699.93</v>
      </c>
      <c r="I247" s="93">
        <f t="shared" si="101"/>
        <v>550.44000000000005</v>
      </c>
      <c r="J247" s="93">
        <f t="shared" si="101"/>
        <v>1050.3900000000001</v>
      </c>
      <c r="K247" s="93">
        <f t="shared" si="101"/>
        <v>975.15</v>
      </c>
      <c r="L247" s="93">
        <f t="shared" si="101"/>
        <v>1025.6400000000001</v>
      </c>
      <c r="M247" s="93">
        <f t="shared" si="101"/>
        <v>599.94000000000005</v>
      </c>
      <c r="N247" s="93">
        <f t="shared" si="101"/>
        <v>650.42999999999995</v>
      </c>
    </row>
    <row r="250" spans="2:14">
      <c r="C250" s="27" t="s">
        <v>261</v>
      </c>
    </row>
    <row r="251" spans="2:14">
      <c r="C251" s="27" t="s">
        <v>262</v>
      </c>
      <c r="D251" s="27"/>
    </row>
    <row r="252" spans="2:14">
      <c r="C252" s="90">
        <f>C194*1000/C16</f>
        <v>62.540689655172415</v>
      </c>
      <c r="D252" s="90">
        <f t="shared" ref="D252:N252" si="102">D194*1000/D16</f>
        <v>62.540689655172415</v>
      </c>
      <c r="E252" s="90">
        <f t="shared" si="102"/>
        <v>65.3648275862069</v>
      </c>
      <c r="F252" s="90">
        <f t="shared" si="102"/>
        <v>62.540689655172415</v>
      </c>
      <c r="G252" s="90">
        <f t="shared" si="102"/>
        <v>62.540689655172415</v>
      </c>
      <c r="H252" s="90">
        <f t="shared" si="102"/>
        <v>62.540689655172415</v>
      </c>
      <c r="I252" s="90">
        <f t="shared" si="102"/>
        <v>63.670344827586199</v>
      </c>
      <c r="J252" s="90">
        <f t="shared" si="102"/>
        <v>66.494482758620705</v>
      </c>
      <c r="K252" s="90">
        <f t="shared" si="102"/>
        <v>62.113125000000011</v>
      </c>
      <c r="L252" s="90">
        <f t="shared" si="102"/>
        <v>66.494482758620705</v>
      </c>
      <c r="M252" s="90">
        <f t="shared" si="102"/>
        <v>62.540689655172415</v>
      </c>
      <c r="N252" s="90">
        <f t="shared" si="102"/>
        <v>75.569999999999993</v>
      </c>
    </row>
    <row r="253" spans="2:14">
      <c r="C253" s="27" t="s">
        <v>19</v>
      </c>
    </row>
    <row r="254" spans="2:14">
      <c r="B254" s="27" t="s">
        <v>15</v>
      </c>
      <c r="C254" s="90">
        <f>(D147+D152)*1000/C16</f>
        <v>232.97810344827585</v>
      </c>
      <c r="D254" s="90">
        <f t="shared" ref="D254:N254" si="103">(E147+E152)*1000/D16</f>
        <v>230</v>
      </c>
      <c r="E254" s="90">
        <f t="shared" si="103"/>
        <v>230</v>
      </c>
      <c r="F254" s="90">
        <f t="shared" si="103"/>
        <v>230</v>
      </c>
      <c r="G254" s="90">
        <f t="shared" si="103"/>
        <v>230</v>
      </c>
      <c r="H254" s="90">
        <f t="shared" si="103"/>
        <v>230</v>
      </c>
      <c r="I254" s="90">
        <f t="shared" si="103"/>
        <v>230</v>
      </c>
      <c r="J254" s="90">
        <f t="shared" si="103"/>
        <v>232.37931034482759</v>
      </c>
      <c r="K254" s="90">
        <f t="shared" si="103"/>
        <v>227.84375</v>
      </c>
      <c r="L254" s="90">
        <f t="shared" si="103"/>
        <v>230</v>
      </c>
      <c r="M254" s="90">
        <f t="shared" si="103"/>
        <v>226.0344827586207</v>
      </c>
      <c r="N254" s="90">
        <f t="shared" si="103"/>
        <v>235.35572916666669</v>
      </c>
    </row>
    <row r="255" spans="2:14">
      <c r="B255" s="27" t="s">
        <v>16</v>
      </c>
      <c r="C255" s="90">
        <f>(D158+D163)*1000/C20</f>
        <v>350.83085714285716</v>
      </c>
      <c r="D255" s="90">
        <f t="shared" ref="D255:N255" si="104">(E158+E163)*1000/D20</f>
        <v>357.65079365079367</v>
      </c>
      <c r="E255" s="90">
        <f t="shared" si="104"/>
        <v>334.22727272727275</v>
      </c>
      <c r="F255" s="90">
        <f t="shared" si="104"/>
        <v>344</v>
      </c>
      <c r="G255" s="90">
        <f t="shared" si="104"/>
        <v>344</v>
      </c>
      <c r="H255" s="90">
        <f t="shared" si="104"/>
        <v>348.91428571428571</v>
      </c>
      <c r="I255" s="90">
        <f t="shared" si="104"/>
        <v>356.90000000000003</v>
      </c>
      <c r="J255" s="90">
        <f t="shared" si="104"/>
        <v>344</v>
      </c>
      <c r="K255" s="90">
        <f t="shared" si="104"/>
        <v>344</v>
      </c>
      <c r="L255" s="90">
        <f t="shared" si="104"/>
        <v>328.36363636363637</v>
      </c>
      <c r="M255" s="90">
        <f t="shared" si="104"/>
        <v>349.73333333333335</v>
      </c>
      <c r="N255" s="90">
        <f t="shared" si="104"/>
        <v>344.72380952380951</v>
      </c>
    </row>
    <row r="258" spans="2:15">
      <c r="C258" s="27" t="s">
        <v>263</v>
      </c>
    </row>
    <row r="259" spans="2:15">
      <c r="C259" s="27" t="s">
        <v>262</v>
      </c>
    </row>
    <row r="260" spans="2:15">
      <c r="C260" s="90">
        <f>C252*C246</f>
        <v>125068.8711724138</v>
      </c>
      <c r="D260" s="90">
        <f t="shared" ref="D260:N260" si="105">D252*D246</f>
        <v>131322.31473103448</v>
      </c>
      <c r="E260" s="90">
        <f t="shared" si="105"/>
        <v>137252.41131724138</v>
      </c>
      <c r="F260" s="90">
        <f t="shared" si="105"/>
        <v>142281.31977931035</v>
      </c>
      <c r="G260" s="90">
        <f t="shared" si="105"/>
        <v>143829.20184827587</v>
      </c>
      <c r="H260" s="90">
        <f t="shared" si="105"/>
        <v>124945.04060689655</v>
      </c>
      <c r="I260" s="90">
        <f t="shared" si="105"/>
        <v>173783.7492827586</v>
      </c>
      <c r="J260" s="90">
        <f t="shared" si="105"/>
        <v>173329.17337241385</v>
      </c>
      <c r="K260" s="90">
        <f t="shared" si="105"/>
        <v>169533.42676875001</v>
      </c>
      <c r="L260" s="90">
        <f t="shared" si="105"/>
        <v>152922.01661379315</v>
      </c>
      <c r="M260" s="90">
        <f t="shared" si="105"/>
        <v>145377.08391724137</v>
      </c>
      <c r="N260" s="90">
        <f t="shared" si="105"/>
        <v>146112.32789999997</v>
      </c>
    </row>
    <row r="261" spans="2:15">
      <c r="C261" s="27" t="s">
        <v>19</v>
      </c>
    </row>
    <row r="262" spans="2:15">
      <c r="C262" s="90">
        <f>C254*C246</f>
        <v>465909.61127586203</v>
      </c>
      <c r="D262" s="90">
        <f t="shared" ref="D262:N262" si="106">D254*D246</f>
        <v>482951.7</v>
      </c>
      <c r="E262" s="90">
        <f t="shared" si="106"/>
        <v>482951.7</v>
      </c>
      <c r="F262" s="90">
        <f t="shared" si="106"/>
        <v>523254.6</v>
      </c>
      <c r="G262" s="90">
        <f t="shared" si="106"/>
        <v>528947.1</v>
      </c>
      <c r="H262" s="90">
        <f t="shared" si="106"/>
        <v>459498.6</v>
      </c>
      <c r="I262" s="90">
        <f t="shared" si="106"/>
        <v>627768.89999999991</v>
      </c>
      <c r="J262" s="90">
        <f t="shared" si="106"/>
        <v>605736.17689655174</v>
      </c>
      <c r="K262" s="90">
        <f t="shared" si="106"/>
        <v>621883.56656249997</v>
      </c>
      <c r="L262" s="90">
        <f t="shared" si="106"/>
        <v>528947.1</v>
      </c>
      <c r="M262" s="90">
        <f t="shared" si="106"/>
        <v>525421.67586206901</v>
      </c>
      <c r="N262" s="90">
        <f t="shared" si="106"/>
        <v>455053.24167187506</v>
      </c>
    </row>
    <row r="263" spans="2:15">
      <c r="C263" s="90">
        <f>C255*C247</f>
        <v>175397.88702857142</v>
      </c>
      <c r="D263" s="90">
        <f t="shared" ref="D263:N263" si="107">D255*D247</f>
        <v>232626.8057142857</v>
      </c>
      <c r="E263" s="90">
        <f t="shared" si="107"/>
        <v>267355.08</v>
      </c>
      <c r="F263" s="90">
        <f t="shared" si="107"/>
        <v>206379.36000000002</v>
      </c>
      <c r="G263" s="90">
        <f t="shared" si="107"/>
        <v>237370.31999999998</v>
      </c>
      <c r="H263" s="90">
        <f t="shared" si="107"/>
        <v>244215.57599999997</v>
      </c>
      <c r="I263" s="90">
        <f t="shared" si="107"/>
        <v>196452.03600000005</v>
      </c>
      <c r="J263" s="90">
        <f t="shared" si="107"/>
        <v>361334.16000000003</v>
      </c>
      <c r="K263" s="90">
        <f t="shared" si="107"/>
        <v>335451.59999999998</v>
      </c>
      <c r="L263" s="90">
        <f t="shared" si="107"/>
        <v>336782.88000000006</v>
      </c>
      <c r="M263" s="90">
        <f t="shared" si="107"/>
        <v>209819.01600000003</v>
      </c>
      <c r="N263" s="90">
        <f t="shared" si="107"/>
        <v>224218.70742857139</v>
      </c>
    </row>
    <row r="266" spans="2:15">
      <c r="B266" s="187" t="s">
        <v>269</v>
      </c>
      <c r="C266" s="188"/>
      <c r="D266" s="188"/>
      <c r="E266" s="188"/>
      <c r="F266" s="226"/>
      <c r="G266" s="98"/>
      <c r="H266" s="98"/>
      <c r="I266" s="98"/>
      <c r="J266" s="98"/>
      <c r="K266" s="98"/>
      <c r="L266" s="98"/>
      <c r="M266" s="98"/>
      <c r="N266" s="98"/>
      <c r="O266" s="98"/>
    </row>
    <row r="267" spans="2:15">
      <c r="B267" s="48"/>
      <c r="C267" s="95" t="s">
        <v>265</v>
      </c>
      <c r="D267" s="95" t="s">
        <v>266</v>
      </c>
      <c r="E267" s="95" t="s">
        <v>267</v>
      </c>
      <c r="F267" s="96" t="s">
        <v>268</v>
      </c>
      <c r="G267" s="92"/>
      <c r="H267" s="92"/>
      <c r="I267" s="91"/>
      <c r="J267" s="92"/>
      <c r="K267" s="92"/>
      <c r="L267" s="92"/>
      <c r="M267" s="92"/>
      <c r="N267" s="92"/>
      <c r="O267" s="94"/>
    </row>
    <row r="268" spans="2:15">
      <c r="B268" s="74"/>
      <c r="C268" s="74"/>
      <c r="D268" s="74"/>
      <c r="E268" s="74"/>
      <c r="F268" s="74"/>
    </row>
    <row r="269" spans="2:15">
      <c r="B269" s="68" t="s">
        <v>143</v>
      </c>
      <c r="C269" s="101">
        <f>C215+D215+E215</f>
        <v>7609.8330000000005</v>
      </c>
      <c r="D269" s="101">
        <f>F215+G215+H215</f>
        <v>7974.5985000000001</v>
      </c>
      <c r="E269" s="101">
        <f>I215+J215+K215</f>
        <v>9946.8764999999985</v>
      </c>
      <c r="F269" s="101">
        <f>N215+M215+L215</f>
        <v>8305.3080000000009</v>
      </c>
    </row>
    <row r="270" spans="2:15">
      <c r="B270" s="48" t="s">
        <v>178</v>
      </c>
      <c r="C270" s="59">
        <f>C216+D216+E216</f>
        <v>3256.8363812394091</v>
      </c>
      <c r="D270" s="59">
        <f t="shared" ref="D270:D277" si="108">F216+G216+H216</f>
        <v>3306.7211182344827</v>
      </c>
      <c r="E270" s="59">
        <f t="shared" ref="E270:E277" si="109">I216+J216+K216</f>
        <v>3961.2727888829741</v>
      </c>
      <c r="F270" s="59">
        <f t="shared" ref="F270:F277" si="110">N216+M216+L216</f>
        <v>3420.6540493935504</v>
      </c>
    </row>
    <row r="271" spans="2:15">
      <c r="B271" s="68" t="s">
        <v>179</v>
      </c>
      <c r="C271" s="101">
        <f>C217+D217+E217</f>
        <v>4352.9966187605914</v>
      </c>
      <c r="D271" s="101">
        <f t="shared" si="108"/>
        <v>4667.8773817655174</v>
      </c>
      <c r="E271" s="101">
        <f t="shared" si="109"/>
        <v>5985.6037111170244</v>
      </c>
      <c r="F271" s="101">
        <f t="shared" si="110"/>
        <v>4884.6539506064491</v>
      </c>
    </row>
    <row r="272" spans="2:15">
      <c r="B272" s="49" t="s">
        <v>180</v>
      </c>
      <c r="C272" s="59">
        <f t="shared" ref="C272:C277" si="111">C218+D218+E218</f>
        <v>744.22890000000007</v>
      </c>
      <c r="D272" s="59">
        <f t="shared" si="108"/>
        <v>762.6388162500001</v>
      </c>
      <c r="E272" s="59">
        <f t="shared" si="109"/>
        <v>862.20004725000013</v>
      </c>
      <c r="F272" s="59">
        <f t="shared" si="110"/>
        <v>779.3162943750001</v>
      </c>
    </row>
    <row r="273" spans="2:6">
      <c r="B273" s="49" t="s">
        <v>181</v>
      </c>
      <c r="C273" s="59">
        <f t="shared" si="111"/>
        <v>20</v>
      </c>
      <c r="D273" s="59">
        <f t="shared" si="108"/>
        <v>20</v>
      </c>
      <c r="E273" s="59">
        <f t="shared" si="109"/>
        <v>20</v>
      </c>
      <c r="F273" s="59">
        <f t="shared" si="110"/>
        <v>20</v>
      </c>
    </row>
    <row r="274" spans="2:6">
      <c r="B274" s="68" t="s">
        <v>182</v>
      </c>
      <c r="C274" s="101">
        <f t="shared" si="111"/>
        <v>3588.7677187605905</v>
      </c>
      <c r="D274" s="101">
        <f t="shared" si="108"/>
        <v>3885.2385655155167</v>
      </c>
      <c r="E274" s="101">
        <f t="shared" si="109"/>
        <v>5103.4036638670241</v>
      </c>
      <c r="F274" s="101">
        <f t="shared" si="110"/>
        <v>4085.3376562314497</v>
      </c>
    </row>
    <row r="275" spans="2:6">
      <c r="B275" s="49" t="s">
        <v>183</v>
      </c>
      <c r="C275" s="59">
        <f t="shared" si="111"/>
        <v>0</v>
      </c>
      <c r="D275" s="59">
        <f t="shared" si="108"/>
        <v>0</v>
      </c>
      <c r="E275" s="59">
        <f t="shared" si="109"/>
        <v>0</v>
      </c>
      <c r="F275" s="59">
        <f t="shared" si="110"/>
        <v>0</v>
      </c>
    </row>
    <row r="276" spans="2:6">
      <c r="B276" s="49" t="s">
        <v>184</v>
      </c>
      <c r="C276" s="59">
        <f t="shared" si="111"/>
        <v>1170.5725855961239</v>
      </c>
      <c r="D276" s="59">
        <f t="shared" si="108"/>
        <v>1400.89017234431</v>
      </c>
      <c r="E276" s="59">
        <f t="shared" si="109"/>
        <v>1574.1525018944824</v>
      </c>
      <c r="F276" s="59">
        <f t="shared" si="110"/>
        <v>1678.676991871476</v>
      </c>
    </row>
    <row r="277" spans="2:6">
      <c r="B277" s="68" t="s">
        <v>185</v>
      </c>
      <c r="C277" s="101">
        <f t="shared" si="111"/>
        <v>2418.1951331644673</v>
      </c>
      <c r="D277" s="101">
        <f t="shared" si="108"/>
        <v>2484.3483931712071</v>
      </c>
      <c r="E277" s="101">
        <f t="shared" si="109"/>
        <v>3529.2511619725424</v>
      </c>
      <c r="F277" s="101">
        <f t="shared" si="110"/>
        <v>2406.6606643599735</v>
      </c>
    </row>
    <row r="279" spans="2:6">
      <c r="B279" s="187" t="s">
        <v>270</v>
      </c>
      <c r="C279" s="188"/>
      <c r="D279" s="99"/>
      <c r="E279" s="97"/>
      <c r="F279" s="97"/>
    </row>
    <row r="280" spans="2:6">
      <c r="B280" s="68" t="s">
        <v>143</v>
      </c>
      <c r="C280" s="101">
        <f>O215</f>
        <v>33836.616000000002</v>
      </c>
    </row>
    <row r="281" spans="2:6">
      <c r="B281" s="48" t="s">
        <v>178</v>
      </c>
      <c r="C281" s="59">
        <f t="shared" ref="C281:C288" si="112">O216</f>
        <v>13945.484337750417</v>
      </c>
    </row>
    <row r="282" spans="2:6">
      <c r="B282" s="68" t="s">
        <v>179</v>
      </c>
      <c r="C282" s="101">
        <f t="shared" si="112"/>
        <v>19891.131662249587</v>
      </c>
    </row>
    <row r="283" spans="2:6">
      <c r="B283" s="49" t="s">
        <v>180</v>
      </c>
      <c r="C283" s="59">
        <f t="shared" si="112"/>
        <v>3148.3840578750001</v>
      </c>
    </row>
    <row r="284" spans="2:6">
      <c r="B284" s="49" t="s">
        <v>181</v>
      </c>
      <c r="C284" s="59">
        <f t="shared" si="112"/>
        <v>80</v>
      </c>
    </row>
    <row r="285" spans="2:6">
      <c r="B285" s="68" t="s">
        <v>182</v>
      </c>
      <c r="C285" s="101">
        <f t="shared" si="112"/>
        <v>16662.747604374588</v>
      </c>
    </row>
    <row r="286" spans="2:6">
      <c r="B286" s="49" t="s">
        <v>183</v>
      </c>
      <c r="C286" s="59">
        <f t="shared" si="112"/>
        <v>0</v>
      </c>
    </row>
    <row r="287" spans="2:6">
      <c r="B287" s="49" t="s">
        <v>184</v>
      </c>
      <c r="C287" s="59">
        <f t="shared" si="112"/>
        <v>5824.2922517063926</v>
      </c>
    </row>
    <row r="288" spans="2:6">
      <c r="B288" s="68" t="s">
        <v>185</v>
      </c>
      <c r="C288" s="101">
        <f t="shared" si="112"/>
        <v>10838.45535266819</v>
      </c>
    </row>
  </sheetData>
  <mergeCells count="40">
    <mergeCell ref="B5:K5"/>
    <mergeCell ref="B213:O213"/>
    <mergeCell ref="B143:B147"/>
    <mergeCell ref="B148:B152"/>
    <mergeCell ref="B154:B158"/>
    <mergeCell ref="B159:B163"/>
    <mergeCell ref="B47:N47"/>
    <mergeCell ref="B106:O106"/>
    <mergeCell ref="B112:O112"/>
    <mergeCell ref="B126:O126"/>
    <mergeCell ref="B140:O140"/>
    <mergeCell ref="B73:N73"/>
    <mergeCell ref="B176:O176"/>
    <mergeCell ref="B197:O197"/>
    <mergeCell ref="B207:O207"/>
    <mergeCell ref="B201:O201"/>
    <mergeCell ref="B1:K1"/>
    <mergeCell ref="B100:O100"/>
    <mergeCell ref="B6:N6"/>
    <mergeCell ref="B13:N13"/>
    <mergeCell ref="B25:N25"/>
    <mergeCell ref="B40:N40"/>
    <mergeCell ref="B54:N54"/>
    <mergeCell ref="B32:N32"/>
    <mergeCell ref="B90:N90"/>
    <mergeCell ref="B68:N68"/>
    <mergeCell ref="B79:N79"/>
    <mergeCell ref="B84:N84"/>
    <mergeCell ref="B95:N95"/>
    <mergeCell ref="B2:K2"/>
    <mergeCell ref="B3:K3"/>
    <mergeCell ref="B4:K4"/>
    <mergeCell ref="B279:C279"/>
    <mergeCell ref="Q11:S11"/>
    <mergeCell ref="Q18:R18"/>
    <mergeCell ref="C64:D64"/>
    <mergeCell ref="P57:T57"/>
    <mergeCell ref="B62:N62"/>
    <mergeCell ref="B226:O226"/>
    <mergeCell ref="B266:F266"/>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dimension ref="A1:AA33"/>
  <sheetViews>
    <sheetView workbookViewId="0">
      <selection activeCell="AC23" sqref="AC23"/>
    </sheetView>
  </sheetViews>
  <sheetFormatPr baseColWidth="10" defaultRowHeight="12.75"/>
  <cols>
    <col min="3" max="3" width="11.42578125" customWidth="1"/>
    <col min="4" max="4" width="12.85546875" customWidth="1"/>
    <col min="5" max="5" width="15.7109375" customWidth="1"/>
    <col min="6" max="6" width="7.5703125" customWidth="1"/>
    <col min="7" max="7" width="19.42578125" customWidth="1"/>
    <col min="8" max="8" width="7.140625" customWidth="1"/>
    <col min="9" max="9" width="8" customWidth="1"/>
    <col min="10" max="10" width="7" customWidth="1"/>
    <col min="11" max="11" width="7.5703125" customWidth="1"/>
    <col min="12" max="12" width="7.85546875" customWidth="1"/>
    <col min="13" max="13" width="7.42578125" customWidth="1"/>
    <col min="14" max="14" width="7.7109375" customWidth="1"/>
    <col min="15" max="15" width="8.5703125" customWidth="1"/>
    <col min="16" max="16" width="7.28515625" customWidth="1"/>
    <col min="17" max="17" width="6.85546875" customWidth="1"/>
    <col min="18" max="18" width="6.42578125" customWidth="1"/>
    <col min="19" max="19" width="6" customWidth="1"/>
    <col min="20" max="20" width="7" customWidth="1"/>
    <col min="21" max="21" width="9" customWidth="1"/>
    <col min="22" max="22" width="7.85546875" customWidth="1"/>
    <col min="23" max="23" width="6.7109375" customWidth="1"/>
    <col min="24" max="24" width="9.85546875" customWidth="1"/>
    <col min="25" max="25" width="6.85546875" customWidth="1"/>
    <col min="26" max="26" width="8.28515625" customWidth="1"/>
    <col min="27" max="27" width="11.7109375" customWidth="1"/>
    <col min="28" max="28" width="8" customWidth="1"/>
    <col min="29" max="29" width="7.42578125" customWidth="1"/>
    <col min="30" max="30" width="8.5703125" customWidth="1"/>
    <col min="31" max="31" width="6.85546875" customWidth="1"/>
    <col min="32" max="32" width="8.5703125" customWidth="1"/>
  </cols>
  <sheetData>
    <row r="1" spans="1:27">
      <c r="B1" s="227" t="s">
        <v>227</v>
      </c>
      <c r="C1" s="227"/>
      <c r="D1" s="227"/>
      <c r="E1" s="227"/>
      <c r="F1" s="227"/>
    </row>
    <row r="2" spans="1:27">
      <c r="C2" s="27" t="s">
        <v>143</v>
      </c>
      <c r="D2" s="227" t="s">
        <v>228</v>
      </c>
      <c r="E2" s="227"/>
    </row>
    <row r="3" spans="1:27">
      <c r="C3" s="27" t="s">
        <v>6</v>
      </c>
      <c r="D3" s="27" t="s">
        <v>219</v>
      </c>
      <c r="E3" s="27" t="s">
        <v>218</v>
      </c>
    </row>
    <row r="4" spans="1:27">
      <c r="C4" s="81">
        <f>2303</f>
        <v>2303</v>
      </c>
      <c r="D4">
        <f>ROUNDUP(C4/100,0)</f>
        <v>24</v>
      </c>
      <c r="E4" s="37">
        <f>ROUNDUP(C4/80,0)</f>
        <v>29</v>
      </c>
      <c r="G4" s="27" t="s">
        <v>229</v>
      </c>
    </row>
    <row r="5" spans="1:27">
      <c r="C5">
        <v>624</v>
      </c>
      <c r="D5">
        <f>ROUNDUP(C5/110,0)</f>
        <v>6</v>
      </c>
      <c r="E5" s="37">
        <f>ROUNDUP(C5/90,0)</f>
        <v>7</v>
      </c>
      <c r="G5">
        <v>13</v>
      </c>
    </row>
    <row r="7" spans="1:27">
      <c r="C7" s="27" t="s">
        <v>225</v>
      </c>
      <c r="D7">
        <f>MIN(D4*100,E4*80)</f>
        <v>2320</v>
      </c>
    </row>
    <row r="8" spans="1:27">
      <c r="C8" s="27" t="s">
        <v>226</v>
      </c>
      <c r="D8">
        <f>MIN(D5*110,E5*90)</f>
        <v>630</v>
      </c>
    </row>
    <row r="9" spans="1:27">
      <c r="C9" s="27"/>
    </row>
    <row r="10" spans="1:27">
      <c r="B10" s="27"/>
      <c r="C10">
        <v>1</v>
      </c>
      <c r="D10">
        <v>2</v>
      </c>
      <c r="E10">
        <v>3</v>
      </c>
      <c r="F10">
        <v>4</v>
      </c>
      <c r="G10">
        <v>5</v>
      </c>
      <c r="H10">
        <v>6</v>
      </c>
      <c r="I10">
        <v>7</v>
      </c>
      <c r="J10">
        <v>8</v>
      </c>
      <c r="K10">
        <v>9</v>
      </c>
      <c r="L10">
        <v>10</v>
      </c>
      <c r="M10">
        <v>11</v>
      </c>
      <c r="N10">
        <v>12</v>
      </c>
      <c r="O10">
        <v>13</v>
      </c>
      <c r="P10">
        <v>14</v>
      </c>
      <c r="Q10">
        <v>15</v>
      </c>
      <c r="R10">
        <v>16</v>
      </c>
      <c r="S10">
        <v>17</v>
      </c>
      <c r="T10">
        <v>18</v>
      </c>
      <c r="U10">
        <v>19</v>
      </c>
      <c r="V10">
        <v>20</v>
      </c>
      <c r="W10">
        <v>21</v>
      </c>
      <c r="X10">
        <v>22</v>
      </c>
    </row>
    <row r="11" spans="1:27" ht="31.5" customHeight="1">
      <c r="A11" s="228" t="s">
        <v>251</v>
      </c>
      <c r="B11" s="79" t="s">
        <v>205</v>
      </c>
      <c r="C11" s="79"/>
      <c r="D11" s="79"/>
      <c r="E11" s="79"/>
      <c r="F11" s="79"/>
      <c r="G11" s="79"/>
      <c r="H11" s="79"/>
      <c r="I11" s="79"/>
      <c r="J11" s="79"/>
      <c r="K11" s="79"/>
      <c r="L11" s="79"/>
      <c r="M11" s="79"/>
      <c r="N11" s="79"/>
      <c r="O11" s="79"/>
      <c r="P11" s="79"/>
      <c r="Q11" s="79"/>
      <c r="R11" s="79"/>
      <c r="S11" s="79"/>
      <c r="T11" s="79"/>
      <c r="U11" s="79"/>
      <c r="V11" s="79"/>
      <c r="W11" s="79"/>
      <c r="X11" s="79"/>
    </row>
    <row r="12" spans="1:27" ht="27" customHeight="1">
      <c r="A12" s="229"/>
      <c r="B12" s="79" t="s">
        <v>206</v>
      </c>
      <c r="C12" s="79"/>
      <c r="D12" s="79"/>
      <c r="E12" s="79"/>
      <c r="F12" s="79"/>
      <c r="G12" s="79"/>
      <c r="H12" s="79"/>
      <c r="I12" s="79"/>
      <c r="J12" s="79"/>
      <c r="K12" s="79"/>
      <c r="L12" s="79"/>
      <c r="M12" s="79"/>
      <c r="N12" s="79"/>
      <c r="O12" s="79"/>
      <c r="P12" s="79"/>
      <c r="Q12" s="79"/>
      <c r="R12" s="79"/>
      <c r="S12" s="79"/>
      <c r="T12" s="79"/>
      <c r="U12" s="79"/>
      <c r="V12" s="79"/>
      <c r="W12" s="79"/>
      <c r="X12" s="79"/>
    </row>
    <row r="13" spans="1:27" ht="24" customHeight="1">
      <c r="A13" s="229"/>
      <c r="B13" s="79" t="s">
        <v>207</v>
      </c>
      <c r="C13" s="79"/>
      <c r="D13" s="79"/>
      <c r="E13" s="79"/>
      <c r="F13" s="79"/>
      <c r="G13" s="79"/>
      <c r="H13" s="79"/>
      <c r="I13" s="79"/>
      <c r="J13" s="79"/>
      <c r="K13" s="79"/>
      <c r="L13" s="79"/>
      <c r="M13" s="79"/>
      <c r="N13" s="79"/>
      <c r="O13" s="79"/>
      <c r="P13" s="79"/>
      <c r="Q13" s="79"/>
      <c r="R13" s="79"/>
      <c r="S13" s="79"/>
      <c r="T13" s="79"/>
      <c r="U13" s="79"/>
      <c r="V13" s="79"/>
      <c r="W13" s="79"/>
      <c r="X13" s="79"/>
      <c r="Z13" s="27" t="s">
        <v>220</v>
      </c>
    </row>
    <row r="14" spans="1:27" ht="25.5" customHeight="1">
      <c r="A14" s="229"/>
      <c r="B14" s="79" t="s">
        <v>208</v>
      </c>
      <c r="C14" s="79"/>
      <c r="D14" s="79"/>
      <c r="E14" s="79"/>
      <c r="F14" s="79"/>
      <c r="G14" s="79"/>
      <c r="H14" s="79"/>
      <c r="I14" s="79"/>
      <c r="J14" s="79"/>
      <c r="K14" s="79"/>
      <c r="L14" s="79"/>
      <c r="M14" s="79"/>
      <c r="N14" s="79"/>
      <c r="O14" s="79"/>
      <c r="P14" s="79"/>
      <c r="Q14" s="79"/>
      <c r="R14" s="79"/>
      <c r="S14" s="79"/>
      <c r="T14" s="79"/>
      <c r="U14" s="79"/>
      <c r="V14" s="79"/>
      <c r="W14" s="79"/>
      <c r="X14" s="79"/>
      <c r="Z14" s="76"/>
      <c r="AA14" s="27" t="s">
        <v>221</v>
      </c>
    </row>
    <row r="15" spans="1:27" ht="28.5" customHeight="1">
      <c r="A15" s="228" t="s">
        <v>252</v>
      </c>
      <c r="B15" s="80" t="s">
        <v>209</v>
      </c>
      <c r="C15" s="80"/>
      <c r="D15" s="80"/>
      <c r="E15" s="80"/>
      <c r="F15" s="80"/>
      <c r="G15" s="80"/>
      <c r="H15" s="80"/>
      <c r="I15" s="80"/>
      <c r="J15" s="80"/>
      <c r="K15" s="80"/>
      <c r="L15" s="80"/>
      <c r="M15" s="80"/>
      <c r="N15" s="80"/>
      <c r="O15" s="80"/>
      <c r="P15" s="80"/>
      <c r="Q15" s="80"/>
      <c r="R15" s="80"/>
      <c r="S15" s="80"/>
      <c r="T15" s="80"/>
      <c r="U15" s="80"/>
      <c r="V15" s="80"/>
      <c r="W15" s="80"/>
      <c r="X15" s="80"/>
      <c r="Z15" s="75"/>
      <c r="AA15" s="27" t="s">
        <v>222</v>
      </c>
    </row>
    <row r="16" spans="1:27" ht="29.25" customHeight="1">
      <c r="A16" s="229"/>
      <c r="B16" s="80" t="s">
        <v>210</v>
      </c>
      <c r="C16" s="80"/>
      <c r="D16" s="80"/>
      <c r="E16" s="80"/>
      <c r="F16" s="80"/>
      <c r="G16" s="80"/>
      <c r="H16" s="80"/>
      <c r="I16" s="80"/>
      <c r="J16" s="80"/>
      <c r="K16" s="80"/>
      <c r="L16" s="80"/>
      <c r="M16" s="80"/>
      <c r="N16" s="80"/>
      <c r="O16" s="80"/>
      <c r="P16" s="80"/>
      <c r="Q16" s="80"/>
      <c r="R16" s="80"/>
      <c r="S16" s="80"/>
      <c r="T16" s="80"/>
      <c r="U16" s="80"/>
      <c r="V16" s="80"/>
      <c r="W16" s="80"/>
      <c r="X16" s="80"/>
      <c r="Z16" s="77"/>
      <c r="AA16" s="27" t="s">
        <v>223</v>
      </c>
    </row>
    <row r="17" spans="1:27" ht="30" customHeight="1">
      <c r="A17" s="229"/>
      <c r="B17" s="80" t="s">
        <v>211</v>
      </c>
      <c r="C17" s="80"/>
      <c r="D17" s="80"/>
      <c r="E17" s="80"/>
      <c r="F17" s="80"/>
      <c r="G17" s="80"/>
      <c r="H17" s="80"/>
      <c r="I17" s="80"/>
      <c r="J17" s="80"/>
      <c r="K17" s="80"/>
      <c r="L17" s="80"/>
      <c r="M17" s="80"/>
      <c r="N17" s="80"/>
      <c r="O17" s="80"/>
      <c r="P17" s="80"/>
      <c r="Q17" s="80"/>
      <c r="R17" s="80"/>
      <c r="S17" s="80"/>
      <c r="T17" s="80"/>
      <c r="U17" s="80"/>
      <c r="V17" s="80"/>
      <c r="W17" s="80"/>
      <c r="X17" s="80"/>
      <c r="Z17" s="78"/>
      <c r="AA17" s="27" t="s">
        <v>224</v>
      </c>
    </row>
    <row r="18" spans="1:27" ht="25.5" customHeight="1">
      <c r="A18" s="229"/>
      <c r="B18" s="80" t="s">
        <v>212</v>
      </c>
      <c r="C18" s="80"/>
      <c r="D18" s="80"/>
      <c r="E18" s="80"/>
      <c r="F18" s="80"/>
      <c r="G18" s="80"/>
      <c r="H18" s="80"/>
      <c r="I18" s="80"/>
      <c r="J18" s="80"/>
      <c r="K18" s="80"/>
      <c r="L18" s="80"/>
      <c r="M18" s="80"/>
      <c r="N18" s="80"/>
      <c r="O18" s="80"/>
      <c r="P18" s="80"/>
      <c r="Q18" s="80"/>
      <c r="R18" s="80"/>
      <c r="S18" s="80"/>
      <c r="T18" s="80"/>
      <c r="U18" s="80"/>
      <c r="V18" s="80"/>
      <c r="W18" s="80"/>
      <c r="X18" s="80"/>
      <c r="AA18" s="27" t="s">
        <v>258</v>
      </c>
    </row>
    <row r="19" spans="1:27" ht="20.25" customHeight="1">
      <c r="A19" s="228" t="s">
        <v>253</v>
      </c>
      <c r="B19" s="82" t="s">
        <v>213</v>
      </c>
      <c r="C19" s="82"/>
      <c r="D19" s="82"/>
      <c r="E19" s="82"/>
      <c r="F19" s="82"/>
      <c r="G19" s="82"/>
      <c r="H19" s="82"/>
      <c r="I19" s="79"/>
      <c r="J19" s="79"/>
      <c r="K19" s="80"/>
      <c r="L19" s="80"/>
      <c r="M19" s="80"/>
      <c r="N19" s="80"/>
      <c r="O19" s="80"/>
      <c r="P19" s="80"/>
      <c r="Q19" s="80"/>
      <c r="R19" s="83"/>
      <c r="S19" s="83"/>
      <c r="T19" s="83"/>
      <c r="U19" s="83"/>
      <c r="V19" s="83"/>
      <c r="W19" s="83"/>
      <c r="X19" s="83"/>
    </row>
    <row r="20" spans="1:27" ht="21.75" customHeight="1">
      <c r="A20" s="229"/>
      <c r="B20" s="82" t="s">
        <v>214</v>
      </c>
      <c r="C20" s="82"/>
      <c r="D20" s="82"/>
      <c r="E20" s="82"/>
      <c r="F20" s="82"/>
      <c r="G20" s="82"/>
      <c r="H20" s="82"/>
      <c r="I20" s="79"/>
      <c r="J20" s="79"/>
      <c r="K20" s="80"/>
      <c r="L20" s="80"/>
      <c r="M20" s="80"/>
      <c r="N20" s="80"/>
      <c r="O20" s="80"/>
      <c r="P20" s="80"/>
      <c r="Q20" s="80"/>
      <c r="R20" s="83"/>
      <c r="S20" s="83"/>
      <c r="T20" s="83"/>
      <c r="U20" s="83"/>
      <c r="V20" s="83"/>
      <c r="W20" s="83"/>
      <c r="X20" s="83"/>
    </row>
    <row r="21" spans="1:27" ht="25.5" customHeight="1">
      <c r="A21" s="229"/>
      <c r="B21" s="82" t="s">
        <v>215</v>
      </c>
      <c r="C21" s="82"/>
      <c r="D21" s="82"/>
      <c r="E21" s="82"/>
      <c r="F21" s="82"/>
      <c r="G21" s="82"/>
      <c r="H21" s="82"/>
      <c r="I21" s="79"/>
      <c r="J21" s="79"/>
      <c r="K21" s="80"/>
      <c r="L21" s="80"/>
      <c r="M21" s="80"/>
      <c r="N21" s="80"/>
      <c r="O21" s="80"/>
      <c r="P21" s="80"/>
      <c r="Q21" s="80"/>
      <c r="R21" s="83"/>
      <c r="S21" s="83"/>
      <c r="T21" s="83"/>
      <c r="U21" s="83"/>
      <c r="V21" s="83"/>
      <c r="W21" s="83"/>
      <c r="X21" s="83"/>
    </row>
    <row r="22" spans="1:27" ht="23.25" customHeight="1">
      <c r="A22" s="229"/>
      <c r="B22" s="84" t="s">
        <v>216</v>
      </c>
      <c r="C22" s="84"/>
      <c r="D22" s="84"/>
      <c r="E22" s="84"/>
      <c r="F22" s="84"/>
      <c r="G22" s="84"/>
      <c r="H22" s="84"/>
      <c r="I22" s="79"/>
      <c r="J22" s="79"/>
      <c r="K22" s="80"/>
      <c r="L22" s="80"/>
      <c r="M22" s="80"/>
      <c r="N22" s="80"/>
      <c r="O22" s="80"/>
      <c r="P22" s="80"/>
      <c r="Q22" s="80"/>
      <c r="R22" s="83"/>
      <c r="S22" s="83"/>
      <c r="T22" s="83"/>
      <c r="U22" s="83"/>
      <c r="V22" s="83"/>
      <c r="W22" s="83"/>
      <c r="X22" s="83"/>
    </row>
    <row r="23" spans="1:27" ht="21.75" customHeight="1">
      <c r="A23" s="229"/>
      <c r="B23" s="74" t="s">
        <v>217</v>
      </c>
      <c r="C23" s="74"/>
      <c r="D23" s="74"/>
      <c r="E23" s="74"/>
      <c r="F23" s="74"/>
      <c r="G23" s="74"/>
      <c r="H23" s="74"/>
      <c r="I23" s="74"/>
      <c r="J23" s="74"/>
      <c r="K23" s="74"/>
      <c r="L23" s="74"/>
      <c r="M23" s="74"/>
      <c r="N23" s="74"/>
      <c r="O23" s="74"/>
      <c r="P23" s="74"/>
      <c r="Q23" s="74"/>
      <c r="R23" s="83"/>
      <c r="S23" s="83"/>
      <c r="T23" s="83"/>
      <c r="U23" s="83"/>
      <c r="V23" s="83"/>
      <c r="W23" s="83"/>
      <c r="X23" s="83"/>
    </row>
    <row r="24" spans="1:27">
      <c r="B24" s="11"/>
      <c r="C24" s="11"/>
      <c r="D24" s="11"/>
      <c r="E24" s="11"/>
      <c r="F24" s="11"/>
      <c r="G24" s="11"/>
      <c r="H24" s="11"/>
      <c r="I24" s="11"/>
      <c r="J24" s="11"/>
      <c r="K24" s="11"/>
      <c r="L24" s="11"/>
      <c r="M24" s="11"/>
      <c r="N24" s="11"/>
      <c r="O24" s="11"/>
      <c r="P24" s="11"/>
      <c r="Q24" s="11"/>
      <c r="R24" s="11"/>
      <c r="S24" s="11"/>
      <c r="T24" s="11"/>
      <c r="U24" s="11"/>
      <c r="V24" s="11"/>
      <c r="W24" s="11"/>
      <c r="X24" s="11"/>
    </row>
    <row r="25" spans="1:27">
      <c r="B25" s="91"/>
      <c r="C25" s="73"/>
      <c r="D25" s="73"/>
      <c r="E25" s="73"/>
      <c r="F25" s="73"/>
      <c r="G25" s="73"/>
      <c r="H25" s="73"/>
      <c r="I25" s="73"/>
      <c r="J25" s="73"/>
      <c r="K25" s="73"/>
      <c r="L25" s="73"/>
      <c r="M25" s="73"/>
      <c r="N25" s="73"/>
      <c r="O25" s="73"/>
      <c r="P25" s="73"/>
      <c r="Q25" s="73"/>
      <c r="R25" s="73"/>
      <c r="S25" s="73"/>
      <c r="T25" s="73"/>
      <c r="U25" s="73"/>
      <c r="V25" s="73"/>
      <c r="W25" s="73"/>
      <c r="X25" s="73"/>
    </row>
    <row r="26" spans="1:27">
      <c r="B26" s="190" t="s">
        <v>257</v>
      </c>
      <c r="C26" s="140"/>
      <c r="D26" s="140"/>
      <c r="E26" s="140"/>
      <c r="F26" s="140"/>
      <c r="G26" s="140"/>
      <c r="H26" s="140"/>
      <c r="I26" s="140"/>
      <c r="J26" s="140"/>
      <c r="K26" s="140"/>
      <c r="L26" s="140"/>
      <c r="M26" s="140"/>
      <c r="N26" s="140"/>
      <c r="O26" s="140"/>
      <c r="P26" s="140"/>
      <c r="Q26" s="140"/>
      <c r="R26" s="140"/>
      <c r="S26" s="140"/>
      <c r="T26" s="140"/>
      <c r="U26" s="140"/>
      <c r="V26" s="140"/>
      <c r="W26" s="140"/>
      <c r="X26" s="141"/>
    </row>
    <row r="27" spans="1:27">
      <c r="B27" s="190" t="s">
        <v>259</v>
      </c>
      <c r="C27" s="140"/>
      <c r="D27" s="140"/>
      <c r="E27" s="140"/>
      <c r="F27" s="140"/>
      <c r="G27" s="140"/>
      <c r="H27" s="140"/>
      <c r="I27" s="140"/>
      <c r="J27" s="140"/>
      <c r="K27" s="140"/>
      <c r="L27" s="140"/>
      <c r="M27" s="140"/>
      <c r="N27" s="140"/>
      <c r="O27" s="140"/>
      <c r="P27" s="140"/>
      <c r="Q27" s="140"/>
      <c r="R27" s="140"/>
      <c r="S27" s="140"/>
      <c r="T27" s="140"/>
      <c r="U27" s="140"/>
      <c r="V27" s="140"/>
      <c r="W27" s="140"/>
      <c r="X27" s="141"/>
    </row>
    <row r="28" spans="1:27">
      <c r="B28" s="139"/>
      <c r="C28" s="140"/>
      <c r="D28" s="140"/>
      <c r="E28" s="140"/>
      <c r="F28" s="140"/>
      <c r="G28" s="140"/>
      <c r="H28" s="140"/>
      <c r="I28" s="140"/>
      <c r="J28" s="140"/>
      <c r="K28" s="140"/>
      <c r="L28" s="140"/>
      <c r="M28" s="140"/>
      <c r="N28" s="140"/>
      <c r="O28" s="140"/>
      <c r="P28" s="140"/>
      <c r="Q28" s="140"/>
      <c r="R28" s="140"/>
      <c r="S28" s="140"/>
      <c r="T28" s="140"/>
      <c r="U28" s="140"/>
      <c r="V28" s="140"/>
      <c r="W28" s="140"/>
      <c r="X28" s="141"/>
    </row>
    <row r="29" spans="1:27">
      <c r="B29" s="139"/>
      <c r="C29" s="140"/>
      <c r="D29" s="140"/>
      <c r="E29" s="140"/>
      <c r="F29" s="140"/>
      <c r="G29" s="140"/>
      <c r="H29" s="140"/>
      <c r="I29" s="140"/>
      <c r="J29" s="140"/>
      <c r="K29" s="140"/>
      <c r="L29" s="140"/>
      <c r="M29" s="140"/>
      <c r="N29" s="140"/>
      <c r="O29" s="140"/>
      <c r="P29" s="140"/>
      <c r="Q29" s="140"/>
      <c r="R29" s="140"/>
      <c r="S29" s="140"/>
      <c r="T29" s="140"/>
      <c r="U29" s="140"/>
      <c r="V29" s="140"/>
      <c r="W29" s="140"/>
      <c r="X29" s="141"/>
    </row>
    <row r="30" spans="1:27">
      <c r="B30" s="139"/>
      <c r="C30" s="140"/>
      <c r="D30" s="140"/>
      <c r="E30" s="140"/>
      <c r="F30" s="140"/>
      <c r="G30" s="140"/>
      <c r="H30" s="140"/>
      <c r="I30" s="140"/>
      <c r="J30" s="140"/>
      <c r="K30" s="140"/>
      <c r="L30" s="140"/>
      <c r="M30" s="140"/>
      <c r="N30" s="140"/>
      <c r="O30" s="140"/>
      <c r="P30" s="140"/>
      <c r="Q30" s="140"/>
      <c r="R30" s="140"/>
      <c r="S30" s="140"/>
      <c r="T30" s="140"/>
      <c r="U30" s="140"/>
      <c r="V30" s="140"/>
      <c r="W30" s="140"/>
      <c r="X30" s="141"/>
    </row>
    <row r="31" spans="1:27">
      <c r="B31" s="139"/>
      <c r="C31" s="140"/>
      <c r="D31" s="140"/>
      <c r="E31" s="140"/>
      <c r="F31" s="140"/>
      <c r="G31" s="140"/>
      <c r="H31" s="140"/>
      <c r="I31" s="140"/>
      <c r="J31" s="140"/>
      <c r="K31" s="140"/>
      <c r="L31" s="140"/>
      <c r="M31" s="140"/>
      <c r="N31" s="140"/>
      <c r="O31" s="140"/>
      <c r="P31" s="140"/>
      <c r="Q31" s="140"/>
      <c r="R31" s="140"/>
      <c r="S31" s="140"/>
      <c r="T31" s="140"/>
      <c r="U31" s="140"/>
      <c r="V31" s="140"/>
      <c r="W31" s="140"/>
      <c r="X31" s="141"/>
      <c r="Y31" s="11"/>
    </row>
    <row r="32" spans="1:27">
      <c r="B32" s="43"/>
      <c r="C32" s="11"/>
      <c r="D32" s="11"/>
      <c r="E32" s="11"/>
      <c r="F32" s="11"/>
      <c r="G32" s="11"/>
      <c r="H32" s="11"/>
      <c r="I32" s="11"/>
      <c r="J32" s="11"/>
      <c r="K32" s="11"/>
      <c r="L32" s="11"/>
      <c r="M32" s="11"/>
      <c r="N32" s="11"/>
      <c r="O32" s="11"/>
      <c r="P32" s="11"/>
      <c r="Q32" s="11"/>
      <c r="R32" s="11"/>
      <c r="S32" s="11"/>
      <c r="T32" s="11"/>
      <c r="U32" s="11"/>
      <c r="V32" s="11"/>
      <c r="W32" s="11"/>
      <c r="X32" s="11"/>
      <c r="Y32" s="11"/>
    </row>
    <row r="33" spans="2:25">
      <c r="B33" s="11"/>
      <c r="C33" s="11"/>
      <c r="D33" s="11"/>
      <c r="E33" s="11"/>
      <c r="F33" s="11"/>
      <c r="G33" s="11"/>
      <c r="H33" s="11"/>
      <c r="I33" s="11"/>
      <c r="J33" s="11"/>
      <c r="K33" s="11"/>
      <c r="L33" s="11"/>
      <c r="M33" s="11"/>
      <c r="N33" s="11"/>
      <c r="O33" s="11"/>
      <c r="P33" s="11"/>
      <c r="Q33" s="11"/>
      <c r="R33" s="11"/>
      <c r="S33" s="11"/>
      <c r="T33" s="11"/>
      <c r="U33" s="11"/>
      <c r="V33" s="11"/>
      <c r="W33" s="11"/>
      <c r="X33" s="11"/>
      <c r="Y33" s="11"/>
    </row>
  </sheetData>
  <mergeCells count="7">
    <mergeCell ref="B26:X26"/>
    <mergeCell ref="B27:X31"/>
    <mergeCell ref="B1:F1"/>
    <mergeCell ref="D2:E2"/>
    <mergeCell ref="A11:A14"/>
    <mergeCell ref="A15:A18"/>
    <mergeCell ref="A19:A23"/>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dimension ref="A1:N7"/>
  <sheetViews>
    <sheetView workbookViewId="0">
      <selection activeCell="N7" sqref="A1:N7"/>
    </sheetView>
  </sheetViews>
  <sheetFormatPr baseColWidth="10" defaultRowHeight="12.75"/>
  <sheetData>
    <row r="1" spans="1:14">
      <c r="A1" s="227" t="s">
        <v>272</v>
      </c>
      <c r="B1" s="233"/>
      <c r="C1" s="233"/>
      <c r="D1" s="233"/>
      <c r="E1" s="233"/>
      <c r="F1" s="233"/>
      <c r="G1" s="233"/>
      <c r="H1" s="233"/>
      <c r="I1" s="233"/>
      <c r="J1" s="233"/>
      <c r="K1" s="233"/>
      <c r="L1" s="233"/>
      <c r="M1" s="233"/>
      <c r="N1" s="233"/>
    </row>
    <row r="2" spans="1:14">
      <c r="A2" s="233"/>
      <c r="B2" s="233"/>
      <c r="C2" s="233"/>
      <c r="D2" s="233"/>
      <c r="E2" s="233"/>
      <c r="F2" s="233"/>
      <c r="G2" s="233"/>
      <c r="H2" s="233"/>
      <c r="I2" s="233"/>
      <c r="J2" s="233"/>
      <c r="K2" s="233"/>
      <c r="L2" s="233"/>
      <c r="M2" s="233"/>
      <c r="N2" s="233"/>
    </row>
    <row r="3" spans="1:14">
      <c r="A3" s="117"/>
      <c r="B3" s="117"/>
      <c r="C3" s="117"/>
      <c r="D3" s="117"/>
      <c r="E3" s="117"/>
      <c r="F3" s="117"/>
      <c r="G3" s="117"/>
      <c r="H3" s="117"/>
      <c r="I3" s="117"/>
      <c r="J3" s="117"/>
      <c r="K3" s="117"/>
      <c r="L3" s="117"/>
      <c r="M3" s="117"/>
      <c r="N3" s="117"/>
    </row>
    <row r="4" spans="1:14">
      <c r="A4" s="3" t="s">
        <v>1</v>
      </c>
      <c r="B4" s="230" t="s">
        <v>271</v>
      </c>
      <c r="C4" s="231"/>
      <c r="D4" s="231"/>
      <c r="E4" s="231"/>
      <c r="F4" s="231"/>
      <c r="G4" s="231"/>
      <c r="H4" s="231"/>
      <c r="I4" s="231"/>
      <c r="J4" s="231"/>
      <c r="K4" s="231"/>
      <c r="L4" s="231"/>
      <c r="M4" s="232"/>
      <c r="N4" s="3" t="s">
        <v>2</v>
      </c>
    </row>
    <row r="5" spans="1:14">
      <c r="A5" s="3"/>
      <c r="B5" s="3" t="s">
        <v>3</v>
      </c>
      <c r="C5" s="3" t="s">
        <v>4</v>
      </c>
      <c r="D5" s="3" t="s">
        <v>5</v>
      </c>
      <c r="E5" s="3" t="s">
        <v>6</v>
      </c>
      <c r="F5" s="3" t="s">
        <v>7</v>
      </c>
      <c r="G5" s="3" t="s">
        <v>8</v>
      </c>
      <c r="H5" s="3" t="s">
        <v>9</v>
      </c>
      <c r="I5" s="3" t="s">
        <v>10</v>
      </c>
      <c r="J5" s="3" t="s">
        <v>11</v>
      </c>
      <c r="K5" s="3" t="s">
        <v>12</v>
      </c>
      <c r="L5" s="3" t="s">
        <v>13</v>
      </c>
      <c r="M5" s="3" t="s">
        <v>14</v>
      </c>
      <c r="N5" s="3"/>
    </row>
    <row r="6" spans="1:14">
      <c r="A6" s="3" t="s">
        <v>15</v>
      </c>
      <c r="B6" s="3">
        <v>2019.6000000000001</v>
      </c>
      <c r="C6" s="3">
        <v>2120.58</v>
      </c>
      <c r="D6" s="3">
        <v>2120.58</v>
      </c>
      <c r="E6" s="3">
        <v>2297.2950000000001</v>
      </c>
      <c r="F6" s="3">
        <v>2322.54</v>
      </c>
      <c r="G6" s="3">
        <v>2017.0755000000001</v>
      </c>
      <c r="H6" s="3">
        <v>2756.7539999999999</v>
      </c>
      <c r="I6" s="3">
        <v>2632.0437000000002</v>
      </c>
      <c r="J6" s="3">
        <v>2756.7539999999999</v>
      </c>
      <c r="K6" s="3">
        <v>2322.54</v>
      </c>
      <c r="L6" s="3">
        <v>2347.7849999999999</v>
      </c>
      <c r="M6" s="3">
        <v>1952.70075</v>
      </c>
      <c r="N6" s="3">
        <v>28219.572909000006</v>
      </c>
    </row>
    <row r="7" spans="1:14">
      <c r="A7" s="3" t="s">
        <v>16</v>
      </c>
      <c r="B7" s="3">
        <v>504.90000000000003</v>
      </c>
      <c r="C7" s="3">
        <v>656.37</v>
      </c>
      <c r="D7" s="3">
        <v>807.84</v>
      </c>
      <c r="E7" s="3">
        <v>605.88</v>
      </c>
      <c r="F7" s="3">
        <v>696.76200000000006</v>
      </c>
      <c r="G7" s="3">
        <v>706.86</v>
      </c>
      <c r="H7" s="3">
        <v>555.39</v>
      </c>
      <c r="I7" s="3">
        <v>1060.29</v>
      </c>
      <c r="J7" s="3">
        <v>984.55500000000006</v>
      </c>
      <c r="K7" s="3">
        <v>1035.0450000000001</v>
      </c>
      <c r="L7" s="3">
        <v>605.88</v>
      </c>
      <c r="M7" s="3">
        <v>656.37</v>
      </c>
      <c r="N7" s="3">
        <v>9053.6648400000013</v>
      </c>
    </row>
  </sheetData>
  <mergeCells count="2">
    <mergeCell ref="B4:M4"/>
    <mergeCell ref="A1:N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74"/>
  <sheetViews>
    <sheetView tabSelected="1" topLeftCell="A28" workbookViewId="0">
      <selection activeCell="N46" sqref="N46"/>
    </sheetView>
  </sheetViews>
  <sheetFormatPr baseColWidth="10" defaultRowHeight="12.75"/>
  <cols>
    <col min="1" max="1" width="20.42578125" customWidth="1"/>
    <col min="2" max="2" width="10.42578125" customWidth="1"/>
    <col min="3" max="3" width="10.85546875" customWidth="1"/>
    <col min="4" max="4" width="12.85546875" customWidth="1"/>
    <col min="5" max="24" width="11.42578125" customWidth="1"/>
  </cols>
  <sheetData>
    <row r="1" spans="1:28">
      <c r="A1" s="258" t="s">
        <v>279</v>
      </c>
      <c r="B1" s="259"/>
      <c r="C1" s="259"/>
      <c r="D1" s="259"/>
      <c r="E1" s="259"/>
      <c r="F1" s="259"/>
      <c r="G1" s="259"/>
      <c r="H1" s="259"/>
      <c r="I1" s="259"/>
      <c r="J1" s="259"/>
      <c r="K1" s="259"/>
      <c r="L1" s="259"/>
      <c r="M1" s="259"/>
      <c r="N1" s="257"/>
      <c r="O1" s="257"/>
      <c r="P1" s="257"/>
      <c r="Q1" s="257"/>
      <c r="R1" s="257"/>
      <c r="S1" s="257"/>
      <c r="T1" s="257"/>
      <c r="U1" s="257"/>
      <c r="V1" s="257"/>
      <c r="W1" s="257"/>
      <c r="X1" s="257"/>
      <c r="Y1" s="257"/>
      <c r="Z1" s="257"/>
      <c r="AA1" s="257"/>
      <c r="AB1" s="257"/>
    </row>
    <row r="2" spans="1:28">
      <c r="A2" s="258" t="s">
        <v>280</v>
      </c>
      <c r="B2" s="259"/>
      <c r="C2" s="259"/>
      <c r="D2" s="259"/>
      <c r="E2" s="259"/>
      <c r="F2" s="259"/>
      <c r="G2" s="259"/>
      <c r="H2" s="259"/>
      <c r="I2" s="259"/>
      <c r="J2" s="259"/>
      <c r="K2" s="259"/>
      <c r="L2" s="259"/>
      <c r="M2" s="259"/>
      <c r="N2" s="257"/>
      <c r="O2" s="257"/>
      <c r="P2" s="257"/>
      <c r="Q2" s="257"/>
      <c r="R2" s="257"/>
      <c r="S2" s="257"/>
      <c r="T2" s="257"/>
      <c r="U2" s="257"/>
      <c r="V2" s="257"/>
      <c r="W2" s="257"/>
      <c r="X2" s="257"/>
      <c r="Y2" s="257"/>
      <c r="Z2" s="257"/>
      <c r="AA2" s="257"/>
      <c r="AB2" s="257"/>
    </row>
    <row r="3" spans="1:28">
      <c r="A3" s="258" t="s">
        <v>281</v>
      </c>
      <c r="B3" s="259"/>
      <c r="C3" s="259"/>
      <c r="D3" s="259"/>
      <c r="E3" s="259"/>
      <c r="F3" s="259"/>
      <c r="G3" s="259"/>
      <c r="H3" s="259"/>
      <c r="I3" s="259"/>
      <c r="J3" s="259"/>
      <c r="K3" s="259"/>
      <c r="L3" s="259"/>
      <c r="M3" s="259"/>
      <c r="N3" s="257"/>
      <c r="O3" s="257"/>
      <c r="P3" s="257"/>
      <c r="Q3" s="257"/>
      <c r="R3" s="257"/>
      <c r="S3" s="257"/>
      <c r="T3" s="257"/>
      <c r="U3" s="257"/>
      <c r="V3" s="257"/>
      <c r="W3" s="257"/>
      <c r="X3" s="257"/>
      <c r="Y3" s="257"/>
      <c r="Z3" s="257"/>
      <c r="AA3" s="257"/>
      <c r="AB3" s="257"/>
    </row>
    <row r="4" spans="1:28">
      <c r="A4" s="260"/>
      <c r="B4" s="261"/>
      <c r="C4" s="261"/>
      <c r="D4" s="261"/>
      <c r="E4" s="261"/>
      <c r="F4" s="261"/>
      <c r="G4" s="261"/>
      <c r="H4" s="261"/>
      <c r="I4" s="261"/>
      <c r="J4" s="261"/>
      <c r="K4" s="261"/>
      <c r="L4" s="261"/>
      <c r="M4" s="261"/>
      <c r="N4" s="257"/>
      <c r="O4" s="257"/>
      <c r="P4" s="257"/>
      <c r="Q4" s="257"/>
      <c r="R4" s="257"/>
      <c r="S4" s="257"/>
      <c r="T4" s="257"/>
      <c r="U4" s="257"/>
      <c r="V4" s="257"/>
      <c r="W4" s="257"/>
      <c r="X4" s="257"/>
      <c r="Y4" s="257"/>
      <c r="Z4" s="257"/>
      <c r="AA4" s="257"/>
      <c r="AB4" s="257"/>
    </row>
    <row r="5" spans="1:28">
      <c r="A5" s="190" t="s">
        <v>278</v>
      </c>
      <c r="B5" s="191"/>
      <c r="C5" s="192"/>
      <c r="D5" s="257"/>
      <c r="E5" s="257"/>
      <c r="F5" s="257"/>
      <c r="G5" s="257"/>
      <c r="H5" s="257"/>
      <c r="I5" s="257"/>
      <c r="J5" s="257"/>
      <c r="K5" s="257"/>
      <c r="L5" s="257"/>
      <c r="M5" s="257"/>
      <c r="N5" s="257"/>
      <c r="O5" s="257"/>
      <c r="P5" s="257"/>
      <c r="Q5" s="257"/>
      <c r="R5" s="257"/>
      <c r="S5" s="257"/>
      <c r="T5" s="257"/>
      <c r="U5" s="257"/>
      <c r="V5" s="257"/>
      <c r="W5" s="257"/>
      <c r="X5" s="257"/>
      <c r="Y5" s="257"/>
      <c r="Z5" s="257"/>
      <c r="AA5" s="257"/>
      <c r="AB5" s="257"/>
    </row>
    <row r="6" spans="1:28">
      <c r="A6" s="48" t="s">
        <v>143</v>
      </c>
      <c r="B6" s="182" t="s">
        <v>228</v>
      </c>
      <c r="C6" s="182"/>
      <c r="D6" s="257"/>
      <c r="E6" s="257"/>
      <c r="F6" s="257"/>
      <c r="G6" s="257"/>
      <c r="H6" s="257"/>
      <c r="I6" s="257"/>
      <c r="J6" s="257"/>
      <c r="K6" s="257"/>
      <c r="L6" s="257"/>
      <c r="M6" s="257"/>
      <c r="N6" s="257"/>
      <c r="O6" s="257"/>
      <c r="P6" s="257"/>
      <c r="Q6" s="257"/>
      <c r="R6" s="257"/>
      <c r="S6" s="257"/>
      <c r="T6" s="257"/>
      <c r="U6" s="257"/>
      <c r="V6" s="257"/>
      <c r="W6" s="257"/>
      <c r="X6" s="257"/>
      <c r="Y6" s="257"/>
      <c r="Z6" s="257"/>
      <c r="AA6" s="257"/>
      <c r="AB6" s="257"/>
    </row>
    <row r="7" spans="1:28">
      <c r="A7" s="48" t="s">
        <v>6</v>
      </c>
      <c r="B7" s="48" t="s">
        <v>219</v>
      </c>
      <c r="C7" s="48" t="s">
        <v>218</v>
      </c>
      <c r="D7" s="257"/>
      <c r="E7" s="257"/>
      <c r="F7" s="257"/>
      <c r="G7" s="257"/>
      <c r="H7" s="257"/>
      <c r="I7" s="257"/>
      <c r="J7" s="257"/>
      <c r="K7" s="257"/>
      <c r="L7" s="257"/>
      <c r="M7" s="257"/>
      <c r="N7" s="257"/>
      <c r="O7" s="257"/>
      <c r="P7" s="257"/>
      <c r="Q7" s="257"/>
      <c r="R7" s="257"/>
      <c r="S7" s="257"/>
      <c r="T7" s="257"/>
      <c r="U7" s="257"/>
      <c r="V7" s="257"/>
      <c r="W7" s="257"/>
      <c r="X7" s="257"/>
      <c r="Y7" s="257"/>
      <c r="Z7" s="257"/>
      <c r="AA7" s="257"/>
      <c r="AB7" s="257"/>
    </row>
    <row r="8" spans="1:28">
      <c r="A8" s="104">
        <v>2303</v>
      </c>
      <c r="B8" s="102">
        <f>ROUNDUP(A8/100,0)</f>
        <v>24</v>
      </c>
      <c r="C8" s="102">
        <f>ROUNDUP(A8/80,0)</f>
        <v>29</v>
      </c>
      <c r="D8" s="257"/>
      <c r="E8" s="257"/>
      <c r="F8" s="257"/>
      <c r="G8" s="257"/>
      <c r="H8" s="257"/>
      <c r="I8" s="257"/>
      <c r="J8" s="257"/>
      <c r="K8" s="257"/>
      <c r="L8" s="257"/>
      <c r="M8" s="257"/>
      <c r="N8" s="257"/>
      <c r="O8" s="257"/>
      <c r="P8" s="257"/>
      <c r="Q8" s="257"/>
      <c r="R8" s="257"/>
      <c r="S8" s="257"/>
      <c r="T8" s="257"/>
      <c r="U8" s="257"/>
      <c r="V8" s="257"/>
      <c r="W8" s="257"/>
      <c r="X8" s="257"/>
      <c r="Y8" s="257"/>
      <c r="Z8" s="257"/>
      <c r="AA8" s="257"/>
      <c r="AB8" s="257"/>
    </row>
    <row r="9" spans="1:28">
      <c r="A9" s="102">
        <v>624</v>
      </c>
      <c r="B9" s="102">
        <f>ROUNDUP(A9/110,0)</f>
        <v>6</v>
      </c>
      <c r="C9" s="102">
        <f>ROUNDUP(A9/90,0)</f>
        <v>7</v>
      </c>
      <c r="D9" s="257"/>
      <c r="E9" s="257"/>
      <c r="F9" s="257"/>
      <c r="G9" s="257"/>
      <c r="H9" s="257"/>
      <c r="I9" s="257"/>
      <c r="J9" s="257"/>
      <c r="K9" s="257"/>
      <c r="L9" s="257"/>
      <c r="M9" s="257"/>
      <c r="N9" s="257"/>
      <c r="O9" s="257"/>
      <c r="P9" s="257"/>
      <c r="Q9" s="257"/>
      <c r="R9" s="257"/>
      <c r="S9" s="257"/>
      <c r="T9" s="257"/>
      <c r="U9" s="257"/>
      <c r="V9" s="257"/>
      <c r="W9" s="257"/>
      <c r="X9" s="257"/>
      <c r="Y9" s="257"/>
      <c r="Z9" s="257"/>
      <c r="AA9" s="257"/>
      <c r="AB9" s="257"/>
    </row>
    <row r="10" spans="1:28">
      <c r="A10" s="103"/>
      <c r="B10" s="103"/>
      <c r="C10" s="103"/>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row>
    <row r="11" spans="1:28">
      <c r="A11" s="48" t="s">
        <v>225</v>
      </c>
      <c r="B11" s="74">
        <f>MIN(B8*100,C8*80)</f>
        <v>2320</v>
      </c>
      <c r="C11" s="74"/>
      <c r="D11" s="257"/>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row>
    <row r="12" spans="1:28">
      <c r="A12" s="48" t="s">
        <v>226</v>
      </c>
      <c r="B12" s="74">
        <f>MIN(B9*110,C9*90)</f>
        <v>630</v>
      </c>
      <c r="C12" s="74"/>
      <c r="D12" s="257"/>
      <c r="E12" s="257"/>
      <c r="F12" s="257"/>
      <c r="G12" s="257"/>
      <c r="H12" s="257"/>
      <c r="I12" s="257"/>
      <c r="J12" s="257"/>
      <c r="K12" s="257"/>
      <c r="L12" s="257"/>
      <c r="M12" s="257"/>
      <c r="N12" s="257"/>
      <c r="O12" s="257"/>
      <c r="P12" s="257"/>
      <c r="Q12" s="257"/>
      <c r="R12" s="257"/>
      <c r="S12" s="257"/>
      <c r="T12" s="257"/>
      <c r="U12" s="257"/>
      <c r="V12" s="257"/>
      <c r="W12" s="257"/>
      <c r="X12" s="257"/>
      <c r="Y12" s="257"/>
      <c r="Z12" s="257"/>
      <c r="AA12" s="257"/>
      <c r="AB12" s="257"/>
    </row>
    <row r="13" spans="1:28">
      <c r="A13" s="257"/>
      <c r="B13" s="257"/>
      <c r="C13" s="257"/>
      <c r="D13" s="257"/>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row>
    <row r="14" spans="1:28">
      <c r="A14" s="257"/>
      <c r="B14" s="257"/>
      <c r="C14" s="257"/>
      <c r="D14" s="257"/>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row>
    <row r="15" spans="1:28">
      <c r="A15" s="74" t="s">
        <v>97</v>
      </c>
      <c r="B15" s="242" t="s">
        <v>277</v>
      </c>
      <c r="C15" s="242"/>
      <c r="D15" s="242"/>
      <c r="E15" s="242"/>
      <c r="F15" s="242"/>
      <c r="G15" s="242"/>
      <c r="H15" s="242"/>
      <c r="I15" s="242"/>
      <c r="J15" s="242"/>
      <c r="K15" s="242"/>
      <c r="L15" s="242"/>
      <c r="M15" s="242"/>
      <c r="N15" s="257"/>
      <c r="O15" s="257"/>
      <c r="P15" s="257"/>
      <c r="Q15" s="257"/>
      <c r="R15" s="257"/>
      <c r="S15" s="257"/>
      <c r="T15" s="257"/>
      <c r="U15" s="257"/>
      <c r="V15" s="257"/>
      <c r="W15" s="257"/>
      <c r="X15" s="257"/>
      <c r="Y15" s="257"/>
      <c r="Z15" s="257"/>
      <c r="AA15" s="257"/>
      <c r="AB15" s="257"/>
    </row>
    <row r="16" spans="1:28">
      <c r="A16" s="74"/>
      <c r="B16" s="74" t="s">
        <v>3</v>
      </c>
      <c r="C16" s="74" t="s">
        <v>4</v>
      </c>
      <c r="D16" s="74" t="s">
        <v>5</v>
      </c>
      <c r="E16" s="74" t="s">
        <v>6</v>
      </c>
      <c r="F16" s="74" t="s">
        <v>7</v>
      </c>
      <c r="G16" s="74" t="s">
        <v>8</v>
      </c>
      <c r="H16" s="74" t="s">
        <v>9</v>
      </c>
      <c r="I16" s="74" t="s">
        <v>10</v>
      </c>
      <c r="J16" s="74" t="s">
        <v>96</v>
      </c>
      <c r="K16" s="74" t="s">
        <v>12</v>
      </c>
      <c r="L16" s="74" t="s">
        <v>13</v>
      </c>
      <c r="M16" s="74" t="s">
        <v>14</v>
      </c>
      <c r="N16" s="257"/>
      <c r="O16" s="257"/>
      <c r="P16" s="257"/>
      <c r="Q16" s="257"/>
      <c r="R16" s="257"/>
      <c r="S16" s="257"/>
      <c r="T16" s="257"/>
      <c r="U16" s="257"/>
      <c r="V16" s="257"/>
      <c r="W16" s="257"/>
      <c r="X16" s="257"/>
      <c r="Y16" s="257"/>
      <c r="Z16" s="257"/>
      <c r="AA16" s="257"/>
      <c r="AB16" s="257"/>
    </row>
    <row r="17" spans="1:28">
      <c r="A17" s="74" t="s">
        <v>98</v>
      </c>
      <c r="B17" s="74">
        <v>24</v>
      </c>
      <c r="C17" s="74">
        <v>24</v>
      </c>
      <c r="D17" s="74">
        <v>24</v>
      </c>
      <c r="E17" s="74">
        <v>24</v>
      </c>
      <c r="F17" s="74">
        <v>24</v>
      </c>
      <c r="G17" s="74">
        <v>24</v>
      </c>
      <c r="H17" s="74">
        <v>24</v>
      </c>
      <c r="I17" s="74">
        <v>24</v>
      </c>
      <c r="J17" s="74">
        <v>26</v>
      </c>
      <c r="K17" s="74">
        <v>24</v>
      </c>
      <c r="L17" s="74">
        <v>24</v>
      </c>
      <c r="M17" s="74">
        <v>21</v>
      </c>
      <c r="N17" s="257"/>
      <c r="O17" s="257"/>
      <c r="P17" s="257"/>
      <c r="Q17" s="257"/>
      <c r="R17" s="257"/>
      <c r="S17" s="257"/>
      <c r="T17" s="257"/>
      <c r="U17" s="257"/>
      <c r="V17" s="257"/>
      <c r="W17" s="257"/>
      <c r="X17" s="257"/>
      <c r="Y17" s="257"/>
      <c r="Z17" s="257"/>
      <c r="AA17" s="257"/>
      <c r="AB17" s="257"/>
    </row>
    <row r="18" spans="1:28">
      <c r="A18" s="74" t="s">
        <v>99</v>
      </c>
      <c r="B18" s="74">
        <v>29</v>
      </c>
      <c r="C18" s="74">
        <v>29</v>
      </c>
      <c r="D18" s="74">
        <v>29</v>
      </c>
      <c r="E18" s="74">
        <v>29</v>
      </c>
      <c r="F18" s="74">
        <v>29</v>
      </c>
      <c r="G18" s="74">
        <v>29</v>
      </c>
      <c r="H18" s="74">
        <v>29</v>
      </c>
      <c r="I18" s="74">
        <v>29</v>
      </c>
      <c r="J18" s="74">
        <v>32</v>
      </c>
      <c r="K18" s="74">
        <v>29</v>
      </c>
      <c r="L18" s="74">
        <v>29</v>
      </c>
      <c r="M18" s="74">
        <v>24</v>
      </c>
      <c r="N18" s="257"/>
      <c r="O18" s="257"/>
      <c r="P18" s="257"/>
      <c r="Q18" s="257"/>
      <c r="R18" s="257"/>
      <c r="S18" s="257"/>
      <c r="T18" s="257"/>
      <c r="U18" s="257"/>
      <c r="V18" s="257"/>
      <c r="W18" s="257"/>
      <c r="X18" s="257"/>
      <c r="Y18" s="257"/>
      <c r="Z18" s="257"/>
      <c r="AA18" s="257"/>
      <c r="AB18" s="257"/>
    </row>
    <row r="19" spans="1:28">
      <c r="A19" s="74" t="s">
        <v>100</v>
      </c>
      <c r="B19" s="74">
        <v>6</v>
      </c>
      <c r="C19" s="74">
        <v>6</v>
      </c>
      <c r="D19" s="74">
        <v>8</v>
      </c>
      <c r="E19" s="74">
        <v>6</v>
      </c>
      <c r="F19" s="74">
        <v>6</v>
      </c>
      <c r="G19" s="74">
        <v>6</v>
      </c>
      <c r="H19" s="74">
        <v>7</v>
      </c>
      <c r="I19" s="74">
        <v>9</v>
      </c>
      <c r="J19" s="74">
        <v>9</v>
      </c>
      <c r="K19" s="74">
        <v>9</v>
      </c>
      <c r="L19" s="74">
        <v>5</v>
      </c>
      <c r="M19" s="74">
        <v>6</v>
      </c>
      <c r="N19" s="257"/>
      <c r="O19" s="257"/>
      <c r="P19" s="257"/>
      <c r="Q19" s="257"/>
      <c r="R19" s="257"/>
      <c r="S19" s="257"/>
      <c r="T19" s="257"/>
      <c r="U19" s="257"/>
      <c r="V19" s="257"/>
      <c r="W19" s="257"/>
      <c r="X19" s="257"/>
      <c r="Y19" s="257"/>
      <c r="Z19" s="257"/>
      <c r="AA19" s="257"/>
      <c r="AB19" s="257"/>
    </row>
    <row r="20" spans="1:28">
      <c r="A20" s="74" t="s">
        <v>101</v>
      </c>
      <c r="B20" s="74">
        <v>7</v>
      </c>
      <c r="C20" s="74">
        <v>7</v>
      </c>
      <c r="D20" s="74">
        <v>10</v>
      </c>
      <c r="E20" s="74">
        <v>7</v>
      </c>
      <c r="F20" s="74">
        <v>7</v>
      </c>
      <c r="G20" s="74">
        <v>7</v>
      </c>
      <c r="H20" s="74">
        <v>8</v>
      </c>
      <c r="I20" s="74">
        <v>11</v>
      </c>
      <c r="J20" s="74">
        <v>11</v>
      </c>
      <c r="K20" s="74">
        <v>11</v>
      </c>
      <c r="L20" s="74">
        <v>6</v>
      </c>
      <c r="M20" s="74">
        <v>7</v>
      </c>
      <c r="N20" s="257"/>
      <c r="O20" s="257"/>
      <c r="P20" s="257"/>
      <c r="Q20" s="257"/>
      <c r="R20" s="257"/>
      <c r="S20" s="257"/>
      <c r="T20" s="257"/>
      <c r="U20" s="257"/>
      <c r="V20" s="257"/>
      <c r="W20" s="257"/>
      <c r="X20" s="257"/>
      <c r="Y20" s="257"/>
      <c r="Z20" s="257"/>
      <c r="AA20" s="257"/>
      <c r="AB20" s="257"/>
    </row>
    <row r="21" spans="1:28">
      <c r="A21" s="257"/>
      <c r="B21" s="257"/>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row>
    <row r="22" spans="1:28">
      <c r="A22" s="48" t="s">
        <v>275</v>
      </c>
      <c r="B22" s="242" t="s">
        <v>276</v>
      </c>
      <c r="C22" s="242"/>
      <c r="D22" s="242"/>
      <c r="E22" s="242"/>
      <c r="F22" s="242"/>
      <c r="G22" s="242"/>
      <c r="H22" s="242"/>
      <c r="I22" s="242"/>
      <c r="J22" s="242"/>
      <c r="K22" s="242"/>
      <c r="L22" s="242"/>
      <c r="M22" s="242"/>
      <c r="N22" s="262"/>
      <c r="O22" s="257"/>
      <c r="P22" s="257"/>
      <c r="Q22" s="257"/>
      <c r="R22" s="257"/>
      <c r="S22" s="257"/>
      <c r="T22" s="257"/>
      <c r="U22" s="257"/>
      <c r="V22" s="257"/>
      <c r="W22" s="257"/>
      <c r="X22" s="257"/>
      <c r="Y22" s="257"/>
      <c r="Z22" s="257"/>
      <c r="AA22" s="257"/>
      <c r="AB22" s="257"/>
    </row>
    <row r="23" spans="1:28">
      <c r="A23" s="74" t="s">
        <v>104</v>
      </c>
      <c r="B23" s="74" t="s">
        <v>3</v>
      </c>
      <c r="C23" s="74" t="s">
        <v>4</v>
      </c>
      <c r="D23" s="74" t="s">
        <v>5</v>
      </c>
      <c r="E23" s="74" t="s">
        <v>6</v>
      </c>
      <c r="F23" s="74" t="s">
        <v>7</v>
      </c>
      <c r="G23" s="74" t="s">
        <v>8</v>
      </c>
      <c r="H23" s="74" t="s">
        <v>9</v>
      </c>
      <c r="I23" s="74" t="s">
        <v>10</v>
      </c>
      <c r="J23" s="74" t="s">
        <v>96</v>
      </c>
      <c r="K23" s="74" t="s">
        <v>12</v>
      </c>
      <c r="L23" s="74" t="s">
        <v>13</v>
      </c>
      <c r="M23" s="74" t="s">
        <v>14</v>
      </c>
      <c r="N23" s="262"/>
      <c r="O23" s="257"/>
      <c r="P23" s="257"/>
      <c r="Q23" s="257"/>
      <c r="R23" s="257"/>
      <c r="S23" s="257"/>
      <c r="T23" s="257"/>
      <c r="U23" s="257"/>
      <c r="V23" s="257"/>
      <c r="W23" s="257"/>
      <c r="X23" s="257"/>
      <c r="Y23" s="257"/>
      <c r="Z23" s="257"/>
      <c r="AA23" s="257"/>
      <c r="AB23" s="257"/>
    </row>
    <row r="24" spans="1:28">
      <c r="A24" s="48" t="s">
        <v>273</v>
      </c>
      <c r="B24" s="74">
        <v>2320</v>
      </c>
      <c r="C24" s="74">
        <v>2320</v>
      </c>
      <c r="D24" s="74">
        <v>2320</v>
      </c>
      <c r="E24" s="74">
        <v>2320</v>
      </c>
      <c r="F24" s="74">
        <v>2320</v>
      </c>
      <c r="G24" s="74">
        <v>2320</v>
      </c>
      <c r="H24" s="74">
        <v>2320</v>
      </c>
      <c r="I24" s="74">
        <v>2320</v>
      </c>
      <c r="J24" s="74">
        <v>2560</v>
      </c>
      <c r="K24" s="74">
        <v>2320</v>
      </c>
      <c r="L24" s="74">
        <v>2320</v>
      </c>
      <c r="M24" s="74">
        <v>1920</v>
      </c>
      <c r="N24" s="262"/>
      <c r="O24" s="257"/>
      <c r="P24" s="257"/>
      <c r="Q24" s="257"/>
      <c r="R24" s="257"/>
      <c r="S24" s="257"/>
      <c r="T24" s="257"/>
      <c r="U24" s="257"/>
      <c r="V24" s="257"/>
      <c r="W24" s="257"/>
      <c r="X24" s="257"/>
      <c r="Y24" s="257"/>
      <c r="Z24" s="257"/>
      <c r="AA24" s="257"/>
      <c r="AB24" s="257"/>
    </row>
    <row r="25" spans="1:28">
      <c r="A25" s="48" t="s">
        <v>274</v>
      </c>
      <c r="B25" s="74">
        <v>630</v>
      </c>
      <c r="C25" s="74">
        <v>630</v>
      </c>
      <c r="D25" s="74">
        <v>880</v>
      </c>
      <c r="E25" s="74">
        <v>630</v>
      </c>
      <c r="F25" s="74">
        <v>630</v>
      </c>
      <c r="G25" s="74">
        <v>630</v>
      </c>
      <c r="H25" s="74">
        <v>720</v>
      </c>
      <c r="I25" s="74">
        <v>990</v>
      </c>
      <c r="J25" s="74">
        <v>990</v>
      </c>
      <c r="K25" s="74">
        <v>990</v>
      </c>
      <c r="L25" s="74">
        <v>540</v>
      </c>
      <c r="M25" s="74">
        <v>630</v>
      </c>
      <c r="N25" s="262"/>
      <c r="O25" s="257"/>
      <c r="P25" s="257"/>
      <c r="Q25" s="257"/>
      <c r="R25" s="257"/>
      <c r="S25" s="257"/>
      <c r="T25" s="257"/>
      <c r="U25" s="257"/>
      <c r="V25" s="257"/>
      <c r="W25" s="257"/>
      <c r="X25" s="257"/>
      <c r="Y25" s="257"/>
      <c r="Z25" s="257"/>
      <c r="AA25" s="257"/>
      <c r="AB25" s="257"/>
    </row>
    <row r="26" spans="1:28">
      <c r="A26" s="257"/>
      <c r="B26" s="257"/>
      <c r="C26" s="257"/>
      <c r="D26" s="257"/>
      <c r="E26" s="257"/>
      <c r="F26" s="257"/>
      <c r="G26" s="257"/>
      <c r="H26" s="257"/>
      <c r="I26" s="257"/>
      <c r="J26" s="257"/>
      <c r="K26" s="257"/>
      <c r="L26" s="257"/>
      <c r="M26" s="257"/>
      <c r="N26" s="262"/>
      <c r="O26" s="257"/>
      <c r="P26" s="257"/>
      <c r="Q26" s="257"/>
      <c r="R26" s="257"/>
      <c r="S26" s="257"/>
      <c r="T26" s="257"/>
      <c r="U26" s="257"/>
      <c r="V26" s="257"/>
      <c r="W26" s="257"/>
      <c r="X26" s="257"/>
      <c r="Y26" s="257"/>
      <c r="Z26" s="257"/>
      <c r="AA26" s="257"/>
      <c r="AB26" s="257"/>
    </row>
    <row r="27" spans="1:28">
      <c r="A27" s="257"/>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row>
    <row r="28" spans="1:28">
      <c r="A28" s="257"/>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row>
    <row r="29" spans="1:28">
      <c r="A29" s="257"/>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c r="AA29" s="257"/>
      <c r="AB29" s="257"/>
    </row>
    <row r="30" spans="1:28">
      <c r="A30" s="257"/>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row>
    <row r="31" spans="1:28">
      <c r="A31" s="257"/>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row>
    <row r="32" spans="1:28">
      <c r="A32" s="257"/>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row>
    <row r="33" spans="1:28">
      <c r="A33" s="257"/>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row>
    <row r="34" spans="1:28">
      <c r="A34" s="257"/>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row>
    <row r="35" spans="1:28">
      <c r="A35" s="257"/>
      <c r="B35" s="257"/>
      <c r="C35" s="257"/>
      <c r="D35" s="257"/>
      <c r="E35" s="257"/>
      <c r="F35" s="257"/>
      <c r="G35" s="257"/>
      <c r="H35" s="257"/>
      <c r="I35" s="257"/>
      <c r="J35" s="257"/>
      <c r="K35" s="257"/>
      <c r="L35" s="257"/>
      <c r="M35" s="257"/>
      <c r="N35" s="257"/>
      <c r="O35" s="257"/>
      <c r="P35" s="257"/>
      <c r="Q35" s="257"/>
      <c r="R35" s="257"/>
      <c r="S35" s="257"/>
      <c r="T35" s="257"/>
      <c r="U35" s="257"/>
      <c r="V35" s="257"/>
      <c r="W35" s="257"/>
      <c r="X35" s="257"/>
      <c r="Y35" s="257"/>
      <c r="Z35" s="257"/>
      <c r="AA35" s="257"/>
      <c r="AB35" s="257"/>
    </row>
    <row r="36" spans="1:28">
      <c r="A36" s="257"/>
      <c r="B36" s="257"/>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c r="AA36" s="257"/>
      <c r="AB36" s="257"/>
    </row>
    <row r="37" spans="1:28">
      <c r="A37" s="257"/>
      <c r="B37" s="257"/>
      <c r="C37" s="257"/>
      <c r="D37" s="257"/>
      <c r="E37" s="257"/>
      <c r="F37" s="257"/>
      <c r="G37" s="257"/>
      <c r="H37" s="257"/>
      <c r="I37" s="257"/>
      <c r="J37" s="257"/>
      <c r="K37" s="257"/>
      <c r="L37" s="257"/>
      <c r="M37" s="257"/>
      <c r="N37" s="257"/>
      <c r="O37" s="257"/>
      <c r="P37" s="257"/>
      <c r="Q37" s="257"/>
      <c r="R37" s="257"/>
      <c r="S37" s="257"/>
      <c r="T37" s="257"/>
      <c r="U37" s="257"/>
      <c r="V37" s="257"/>
      <c r="W37" s="257"/>
      <c r="X37" s="257"/>
      <c r="Y37" s="257"/>
      <c r="Z37" s="257"/>
      <c r="AA37" s="257"/>
      <c r="AB37" s="257"/>
    </row>
    <row r="38" spans="1:28">
      <c r="A38" s="257"/>
      <c r="B38" s="257"/>
      <c r="C38" s="257"/>
      <c r="D38" s="257"/>
      <c r="E38" s="257"/>
      <c r="F38" s="257"/>
      <c r="G38" s="257"/>
      <c r="H38" s="257"/>
      <c r="I38" s="257"/>
      <c r="J38" s="257"/>
      <c r="K38" s="257"/>
      <c r="L38" s="257"/>
      <c r="M38" s="257"/>
      <c r="N38" s="257"/>
      <c r="O38" s="257"/>
      <c r="P38" s="257"/>
      <c r="Q38" s="257"/>
      <c r="R38" s="257"/>
      <c r="S38" s="257"/>
      <c r="T38" s="257"/>
      <c r="U38" s="257"/>
      <c r="V38" s="257"/>
      <c r="W38" s="257"/>
      <c r="X38" s="257"/>
      <c r="Y38" s="257"/>
      <c r="Z38" s="257"/>
      <c r="AA38" s="257"/>
      <c r="AB38" s="257"/>
    </row>
    <row r="39" spans="1:28">
      <c r="A39" s="257"/>
      <c r="B39" s="257"/>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c r="AA39" s="257"/>
      <c r="AB39" s="257"/>
    </row>
    <row r="40" spans="1:28">
      <c r="A40" s="257"/>
      <c r="B40" s="257"/>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c r="AA40" s="257"/>
      <c r="AB40" s="257"/>
    </row>
    <row r="41" spans="1:28">
      <c r="A41" s="257"/>
      <c r="B41" s="257"/>
      <c r="C41" s="257"/>
      <c r="D41" s="257"/>
      <c r="E41" s="257"/>
      <c r="F41" s="257"/>
      <c r="G41" s="257"/>
      <c r="H41" s="257"/>
      <c r="I41" s="257"/>
      <c r="J41" s="257"/>
      <c r="K41" s="257"/>
      <c r="L41" s="257"/>
      <c r="M41" s="257"/>
      <c r="N41" s="257"/>
      <c r="O41" s="257"/>
      <c r="P41" s="257"/>
      <c r="Q41" s="257"/>
      <c r="R41" s="257"/>
      <c r="S41" s="257"/>
      <c r="T41" s="257"/>
      <c r="U41" s="257"/>
      <c r="V41" s="257"/>
      <c r="W41" s="257"/>
      <c r="X41" s="257"/>
      <c r="Y41" s="257"/>
      <c r="Z41" s="257"/>
      <c r="AA41" s="257"/>
      <c r="AB41" s="257"/>
    </row>
    <row r="42" spans="1:28">
      <c r="A42" s="257"/>
      <c r="B42" s="257"/>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c r="AA42" s="257"/>
      <c r="AB42" s="257"/>
    </row>
    <row r="43" spans="1:28">
      <c r="A43" s="257"/>
      <c r="B43" s="257"/>
      <c r="C43" s="257"/>
      <c r="D43" s="257"/>
      <c r="E43" s="257"/>
      <c r="F43" s="257"/>
      <c r="G43" s="257"/>
      <c r="H43" s="257"/>
      <c r="I43" s="257"/>
      <c r="J43" s="257"/>
      <c r="K43" s="257"/>
      <c r="L43" s="257"/>
      <c r="M43" s="257"/>
      <c r="N43" s="257"/>
      <c r="O43" s="257"/>
      <c r="P43" s="257"/>
      <c r="Q43" s="257"/>
      <c r="R43" s="257"/>
      <c r="S43" s="257"/>
      <c r="T43" s="257"/>
      <c r="U43" s="257"/>
      <c r="V43" s="257"/>
      <c r="W43" s="257"/>
      <c r="X43" s="257"/>
      <c r="Y43" s="257"/>
      <c r="Z43" s="257"/>
      <c r="AA43" s="257"/>
      <c r="AB43" s="257"/>
    </row>
    <row r="44" spans="1:28">
      <c r="A44" s="257"/>
      <c r="B44" s="257"/>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c r="AA44" s="257"/>
      <c r="AB44" s="257"/>
    </row>
    <row r="45" spans="1:28">
      <c r="A45" s="257"/>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row>
    <row r="46" spans="1:28">
      <c r="A46" s="257"/>
      <c r="B46" s="257"/>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c r="AA46" s="257"/>
      <c r="AB46" s="257"/>
    </row>
    <row r="47" spans="1:28">
      <c r="A47" s="257"/>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7"/>
    </row>
    <row r="48" spans="1:28">
      <c r="A48" s="257"/>
      <c r="B48" s="257"/>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7"/>
    </row>
    <row r="49" spans="1:28">
      <c r="A49" s="257"/>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7"/>
    </row>
    <row r="50" spans="1:28">
      <c r="A50" s="257"/>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row>
    <row r="51" spans="1:28">
      <c r="B51" s="190" t="s">
        <v>283</v>
      </c>
      <c r="C51" s="140"/>
      <c r="D51" s="140"/>
      <c r="E51" s="140"/>
      <c r="F51" s="140"/>
      <c r="G51" s="140"/>
      <c r="H51" s="140"/>
      <c r="I51" s="140"/>
      <c r="J51" s="140"/>
      <c r="K51" s="140"/>
      <c r="L51" s="140"/>
      <c r="M51" s="140"/>
      <c r="N51" s="140"/>
      <c r="O51" s="140"/>
      <c r="P51" s="140"/>
      <c r="Q51" s="140"/>
      <c r="R51" s="140"/>
      <c r="S51" s="140"/>
      <c r="T51" s="140"/>
      <c r="U51" s="140"/>
      <c r="V51" s="140"/>
      <c r="W51" s="140"/>
      <c r="X51" s="141"/>
      <c r="Y51" s="257"/>
      <c r="Z51" s="257"/>
      <c r="AA51" s="257"/>
      <c r="AB51" s="257"/>
    </row>
    <row r="52" spans="1:28">
      <c r="A52" s="48" t="s">
        <v>282</v>
      </c>
      <c r="B52" s="48"/>
      <c r="C52" s="74">
        <v>1</v>
      </c>
      <c r="D52" s="74">
        <v>2</v>
      </c>
      <c r="E52" s="74">
        <v>3</v>
      </c>
      <c r="F52" s="74">
        <v>4</v>
      </c>
      <c r="G52" s="74">
        <v>5</v>
      </c>
      <c r="H52" s="74">
        <v>6</v>
      </c>
      <c r="I52" s="74">
        <v>7</v>
      </c>
      <c r="J52" s="74">
        <v>8</v>
      </c>
      <c r="K52" s="74">
        <v>9</v>
      </c>
      <c r="L52" s="74">
        <v>10</v>
      </c>
      <c r="M52" s="74">
        <v>11</v>
      </c>
      <c r="N52" s="74">
        <v>12</v>
      </c>
      <c r="O52" s="74">
        <v>13</v>
      </c>
      <c r="P52" s="74">
        <v>14</v>
      </c>
      <c r="Q52" s="74">
        <v>15</v>
      </c>
      <c r="R52" s="74">
        <v>16</v>
      </c>
      <c r="S52" s="74">
        <v>17</v>
      </c>
      <c r="T52" s="74">
        <v>18</v>
      </c>
      <c r="U52" s="74">
        <v>19</v>
      </c>
      <c r="V52" s="74">
        <v>20</v>
      </c>
      <c r="W52" s="74">
        <v>21</v>
      </c>
      <c r="X52" s="74">
        <v>22</v>
      </c>
      <c r="Y52" s="257"/>
      <c r="Z52" s="257"/>
      <c r="AA52" s="257"/>
      <c r="AB52" s="257"/>
    </row>
    <row r="53" spans="1:28">
      <c r="A53" s="234" t="s">
        <v>251</v>
      </c>
      <c r="B53" s="79" t="s">
        <v>205</v>
      </c>
      <c r="C53" s="79"/>
      <c r="D53" s="79"/>
      <c r="E53" s="79"/>
      <c r="F53" s="79"/>
      <c r="G53" s="79"/>
      <c r="H53" s="79"/>
      <c r="I53" s="79"/>
      <c r="J53" s="79"/>
      <c r="K53" s="79"/>
      <c r="L53" s="79"/>
      <c r="M53" s="79"/>
      <c r="N53" s="79"/>
      <c r="O53" s="79"/>
      <c r="P53" s="79"/>
      <c r="Q53" s="79"/>
      <c r="R53" s="79"/>
      <c r="S53" s="79"/>
      <c r="T53" s="79"/>
      <c r="U53" s="79"/>
      <c r="V53" s="79"/>
      <c r="W53" s="79"/>
      <c r="X53" s="79"/>
      <c r="Y53" s="257"/>
      <c r="Z53" s="257"/>
      <c r="AA53" s="257"/>
      <c r="AB53" s="257"/>
    </row>
    <row r="54" spans="1:28">
      <c r="A54" s="235"/>
      <c r="B54" s="79" t="s">
        <v>206</v>
      </c>
      <c r="C54" s="79"/>
      <c r="D54" s="79"/>
      <c r="E54" s="79"/>
      <c r="F54" s="79"/>
      <c r="G54" s="79"/>
      <c r="H54" s="79"/>
      <c r="I54" s="79"/>
      <c r="J54" s="79"/>
      <c r="K54" s="79"/>
      <c r="L54" s="79"/>
      <c r="M54" s="79"/>
      <c r="N54" s="79"/>
      <c r="O54" s="79"/>
      <c r="P54" s="79"/>
      <c r="Q54" s="79"/>
      <c r="R54" s="79"/>
      <c r="S54" s="79"/>
      <c r="T54" s="79"/>
      <c r="U54" s="79"/>
      <c r="V54" s="79"/>
      <c r="W54" s="79"/>
      <c r="X54" s="79"/>
      <c r="Y54" s="257"/>
      <c r="Z54" s="257"/>
      <c r="AA54" s="257"/>
      <c r="AB54" s="257"/>
    </row>
    <row r="55" spans="1:28">
      <c r="A55" s="235"/>
      <c r="B55" s="79" t="s">
        <v>207</v>
      </c>
      <c r="C55" s="79"/>
      <c r="D55" s="79"/>
      <c r="E55" s="79"/>
      <c r="F55" s="79"/>
      <c r="G55" s="79"/>
      <c r="H55" s="79"/>
      <c r="I55" s="79"/>
      <c r="J55" s="79"/>
      <c r="K55" s="79"/>
      <c r="L55" s="79"/>
      <c r="M55" s="79"/>
      <c r="N55" s="79"/>
      <c r="O55" s="79"/>
      <c r="P55" s="79"/>
      <c r="Q55" s="79"/>
      <c r="R55" s="79"/>
      <c r="S55" s="79"/>
      <c r="T55" s="79"/>
      <c r="U55" s="79"/>
      <c r="V55" s="79"/>
      <c r="W55" s="79"/>
      <c r="X55" s="79"/>
      <c r="Y55" s="257"/>
      <c r="Z55" s="48" t="s">
        <v>220</v>
      </c>
      <c r="AA55" s="74"/>
      <c r="AB55" s="257"/>
    </row>
    <row r="56" spans="1:28">
      <c r="A56" s="235"/>
      <c r="B56" s="79" t="s">
        <v>208</v>
      </c>
      <c r="C56" s="79"/>
      <c r="D56" s="79"/>
      <c r="E56" s="79"/>
      <c r="F56" s="79"/>
      <c r="G56" s="79"/>
      <c r="H56" s="79"/>
      <c r="I56" s="79"/>
      <c r="J56" s="79"/>
      <c r="K56" s="79"/>
      <c r="L56" s="79"/>
      <c r="M56" s="79"/>
      <c r="N56" s="79"/>
      <c r="O56" s="79"/>
      <c r="P56" s="79"/>
      <c r="Q56" s="79"/>
      <c r="R56" s="79"/>
      <c r="S56" s="79"/>
      <c r="T56" s="79"/>
      <c r="U56" s="79"/>
      <c r="V56" s="79"/>
      <c r="W56" s="79"/>
      <c r="X56" s="79"/>
      <c r="Y56" s="257"/>
      <c r="Z56" s="79"/>
      <c r="AA56" s="48" t="s">
        <v>221</v>
      </c>
      <c r="AB56" s="257"/>
    </row>
    <row r="57" spans="1:28">
      <c r="A57" s="234" t="s">
        <v>252</v>
      </c>
      <c r="B57" s="80" t="s">
        <v>209</v>
      </c>
      <c r="C57" s="80"/>
      <c r="D57" s="80"/>
      <c r="E57" s="80"/>
      <c r="F57" s="80"/>
      <c r="G57" s="80"/>
      <c r="H57" s="80"/>
      <c r="I57" s="80"/>
      <c r="J57" s="80"/>
      <c r="K57" s="80"/>
      <c r="L57" s="80"/>
      <c r="M57" s="80"/>
      <c r="N57" s="80"/>
      <c r="O57" s="80"/>
      <c r="P57" s="80"/>
      <c r="Q57" s="80"/>
      <c r="R57" s="80"/>
      <c r="S57" s="80"/>
      <c r="T57" s="80"/>
      <c r="U57" s="80"/>
      <c r="V57" s="80"/>
      <c r="W57" s="80"/>
      <c r="X57" s="80"/>
      <c r="Y57" s="257"/>
      <c r="Z57" s="80"/>
      <c r="AA57" s="48" t="s">
        <v>222</v>
      </c>
      <c r="AB57" s="257"/>
    </row>
    <row r="58" spans="1:28">
      <c r="A58" s="235"/>
      <c r="B58" s="80" t="s">
        <v>210</v>
      </c>
      <c r="C58" s="80"/>
      <c r="D58" s="80"/>
      <c r="E58" s="80"/>
      <c r="F58" s="80"/>
      <c r="G58" s="80"/>
      <c r="H58" s="80"/>
      <c r="I58" s="80"/>
      <c r="J58" s="80"/>
      <c r="K58" s="80"/>
      <c r="L58" s="80"/>
      <c r="M58" s="80"/>
      <c r="N58" s="80"/>
      <c r="O58" s="80"/>
      <c r="P58" s="80"/>
      <c r="Q58" s="80"/>
      <c r="R58" s="80"/>
      <c r="S58" s="80"/>
      <c r="T58" s="80"/>
      <c r="U58" s="80"/>
      <c r="V58" s="80"/>
      <c r="W58" s="80"/>
      <c r="X58" s="80"/>
      <c r="Y58" s="257"/>
      <c r="Z58" s="82"/>
      <c r="AA58" s="48" t="s">
        <v>223</v>
      </c>
      <c r="AB58" s="257"/>
    </row>
    <row r="59" spans="1:28">
      <c r="A59" s="235"/>
      <c r="B59" s="80" t="s">
        <v>211</v>
      </c>
      <c r="C59" s="80"/>
      <c r="D59" s="80"/>
      <c r="E59" s="80"/>
      <c r="F59" s="80"/>
      <c r="G59" s="80"/>
      <c r="H59" s="80"/>
      <c r="I59" s="80"/>
      <c r="J59" s="80"/>
      <c r="K59" s="80"/>
      <c r="L59" s="80"/>
      <c r="M59" s="80"/>
      <c r="N59" s="80"/>
      <c r="O59" s="80"/>
      <c r="P59" s="80"/>
      <c r="Q59" s="80"/>
      <c r="R59" s="80"/>
      <c r="S59" s="80"/>
      <c r="T59" s="80"/>
      <c r="U59" s="80"/>
      <c r="V59" s="80"/>
      <c r="W59" s="80"/>
      <c r="X59" s="80"/>
      <c r="Y59" s="257"/>
      <c r="Z59" s="83"/>
      <c r="AA59" s="48" t="s">
        <v>224</v>
      </c>
      <c r="AB59" s="257"/>
    </row>
    <row r="60" spans="1:28">
      <c r="A60" s="235"/>
      <c r="B60" s="80" t="s">
        <v>212</v>
      </c>
      <c r="C60" s="80"/>
      <c r="D60" s="80"/>
      <c r="E60" s="80"/>
      <c r="F60" s="80"/>
      <c r="G60" s="80"/>
      <c r="H60" s="80"/>
      <c r="I60" s="80"/>
      <c r="J60" s="80"/>
      <c r="K60" s="80"/>
      <c r="L60" s="80"/>
      <c r="M60" s="80"/>
      <c r="N60" s="80"/>
      <c r="O60" s="80"/>
      <c r="P60" s="80"/>
      <c r="Q60" s="80"/>
      <c r="R60" s="80"/>
      <c r="S60" s="80"/>
      <c r="T60" s="80"/>
      <c r="U60" s="80"/>
      <c r="V60" s="80"/>
      <c r="W60" s="80"/>
      <c r="X60" s="80"/>
      <c r="Y60" s="257"/>
      <c r="Z60" s="74"/>
      <c r="AA60" s="48" t="s">
        <v>258</v>
      </c>
      <c r="AB60" s="257"/>
    </row>
    <row r="61" spans="1:28" ht="12.75" customHeight="1">
      <c r="A61" s="234" t="s">
        <v>253</v>
      </c>
      <c r="B61" s="82" t="s">
        <v>213</v>
      </c>
      <c r="C61" s="82"/>
      <c r="D61" s="82"/>
      <c r="E61" s="82"/>
      <c r="F61" s="82"/>
      <c r="G61" s="82"/>
      <c r="H61" s="82"/>
      <c r="I61" s="79"/>
      <c r="J61" s="79"/>
      <c r="K61" s="80"/>
      <c r="L61" s="80"/>
      <c r="M61" s="80"/>
      <c r="N61" s="80"/>
      <c r="O61" s="80"/>
      <c r="P61" s="80"/>
      <c r="Q61" s="80"/>
      <c r="R61" s="83"/>
      <c r="S61" s="83"/>
      <c r="T61" s="83"/>
      <c r="U61" s="83"/>
      <c r="V61" s="83"/>
      <c r="W61" s="83"/>
      <c r="X61" s="83"/>
      <c r="Y61" s="257"/>
      <c r="Z61" s="257"/>
      <c r="AA61" s="257"/>
      <c r="AB61" s="257"/>
    </row>
    <row r="62" spans="1:28">
      <c r="A62" s="234"/>
      <c r="B62" s="82" t="s">
        <v>214</v>
      </c>
      <c r="C62" s="82"/>
      <c r="D62" s="82"/>
      <c r="E62" s="82"/>
      <c r="F62" s="82"/>
      <c r="G62" s="82"/>
      <c r="H62" s="82"/>
      <c r="I62" s="79"/>
      <c r="J62" s="79"/>
      <c r="K62" s="80"/>
      <c r="L62" s="80"/>
      <c r="M62" s="80"/>
      <c r="N62" s="80"/>
      <c r="O62" s="80"/>
      <c r="P62" s="80"/>
      <c r="Q62" s="80"/>
      <c r="R62" s="83"/>
      <c r="S62" s="83"/>
      <c r="T62" s="83"/>
      <c r="U62" s="83"/>
      <c r="V62" s="83"/>
      <c r="W62" s="83"/>
      <c r="X62" s="83"/>
      <c r="Y62" s="257"/>
      <c r="Z62" s="257"/>
      <c r="AA62" s="257"/>
      <c r="AB62" s="257"/>
    </row>
    <row r="63" spans="1:28">
      <c r="A63" s="234"/>
      <c r="B63" s="82" t="s">
        <v>215</v>
      </c>
      <c r="C63" s="82"/>
      <c r="D63" s="82"/>
      <c r="E63" s="82"/>
      <c r="F63" s="82"/>
      <c r="G63" s="82"/>
      <c r="H63" s="82"/>
      <c r="I63" s="79"/>
      <c r="J63" s="79"/>
      <c r="K63" s="80"/>
      <c r="L63" s="80"/>
      <c r="M63" s="80"/>
      <c r="N63" s="80"/>
      <c r="O63" s="80"/>
      <c r="P63" s="80"/>
      <c r="Q63" s="80"/>
      <c r="R63" s="83"/>
      <c r="S63" s="83"/>
      <c r="T63" s="83"/>
      <c r="U63" s="83"/>
      <c r="V63" s="83"/>
      <c r="W63" s="83"/>
      <c r="X63" s="83"/>
      <c r="Y63" s="257"/>
      <c r="Z63" s="257"/>
      <c r="AA63" s="257"/>
      <c r="AB63" s="257"/>
    </row>
    <row r="64" spans="1:28">
      <c r="A64" s="234"/>
      <c r="B64" s="84" t="s">
        <v>216</v>
      </c>
      <c r="C64" s="84"/>
      <c r="D64" s="84"/>
      <c r="E64" s="84"/>
      <c r="F64" s="84"/>
      <c r="G64" s="84"/>
      <c r="H64" s="84"/>
      <c r="I64" s="79"/>
      <c r="J64" s="79"/>
      <c r="K64" s="80"/>
      <c r="L64" s="80"/>
      <c r="M64" s="80"/>
      <c r="N64" s="80"/>
      <c r="O64" s="80"/>
      <c r="P64" s="80"/>
      <c r="Q64" s="80"/>
      <c r="R64" s="83"/>
      <c r="S64" s="83"/>
      <c r="T64" s="83"/>
      <c r="U64" s="83"/>
      <c r="V64" s="83"/>
      <c r="W64" s="83"/>
      <c r="X64" s="83"/>
      <c r="Y64" s="257"/>
      <c r="Z64" s="257"/>
      <c r="AA64" s="257"/>
      <c r="AB64" s="257"/>
    </row>
    <row r="65" spans="1:28">
      <c r="A65" s="234"/>
      <c r="B65" s="74" t="s">
        <v>217</v>
      </c>
      <c r="C65" s="74"/>
      <c r="D65" s="74"/>
      <c r="E65" s="74"/>
      <c r="F65" s="74"/>
      <c r="G65" s="74"/>
      <c r="H65" s="74"/>
      <c r="I65" s="74"/>
      <c r="J65" s="74"/>
      <c r="K65" s="74"/>
      <c r="L65" s="74"/>
      <c r="M65" s="74"/>
      <c r="N65" s="74"/>
      <c r="O65" s="74"/>
      <c r="P65" s="74"/>
      <c r="Q65" s="74"/>
      <c r="R65" s="83"/>
      <c r="S65" s="83"/>
      <c r="T65" s="83"/>
      <c r="U65" s="83"/>
      <c r="V65" s="83"/>
      <c r="W65" s="83"/>
      <c r="X65" s="83"/>
      <c r="Y65" s="257"/>
      <c r="Z65" s="257"/>
      <c r="AA65" s="257"/>
      <c r="AB65" s="257"/>
    </row>
    <row r="66" spans="1:28">
      <c r="A66" s="257"/>
      <c r="B66" s="262"/>
      <c r="C66" s="262"/>
      <c r="D66" s="262"/>
      <c r="E66" s="262"/>
      <c r="F66" s="262"/>
      <c r="G66" s="262"/>
      <c r="H66" s="262"/>
      <c r="I66" s="262"/>
      <c r="J66" s="262"/>
      <c r="K66" s="262"/>
      <c r="L66" s="262"/>
      <c r="M66" s="262"/>
      <c r="N66" s="262"/>
      <c r="O66" s="262"/>
      <c r="P66" s="262"/>
      <c r="Q66" s="262"/>
      <c r="R66" s="262"/>
      <c r="S66" s="262"/>
      <c r="T66" s="262"/>
      <c r="U66" s="262"/>
      <c r="V66" s="262"/>
      <c r="W66" s="262"/>
      <c r="X66" s="262"/>
      <c r="Y66" s="257"/>
      <c r="Z66" s="257"/>
      <c r="AA66" s="257"/>
      <c r="AB66" s="257"/>
    </row>
    <row r="67" spans="1:28">
      <c r="A67" s="257"/>
      <c r="B67" s="190" t="s">
        <v>257</v>
      </c>
      <c r="C67" s="140"/>
      <c r="D67" s="140"/>
      <c r="E67" s="140"/>
      <c r="F67" s="140"/>
      <c r="G67" s="140"/>
      <c r="H67" s="140"/>
      <c r="I67" s="140"/>
      <c r="J67" s="140"/>
      <c r="K67" s="140"/>
      <c r="L67" s="140"/>
      <c r="M67" s="140"/>
      <c r="N67" s="140"/>
      <c r="O67" s="140"/>
      <c r="P67" s="140"/>
      <c r="Q67" s="140"/>
      <c r="R67" s="140"/>
      <c r="S67" s="140"/>
      <c r="T67" s="140"/>
      <c r="U67" s="140"/>
      <c r="V67" s="140"/>
      <c r="W67" s="140"/>
      <c r="X67" s="141"/>
      <c r="Y67" s="257"/>
      <c r="Z67" s="257"/>
      <c r="AA67" s="257"/>
      <c r="AB67" s="257"/>
    </row>
    <row r="68" spans="1:28">
      <c r="A68" s="257"/>
      <c r="B68" s="236" t="s">
        <v>259</v>
      </c>
      <c r="C68" s="237"/>
      <c r="D68" s="237"/>
      <c r="E68" s="237"/>
      <c r="F68" s="237"/>
      <c r="G68" s="237"/>
      <c r="H68" s="237"/>
      <c r="I68" s="237"/>
      <c r="J68" s="237"/>
      <c r="K68" s="237"/>
      <c r="L68" s="237"/>
      <c r="M68" s="237"/>
      <c r="N68" s="237"/>
      <c r="O68" s="237"/>
      <c r="P68" s="237"/>
      <c r="Q68" s="237"/>
      <c r="R68" s="237"/>
      <c r="S68" s="237"/>
      <c r="T68" s="237"/>
      <c r="U68" s="237"/>
      <c r="V68" s="237"/>
      <c r="W68" s="237"/>
      <c r="X68" s="238"/>
      <c r="Y68" s="257"/>
      <c r="Z68" s="257"/>
      <c r="AA68" s="257"/>
      <c r="AB68" s="257"/>
    </row>
    <row r="69" spans="1:28">
      <c r="A69" s="257"/>
      <c r="B69" s="239"/>
      <c r="C69" s="240"/>
      <c r="D69" s="240"/>
      <c r="E69" s="240"/>
      <c r="F69" s="240"/>
      <c r="G69" s="240"/>
      <c r="H69" s="240"/>
      <c r="I69" s="240"/>
      <c r="J69" s="240"/>
      <c r="K69" s="240"/>
      <c r="L69" s="240"/>
      <c r="M69" s="240"/>
      <c r="N69" s="240"/>
      <c r="O69" s="240"/>
      <c r="P69" s="240"/>
      <c r="Q69" s="240"/>
      <c r="R69" s="240"/>
      <c r="S69" s="240"/>
      <c r="T69" s="240"/>
      <c r="U69" s="240"/>
      <c r="V69" s="240"/>
      <c r="W69" s="240"/>
      <c r="X69" s="241"/>
      <c r="Y69" s="257"/>
      <c r="Z69" s="257"/>
      <c r="AA69" s="257"/>
      <c r="AB69" s="257"/>
    </row>
    <row r="70" spans="1:28">
      <c r="A70" s="257"/>
      <c r="B70" s="263"/>
      <c r="C70" s="263"/>
      <c r="D70" s="263"/>
      <c r="E70" s="263"/>
      <c r="F70" s="263"/>
      <c r="G70" s="263"/>
      <c r="H70" s="263"/>
      <c r="I70" s="263"/>
      <c r="J70" s="263"/>
      <c r="K70" s="263"/>
      <c r="L70" s="263"/>
      <c r="M70" s="263"/>
      <c r="N70" s="263"/>
      <c r="O70" s="263"/>
      <c r="P70" s="263"/>
      <c r="Q70" s="263"/>
      <c r="R70" s="263"/>
      <c r="S70" s="263"/>
      <c r="T70" s="263"/>
      <c r="U70" s="263"/>
      <c r="V70" s="263"/>
      <c r="W70" s="263"/>
      <c r="X70" s="263"/>
      <c r="Y70" s="257"/>
      <c r="Z70" s="257"/>
      <c r="AA70" s="257"/>
      <c r="AB70" s="257"/>
    </row>
    <row r="71" spans="1:28">
      <c r="A71" s="257"/>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57"/>
      <c r="Z71" s="257"/>
      <c r="AA71" s="257"/>
      <c r="AB71" s="257"/>
    </row>
    <row r="72" spans="1:28">
      <c r="A72" s="257"/>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2"/>
      <c r="Z72" s="257"/>
      <c r="AA72" s="257"/>
      <c r="AB72" s="257"/>
    </row>
    <row r="73" spans="1:28">
      <c r="A73" s="257"/>
      <c r="B73" s="257"/>
      <c r="C73" s="257"/>
      <c r="D73" s="257"/>
      <c r="E73" s="257"/>
      <c r="F73" s="257"/>
      <c r="G73" s="257"/>
      <c r="H73" s="257"/>
      <c r="I73" s="257"/>
      <c r="J73" s="257"/>
      <c r="K73" s="257"/>
      <c r="L73" s="257"/>
      <c r="M73" s="257"/>
      <c r="N73" s="257"/>
      <c r="O73" s="257"/>
      <c r="P73" s="257"/>
      <c r="Q73" s="257"/>
      <c r="R73" s="257"/>
      <c r="S73" s="257"/>
      <c r="T73" s="257"/>
      <c r="U73" s="257"/>
      <c r="V73" s="257"/>
      <c r="W73" s="257"/>
      <c r="X73" s="257"/>
      <c r="Y73" s="257"/>
      <c r="Z73" s="257"/>
      <c r="AA73" s="257"/>
      <c r="AB73" s="257"/>
    </row>
    <row r="74" spans="1:28">
      <c r="V74" s="257"/>
      <c r="W74" s="257"/>
      <c r="X74" s="257"/>
      <c r="Y74" s="257"/>
      <c r="Z74" s="257"/>
      <c r="AA74" s="257"/>
      <c r="AB74" s="257"/>
    </row>
  </sheetData>
  <mergeCells count="13">
    <mergeCell ref="A1:M1"/>
    <mergeCell ref="B68:X69"/>
    <mergeCell ref="B51:X51"/>
    <mergeCell ref="A2:M2"/>
    <mergeCell ref="B15:M15"/>
    <mergeCell ref="B22:M22"/>
    <mergeCell ref="B6:C6"/>
    <mergeCell ref="A5:C5"/>
    <mergeCell ref="A3:M3"/>
    <mergeCell ref="A53:A56"/>
    <mergeCell ref="A57:A60"/>
    <mergeCell ref="A61:A65"/>
    <mergeCell ref="B67:X67"/>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dimension ref="A1:O30"/>
  <sheetViews>
    <sheetView workbookViewId="0">
      <selection activeCell="N29" sqref="A5:N29"/>
    </sheetView>
  </sheetViews>
  <sheetFormatPr baseColWidth="10" defaultRowHeight="12.75"/>
  <cols>
    <col min="1" max="1" width="28.28515625" customWidth="1"/>
    <col min="14" max="14" width="17.28515625" customWidth="1"/>
  </cols>
  <sheetData>
    <row r="1" spans="1:15">
      <c r="A1" s="257"/>
      <c r="B1" s="257"/>
      <c r="C1" s="257"/>
      <c r="D1" s="257"/>
      <c r="E1" s="257"/>
      <c r="F1" s="257"/>
      <c r="G1" s="257"/>
      <c r="H1" s="257"/>
      <c r="I1" s="257"/>
      <c r="J1" s="257"/>
      <c r="K1" s="257"/>
      <c r="L1" s="257"/>
      <c r="M1" s="257"/>
      <c r="N1" s="257"/>
      <c r="O1" s="257"/>
    </row>
    <row r="2" spans="1:15">
      <c r="A2" s="257"/>
      <c r="B2" s="257"/>
      <c r="C2" s="257"/>
      <c r="D2" s="257"/>
      <c r="E2" s="257"/>
      <c r="F2" s="257"/>
      <c r="G2" s="257"/>
      <c r="H2" s="257"/>
      <c r="I2" s="257"/>
      <c r="J2" s="257"/>
      <c r="K2" s="257"/>
      <c r="L2" s="257"/>
      <c r="M2" s="257"/>
      <c r="N2" s="257"/>
      <c r="O2" s="257"/>
    </row>
    <row r="3" spans="1:15">
      <c r="A3" s="257"/>
      <c r="B3" s="257"/>
      <c r="C3" s="257"/>
      <c r="D3" s="257"/>
      <c r="E3" s="257"/>
      <c r="F3" s="257"/>
      <c r="G3" s="257"/>
      <c r="H3" s="257"/>
      <c r="I3" s="257"/>
      <c r="J3" s="257"/>
      <c r="K3" s="257"/>
      <c r="L3" s="257"/>
      <c r="M3" s="257"/>
      <c r="N3" s="257"/>
      <c r="O3" s="257"/>
    </row>
    <row r="4" spans="1:15">
      <c r="A4" s="257"/>
      <c r="B4" s="257"/>
      <c r="C4" s="257"/>
      <c r="D4" s="257"/>
      <c r="E4" s="257"/>
      <c r="F4" s="257"/>
      <c r="G4" s="257"/>
      <c r="H4" s="257"/>
      <c r="I4" s="257"/>
      <c r="J4" s="257"/>
      <c r="K4" s="257"/>
      <c r="L4" s="257"/>
      <c r="M4" s="257"/>
      <c r="N4" s="257"/>
      <c r="O4" s="257"/>
    </row>
    <row r="5" spans="1:15">
      <c r="A5" s="218" t="s">
        <v>164</v>
      </c>
      <c r="B5" s="218"/>
      <c r="C5" s="218"/>
      <c r="D5" s="218"/>
      <c r="E5" s="218"/>
      <c r="F5" s="218"/>
      <c r="G5" s="218"/>
      <c r="H5" s="218"/>
      <c r="I5" s="218"/>
      <c r="J5" s="218"/>
      <c r="K5" s="218"/>
      <c r="L5" s="218"/>
      <c r="M5" s="218"/>
      <c r="N5" s="218"/>
      <c r="O5" s="257"/>
    </row>
    <row r="6" spans="1:15">
      <c r="A6" s="74"/>
      <c r="B6" s="74" t="s">
        <v>3</v>
      </c>
      <c r="C6" s="74" t="s">
        <v>4</v>
      </c>
      <c r="D6" s="74" t="s">
        <v>5</v>
      </c>
      <c r="E6" s="74" t="s">
        <v>6</v>
      </c>
      <c r="F6" s="74" t="s">
        <v>7</v>
      </c>
      <c r="G6" s="74" t="s">
        <v>8</v>
      </c>
      <c r="H6" s="74" t="s">
        <v>9</v>
      </c>
      <c r="I6" s="74" t="s">
        <v>10</v>
      </c>
      <c r="J6" s="74" t="s">
        <v>96</v>
      </c>
      <c r="K6" s="74" t="s">
        <v>12</v>
      </c>
      <c r="L6" s="74" t="s">
        <v>13</v>
      </c>
      <c r="M6" s="74" t="s">
        <v>14</v>
      </c>
      <c r="N6" s="65" t="s">
        <v>123</v>
      </c>
      <c r="O6" s="257"/>
    </row>
    <row r="7" spans="1:15">
      <c r="A7" s="66" t="s">
        <v>133</v>
      </c>
      <c r="B7" s="74"/>
      <c r="C7" s="74"/>
      <c r="D7" s="74"/>
      <c r="E7" s="74"/>
      <c r="F7" s="74"/>
      <c r="G7" s="74"/>
      <c r="H7" s="74"/>
      <c r="I7" s="74"/>
      <c r="J7" s="74"/>
      <c r="K7" s="74"/>
      <c r="L7" s="74"/>
      <c r="M7" s="74"/>
      <c r="N7" s="74"/>
      <c r="O7" s="257"/>
    </row>
    <row r="8" spans="1:15">
      <c r="A8" s="48" t="s">
        <v>165</v>
      </c>
      <c r="B8" s="74">
        <v>24</v>
      </c>
      <c r="C8" s="74">
        <v>24</v>
      </c>
      <c r="D8" s="74">
        <v>24</v>
      </c>
      <c r="E8" s="74">
        <v>24</v>
      </c>
      <c r="F8" s="74">
        <v>24</v>
      </c>
      <c r="G8" s="74">
        <v>24</v>
      </c>
      <c r="H8" s="74">
        <v>24</v>
      </c>
      <c r="I8" s="74">
        <v>24</v>
      </c>
      <c r="J8" s="74">
        <v>26</v>
      </c>
      <c r="K8" s="74">
        <v>24</v>
      </c>
      <c r="L8" s="74">
        <v>24</v>
      </c>
      <c r="M8" s="74">
        <v>21</v>
      </c>
      <c r="N8" s="74">
        <v>287</v>
      </c>
      <c r="O8" s="257"/>
    </row>
    <row r="9" spans="1:15">
      <c r="A9" s="48" t="s">
        <v>284</v>
      </c>
      <c r="B9" s="48">
        <v>8</v>
      </c>
      <c r="C9" s="48">
        <v>8</v>
      </c>
      <c r="D9" s="48">
        <v>8</v>
      </c>
      <c r="E9" s="48">
        <v>8</v>
      </c>
      <c r="F9" s="48">
        <v>8</v>
      </c>
      <c r="G9" s="48">
        <v>8</v>
      </c>
      <c r="H9" s="48">
        <v>8</v>
      </c>
      <c r="I9" s="48">
        <v>8</v>
      </c>
      <c r="J9" s="48">
        <v>8</v>
      </c>
      <c r="K9" s="48">
        <v>8</v>
      </c>
      <c r="L9" s="48">
        <v>8</v>
      </c>
      <c r="M9" s="48">
        <v>8</v>
      </c>
      <c r="N9" s="74">
        <v>8</v>
      </c>
      <c r="O9" s="257"/>
    </row>
    <row r="10" spans="1:15">
      <c r="A10" s="49" t="s">
        <v>167</v>
      </c>
      <c r="B10" s="74">
        <v>29</v>
      </c>
      <c r="C10" s="74">
        <v>29</v>
      </c>
      <c r="D10" s="74">
        <v>29</v>
      </c>
      <c r="E10" s="74">
        <v>29</v>
      </c>
      <c r="F10" s="74">
        <v>29</v>
      </c>
      <c r="G10" s="74">
        <v>29</v>
      </c>
      <c r="H10" s="74">
        <v>29</v>
      </c>
      <c r="I10" s="74">
        <v>29</v>
      </c>
      <c r="J10" s="74">
        <v>32</v>
      </c>
      <c r="K10" s="74">
        <v>29</v>
      </c>
      <c r="L10" s="74">
        <v>29</v>
      </c>
      <c r="M10" s="74">
        <v>24</v>
      </c>
      <c r="N10" s="74">
        <v>346</v>
      </c>
      <c r="O10" s="257"/>
    </row>
    <row r="11" spans="1:15">
      <c r="A11" s="49" t="s">
        <v>285</v>
      </c>
      <c r="B11" s="48">
        <v>8</v>
      </c>
      <c r="C11" s="48">
        <v>8</v>
      </c>
      <c r="D11" s="48">
        <v>8</v>
      </c>
      <c r="E11" s="48">
        <v>8</v>
      </c>
      <c r="F11" s="48">
        <v>8</v>
      </c>
      <c r="G11" s="48">
        <v>8</v>
      </c>
      <c r="H11" s="48">
        <v>8</v>
      </c>
      <c r="I11" s="48">
        <v>8</v>
      </c>
      <c r="J11" s="48">
        <v>8</v>
      </c>
      <c r="K11" s="48">
        <v>8</v>
      </c>
      <c r="L11" s="48">
        <v>8</v>
      </c>
      <c r="M11" s="48">
        <v>8</v>
      </c>
      <c r="N11" s="74">
        <v>8</v>
      </c>
      <c r="O11" s="257"/>
    </row>
    <row r="12" spans="1:15">
      <c r="A12" s="66" t="s">
        <v>134</v>
      </c>
      <c r="B12" s="74"/>
      <c r="C12" s="74"/>
      <c r="D12" s="74"/>
      <c r="E12" s="74"/>
      <c r="F12" s="74"/>
      <c r="G12" s="74"/>
      <c r="H12" s="74"/>
      <c r="I12" s="74"/>
      <c r="J12" s="74"/>
      <c r="K12" s="74"/>
      <c r="L12" s="74"/>
      <c r="M12" s="74"/>
      <c r="N12" s="74"/>
      <c r="O12" s="257"/>
    </row>
    <row r="13" spans="1:15">
      <c r="A13" s="48" t="s">
        <v>165</v>
      </c>
      <c r="B13" s="74">
        <v>6</v>
      </c>
      <c r="C13" s="74">
        <v>6</v>
      </c>
      <c r="D13" s="74">
        <v>8</v>
      </c>
      <c r="E13" s="74">
        <v>6</v>
      </c>
      <c r="F13" s="74">
        <v>6</v>
      </c>
      <c r="G13" s="74">
        <v>6</v>
      </c>
      <c r="H13" s="74">
        <v>7</v>
      </c>
      <c r="I13" s="74">
        <v>9</v>
      </c>
      <c r="J13" s="74">
        <v>9</v>
      </c>
      <c r="K13" s="74">
        <v>9</v>
      </c>
      <c r="L13" s="74">
        <v>5</v>
      </c>
      <c r="M13" s="74">
        <v>6</v>
      </c>
      <c r="N13" s="74">
        <v>83</v>
      </c>
      <c r="O13" s="257"/>
    </row>
    <row r="14" spans="1:15">
      <c r="A14" s="48" t="s">
        <v>166</v>
      </c>
      <c r="B14" s="74">
        <v>3</v>
      </c>
      <c r="C14" s="74">
        <v>3</v>
      </c>
      <c r="D14" s="74">
        <v>3</v>
      </c>
      <c r="E14" s="74">
        <v>3</v>
      </c>
      <c r="F14" s="74">
        <v>3</v>
      </c>
      <c r="G14" s="74">
        <v>3</v>
      </c>
      <c r="H14" s="74">
        <v>3</v>
      </c>
      <c r="I14" s="74">
        <v>3</v>
      </c>
      <c r="J14" s="74">
        <v>3</v>
      </c>
      <c r="K14" s="74">
        <v>3</v>
      </c>
      <c r="L14" s="74">
        <v>3</v>
      </c>
      <c r="M14" s="74">
        <v>3</v>
      </c>
      <c r="N14" s="74">
        <v>3</v>
      </c>
      <c r="O14" s="257"/>
    </row>
    <row r="15" spans="1:15">
      <c r="A15" s="49" t="s">
        <v>167</v>
      </c>
      <c r="B15" s="74">
        <v>7</v>
      </c>
      <c r="C15" s="74">
        <v>7</v>
      </c>
      <c r="D15" s="74">
        <v>10</v>
      </c>
      <c r="E15" s="74">
        <v>7</v>
      </c>
      <c r="F15" s="74">
        <v>7</v>
      </c>
      <c r="G15" s="74">
        <v>7</v>
      </c>
      <c r="H15" s="74">
        <v>8</v>
      </c>
      <c r="I15" s="74">
        <v>11</v>
      </c>
      <c r="J15" s="74">
        <v>11</v>
      </c>
      <c r="K15" s="74">
        <v>11</v>
      </c>
      <c r="L15" s="74">
        <v>6</v>
      </c>
      <c r="M15" s="74">
        <v>7</v>
      </c>
      <c r="N15" s="74">
        <v>99</v>
      </c>
      <c r="O15" s="257"/>
    </row>
    <row r="16" spans="1:15">
      <c r="A16" s="49" t="s">
        <v>168</v>
      </c>
      <c r="B16" s="74">
        <v>5</v>
      </c>
      <c r="C16" s="74">
        <v>5</v>
      </c>
      <c r="D16" s="74">
        <v>5</v>
      </c>
      <c r="E16" s="74">
        <v>5</v>
      </c>
      <c r="F16" s="74">
        <v>5</v>
      </c>
      <c r="G16" s="74">
        <v>5</v>
      </c>
      <c r="H16" s="74">
        <v>5</v>
      </c>
      <c r="I16" s="74">
        <v>5</v>
      </c>
      <c r="J16" s="74">
        <v>5</v>
      </c>
      <c r="K16" s="74">
        <v>5</v>
      </c>
      <c r="L16" s="74">
        <v>5</v>
      </c>
      <c r="M16" s="74">
        <v>5</v>
      </c>
      <c r="N16" s="74">
        <v>5</v>
      </c>
      <c r="O16" s="257"/>
    </row>
    <row r="17" spans="1:15">
      <c r="A17" s="49" t="s">
        <v>169</v>
      </c>
      <c r="B17" s="74">
        <v>66</v>
      </c>
      <c r="C17" s="74">
        <v>66</v>
      </c>
      <c r="D17" s="74">
        <v>71</v>
      </c>
      <c r="E17" s="74">
        <v>66</v>
      </c>
      <c r="F17" s="74">
        <v>66</v>
      </c>
      <c r="G17" s="74">
        <v>66</v>
      </c>
      <c r="H17" s="74">
        <v>68</v>
      </c>
      <c r="I17" s="74">
        <v>73</v>
      </c>
      <c r="J17" s="74">
        <v>78</v>
      </c>
      <c r="K17" s="74">
        <v>73</v>
      </c>
      <c r="L17" s="74">
        <v>64</v>
      </c>
      <c r="M17" s="74">
        <v>58</v>
      </c>
      <c r="N17" s="74">
        <v>815</v>
      </c>
      <c r="O17" s="257"/>
    </row>
    <row r="18" spans="1:15">
      <c r="A18" s="49" t="s">
        <v>170</v>
      </c>
      <c r="B18" s="74">
        <v>13</v>
      </c>
      <c r="C18" s="74">
        <v>13</v>
      </c>
      <c r="D18" s="74">
        <v>13</v>
      </c>
      <c r="E18" s="74">
        <v>13</v>
      </c>
      <c r="F18" s="74">
        <v>13</v>
      </c>
      <c r="G18" s="74">
        <v>13</v>
      </c>
      <c r="H18" s="74">
        <v>13</v>
      </c>
      <c r="I18" s="74">
        <v>13</v>
      </c>
      <c r="J18" s="74">
        <v>13</v>
      </c>
      <c r="K18" s="74">
        <v>13</v>
      </c>
      <c r="L18" s="74">
        <v>13</v>
      </c>
      <c r="M18" s="74">
        <v>13</v>
      </c>
      <c r="N18" s="74">
        <v>13</v>
      </c>
      <c r="O18" s="257"/>
    </row>
    <row r="19" spans="1:15">
      <c r="A19" s="49" t="s">
        <v>171</v>
      </c>
      <c r="B19" s="59">
        <v>80.608000000000004</v>
      </c>
      <c r="C19" s="59">
        <v>80.608000000000004</v>
      </c>
      <c r="D19" s="59">
        <v>80.608000000000004</v>
      </c>
      <c r="E19" s="59">
        <v>80.608000000000004</v>
      </c>
      <c r="F19" s="59">
        <v>80.608000000000004</v>
      </c>
      <c r="G19" s="59">
        <v>80.608000000000004</v>
      </c>
      <c r="H19" s="59">
        <v>80.608000000000004</v>
      </c>
      <c r="I19" s="59">
        <v>80.608000000000004</v>
      </c>
      <c r="J19" s="59">
        <v>80.608000000000004</v>
      </c>
      <c r="K19" s="59">
        <v>80.608000000000004</v>
      </c>
      <c r="L19" s="59">
        <v>80.608000000000004</v>
      </c>
      <c r="M19" s="59">
        <v>80.608000000000004</v>
      </c>
      <c r="N19" s="59">
        <v>967.29599999999982</v>
      </c>
      <c r="O19" s="257"/>
    </row>
    <row r="20" spans="1:15">
      <c r="A20" s="49" t="s">
        <v>172</v>
      </c>
      <c r="B20" s="59">
        <v>0</v>
      </c>
      <c r="C20" s="59">
        <v>0</v>
      </c>
      <c r="D20" s="59">
        <v>2.52</v>
      </c>
      <c r="E20" s="59">
        <v>0</v>
      </c>
      <c r="F20" s="59">
        <v>0</v>
      </c>
      <c r="G20" s="59">
        <v>0</v>
      </c>
      <c r="H20" s="59">
        <v>1.008</v>
      </c>
      <c r="I20" s="59">
        <v>3.528</v>
      </c>
      <c r="J20" s="59">
        <v>5.3520000000000003</v>
      </c>
      <c r="K20" s="59">
        <v>3.528</v>
      </c>
      <c r="L20" s="59">
        <v>0</v>
      </c>
      <c r="M20" s="59">
        <v>0</v>
      </c>
      <c r="N20" s="59">
        <v>15.936000000000002</v>
      </c>
      <c r="O20" s="257"/>
    </row>
    <row r="21" spans="1:15">
      <c r="A21" s="49" t="s">
        <v>173</v>
      </c>
      <c r="B21" s="87">
        <v>80.608000000000004</v>
      </c>
      <c r="C21" s="87">
        <v>80.608000000000004</v>
      </c>
      <c r="D21" s="87">
        <v>83.128</v>
      </c>
      <c r="E21" s="87">
        <v>80.608000000000004</v>
      </c>
      <c r="F21" s="87">
        <v>80.608000000000004</v>
      </c>
      <c r="G21" s="87">
        <v>80.608000000000004</v>
      </c>
      <c r="H21" s="87">
        <v>81.616</v>
      </c>
      <c r="I21" s="87">
        <v>84.13600000000001</v>
      </c>
      <c r="J21" s="87">
        <v>85.960000000000008</v>
      </c>
      <c r="K21" s="87">
        <v>84.13600000000001</v>
      </c>
      <c r="L21" s="87">
        <v>80.608000000000004</v>
      </c>
      <c r="M21" s="87">
        <v>80.608000000000004</v>
      </c>
      <c r="N21" s="87">
        <v>983.23199999999997</v>
      </c>
      <c r="O21" s="257"/>
    </row>
    <row r="22" spans="1:15">
      <c r="A22" s="49" t="s">
        <v>174</v>
      </c>
      <c r="B22" s="59">
        <v>64.486400000000003</v>
      </c>
      <c r="C22" s="59">
        <v>64.486400000000003</v>
      </c>
      <c r="D22" s="59">
        <v>68.5184</v>
      </c>
      <c r="E22" s="59">
        <v>64.486400000000003</v>
      </c>
      <c r="F22" s="59">
        <v>64.486400000000003</v>
      </c>
      <c r="G22" s="59">
        <v>64.486400000000003</v>
      </c>
      <c r="H22" s="59">
        <v>66.099199999999996</v>
      </c>
      <c r="I22" s="59">
        <v>70.131200000000021</v>
      </c>
      <c r="J22" s="59">
        <v>73.049600000000012</v>
      </c>
      <c r="K22" s="59">
        <v>70.131200000000021</v>
      </c>
      <c r="L22" s="59">
        <v>64.486400000000003</v>
      </c>
      <c r="M22" s="59">
        <v>64.486400000000003</v>
      </c>
      <c r="N22" s="59">
        <v>799.33440000000007</v>
      </c>
      <c r="O22" s="257"/>
    </row>
    <row r="23" spans="1:15">
      <c r="A23" s="49" t="s">
        <v>175</v>
      </c>
      <c r="B23" s="87">
        <v>145.09440000000001</v>
      </c>
      <c r="C23" s="87">
        <v>145.09440000000001</v>
      </c>
      <c r="D23" s="87">
        <v>151.6464</v>
      </c>
      <c r="E23" s="87">
        <v>145.09440000000001</v>
      </c>
      <c r="F23" s="87">
        <v>145.09440000000001</v>
      </c>
      <c r="G23" s="87">
        <v>145.09440000000001</v>
      </c>
      <c r="H23" s="87">
        <v>147.71519999999998</v>
      </c>
      <c r="I23" s="87">
        <v>154.26720000000003</v>
      </c>
      <c r="J23" s="87">
        <v>159.00960000000003</v>
      </c>
      <c r="K23" s="87">
        <v>154.26720000000003</v>
      </c>
      <c r="L23" s="87">
        <v>145.09440000000001</v>
      </c>
      <c r="M23" s="87">
        <v>145.09440000000001</v>
      </c>
      <c r="N23" s="87">
        <v>1782.5663999999999</v>
      </c>
      <c r="O23" s="257"/>
    </row>
    <row r="24" spans="1:15">
      <c r="A24" s="257"/>
      <c r="B24" s="257"/>
      <c r="C24" s="257"/>
      <c r="D24" s="257"/>
      <c r="E24" s="257"/>
      <c r="F24" s="257"/>
      <c r="G24" s="257"/>
      <c r="H24" s="257"/>
      <c r="I24" s="257"/>
      <c r="J24" s="257"/>
      <c r="K24" s="257"/>
      <c r="L24" s="257"/>
      <c r="M24" s="257"/>
      <c r="N24" s="257"/>
      <c r="O24" s="257"/>
    </row>
    <row r="25" spans="1:15">
      <c r="A25" s="257"/>
      <c r="B25" s="243" t="s">
        <v>286</v>
      </c>
      <c r="C25" s="243"/>
      <c r="D25" s="243"/>
      <c r="E25" s="243"/>
      <c r="F25" s="243"/>
      <c r="G25" s="243"/>
      <c r="H25" s="243"/>
      <c r="I25" s="243"/>
      <c r="J25" s="243"/>
      <c r="K25" s="243"/>
      <c r="L25" s="243"/>
      <c r="M25" s="243"/>
      <c r="N25" s="257"/>
      <c r="O25" s="257"/>
    </row>
    <row r="26" spans="1:15">
      <c r="A26" s="265"/>
      <c r="B26" s="74" t="s">
        <v>3</v>
      </c>
      <c r="C26" s="74" t="s">
        <v>4</v>
      </c>
      <c r="D26" s="74" t="s">
        <v>5</v>
      </c>
      <c r="E26" s="74" t="s">
        <v>6</v>
      </c>
      <c r="F26" s="74" t="s">
        <v>7</v>
      </c>
      <c r="G26" s="74" t="s">
        <v>8</v>
      </c>
      <c r="H26" s="74" t="s">
        <v>9</v>
      </c>
      <c r="I26" s="74" t="s">
        <v>10</v>
      </c>
      <c r="J26" s="74" t="s">
        <v>96</v>
      </c>
      <c r="K26" s="74" t="s">
        <v>12</v>
      </c>
      <c r="L26" s="74" t="s">
        <v>13</v>
      </c>
      <c r="M26" s="74" t="s">
        <v>14</v>
      </c>
      <c r="N26" s="257"/>
      <c r="O26" s="257"/>
    </row>
    <row r="27" spans="1:15">
      <c r="A27" s="257"/>
      <c r="B27" s="59">
        <v>62.540689655172415</v>
      </c>
      <c r="C27" s="59">
        <v>62.540689655172415</v>
      </c>
      <c r="D27" s="59">
        <v>65.3648275862069</v>
      </c>
      <c r="E27" s="59">
        <v>62.540689655172415</v>
      </c>
      <c r="F27" s="59">
        <v>62.540689655172415</v>
      </c>
      <c r="G27" s="59">
        <v>62.540689655172415</v>
      </c>
      <c r="H27" s="59">
        <v>63.670344827586199</v>
      </c>
      <c r="I27" s="59">
        <v>66.494482758620705</v>
      </c>
      <c r="J27" s="59">
        <v>62.113125000000011</v>
      </c>
      <c r="K27" s="59">
        <v>66.494482758620705</v>
      </c>
      <c r="L27" s="59">
        <v>62.540689655172415</v>
      </c>
      <c r="M27" s="59">
        <v>75.569999999999993</v>
      </c>
      <c r="N27" s="257"/>
      <c r="O27" s="257"/>
    </row>
    <row r="28" spans="1:15">
      <c r="A28" s="257"/>
      <c r="B28" s="257"/>
      <c r="C28" s="257"/>
      <c r="D28" s="257"/>
      <c r="E28" s="257"/>
      <c r="F28" s="257"/>
      <c r="G28" s="257"/>
      <c r="H28" s="257"/>
      <c r="I28" s="257"/>
      <c r="J28" s="257"/>
      <c r="K28" s="257"/>
      <c r="L28" s="257"/>
      <c r="M28" s="257"/>
      <c r="N28" s="257"/>
      <c r="O28" s="257"/>
    </row>
    <row r="29" spans="1:15">
      <c r="A29" s="257"/>
      <c r="B29" s="257"/>
      <c r="C29" s="257"/>
      <c r="D29" s="257"/>
      <c r="E29" s="257"/>
      <c r="F29" s="257"/>
      <c r="G29" s="257"/>
      <c r="H29" s="257"/>
      <c r="I29" s="257"/>
      <c r="J29" s="257"/>
      <c r="K29" s="257"/>
      <c r="L29" s="257"/>
      <c r="M29" s="257"/>
      <c r="N29" s="257"/>
      <c r="O29" s="257"/>
    </row>
    <row r="30" spans="1:15">
      <c r="O30" s="257"/>
    </row>
  </sheetData>
  <mergeCells count="2">
    <mergeCell ref="A5:N5"/>
    <mergeCell ref="B25:M2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34"/>
  <sheetViews>
    <sheetView workbookViewId="0">
      <selection activeCell="N33" sqref="A2:N33"/>
    </sheetView>
  </sheetViews>
  <sheetFormatPr baseColWidth="10" defaultRowHeight="12.75"/>
  <sheetData>
    <row r="1" spans="1:15">
      <c r="A1" s="257"/>
      <c r="B1" s="257"/>
      <c r="C1" s="257"/>
      <c r="D1" s="257"/>
      <c r="E1" s="257"/>
      <c r="F1" s="257"/>
      <c r="G1" s="257"/>
      <c r="H1" s="257"/>
      <c r="I1" s="257"/>
      <c r="J1" s="257"/>
      <c r="K1" s="257"/>
      <c r="L1" s="257"/>
      <c r="M1" s="257"/>
      <c r="N1" s="257"/>
      <c r="O1" s="257"/>
    </row>
    <row r="2" spans="1:15">
      <c r="A2" s="214" t="s">
        <v>149</v>
      </c>
      <c r="B2" s="214"/>
      <c r="C2" s="214"/>
      <c r="D2" s="214"/>
      <c r="E2" s="214"/>
      <c r="F2" s="214"/>
      <c r="G2" s="214"/>
      <c r="H2" s="214"/>
      <c r="I2" s="214"/>
      <c r="J2" s="214"/>
      <c r="K2" s="214"/>
      <c r="L2" s="214"/>
      <c r="M2" s="214"/>
      <c r="N2" s="214"/>
      <c r="O2" s="257"/>
    </row>
    <row r="3" spans="1:15">
      <c r="A3" s="74"/>
      <c r="B3" s="48" t="s">
        <v>152</v>
      </c>
      <c r="C3" s="74" t="s">
        <v>3</v>
      </c>
      <c r="D3" s="74" t="s">
        <v>4</v>
      </c>
      <c r="E3" s="74" t="s">
        <v>5</v>
      </c>
      <c r="F3" s="74" t="s">
        <v>6</v>
      </c>
      <c r="G3" s="74" t="s">
        <v>7</v>
      </c>
      <c r="H3" s="74" t="s">
        <v>8</v>
      </c>
      <c r="I3" s="74" t="s">
        <v>9</v>
      </c>
      <c r="J3" s="74" t="s">
        <v>10</v>
      </c>
      <c r="K3" s="74" t="s">
        <v>96</v>
      </c>
      <c r="L3" s="74" t="s">
        <v>12</v>
      </c>
      <c r="M3" s="74" t="s">
        <v>13</v>
      </c>
      <c r="N3" s="74" t="s">
        <v>14</v>
      </c>
      <c r="O3" s="257"/>
    </row>
    <row r="4" spans="1:15">
      <c r="A4" s="48" t="s">
        <v>133</v>
      </c>
      <c r="B4" s="48" t="s">
        <v>153</v>
      </c>
      <c r="C4" s="3">
        <v>2320</v>
      </c>
      <c r="D4" s="3">
        <v>2320</v>
      </c>
      <c r="E4" s="3">
        <v>2320</v>
      </c>
      <c r="F4" s="3">
        <v>2320</v>
      </c>
      <c r="G4" s="3">
        <v>2320</v>
      </c>
      <c r="H4" s="3">
        <v>2320</v>
      </c>
      <c r="I4" s="3">
        <v>2320</v>
      </c>
      <c r="J4" s="3">
        <v>2320</v>
      </c>
      <c r="K4" s="3">
        <v>2560</v>
      </c>
      <c r="L4" s="3">
        <v>2320</v>
      </c>
      <c r="M4" s="3">
        <v>2320</v>
      </c>
      <c r="N4" s="3">
        <v>1920</v>
      </c>
      <c r="O4" s="257"/>
    </row>
    <row r="5" spans="1:15">
      <c r="A5" s="211" t="s">
        <v>157</v>
      </c>
      <c r="B5" s="48" t="s">
        <v>142</v>
      </c>
      <c r="C5" s="3">
        <v>2019.6000000000001</v>
      </c>
      <c r="D5" s="3">
        <v>2320</v>
      </c>
      <c r="E5" s="3">
        <v>2320</v>
      </c>
      <c r="F5" s="3">
        <v>2320</v>
      </c>
      <c r="G5" s="3">
        <v>2320</v>
      </c>
      <c r="H5" s="3">
        <v>2320</v>
      </c>
      <c r="I5" s="3">
        <v>2320</v>
      </c>
      <c r="J5" s="3">
        <v>2320</v>
      </c>
      <c r="K5" s="3">
        <v>2560</v>
      </c>
      <c r="L5" s="3">
        <v>2320</v>
      </c>
      <c r="M5" s="3">
        <v>2320</v>
      </c>
      <c r="N5" s="74">
        <v>1920</v>
      </c>
      <c r="O5" s="257"/>
    </row>
    <row r="6" spans="1:15">
      <c r="A6" s="144"/>
      <c r="B6" s="48" t="s">
        <v>154</v>
      </c>
      <c r="C6" s="74">
        <v>23200</v>
      </c>
      <c r="D6" s="74">
        <v>23200</v>
      </c>
      <c r="E6" s="74">
        <v>23200</v>
      </c>
      <c r="F6" s="74">
        <v>23200</v>
      </c>
      <c r="G6" s="74">
        <v>23200</v>
      </c>
      <c r="H6" s="74">
        <v>23200</v>
      </c>
      <c r="I6" s="74">
        <v>23200</v>
      </c>
      <c r="J6" s="74">
        <v>23200</v>
      </c>
      <c r="K6" s="74">
        <v>25600</v>
      </c>
      <c r="L6" s="74">
        <v>23200</v>
      </c>
      <c r="M6" s="74">
        <v>23200</v>
      </c>
      <c r="N6" s="74">
        <v>19200</v>
      </c>
      <c r="O6" s="257"/>
    </row>
    <row r="7" spans="1:15">
      <c r="A7" s="144"/>
      <c r="B7" s="48" t="s">
        <v>144</v>
      </c>
      <c r="C7" s="3">
        <v>2320</v>
      </c>
      <c r="D7" s="3">
        <v>2320</v>
      </c>
      <c r="E7" s="3">
        <v>2320</v>
      </c>
      <c r="F7" s="3">
        <v>2320</v>
      </c>
      <c r="G7" s="3">
        <v>2320</v>
      </c>
      <c r="H7" s="3">
        <v>2320</v>
      </c>
      <c r="I7" s="3">
        <v>2320</v>
      </c>
      <c r="J7" s="3">
        <v>2560</v>
      </c>
      <c r="K7" s="3">
        <v>2320</v>
      </c>
      <c r="L7" s="3">
        <v>2320</v>
      </c>
      <c r="M7" s="3">
        <v>1920</v>
      </c>
      <c r="N7" s="3">
        <v>2367</v>
      </c>
      <c r="O7" s="257"/>
    </row>
    <row r="8" spans="1:15">
      <c r="A8" s="144"/>
      <c r="B8" s="48" t="s">
        <v>155</v>
      </c>
      <c r="C8" s="88">
        <v>23500.400000000001</v>
      </c>
      <c r="D8" s="89">
        <v>23200</v>
      </c>
      <c r="E8" s="89">
        <v>23200</v>
      </c>
      <c r="F8" s="89">
        <v>23200</v>
      </c>
      <c r="G8" s="89">
        <v>23200</v>
      </c>
      <c r="H8" s="89">
        <v>23200</v>
      </c>
      <c r="I8" s="89">
        <v>23200</v>
      </c>
      <c r="J8" s="89">
        <v>23440</v>
      </c>
      <c r="K8" s="89">
        <v>25360</v>
      </c>
      <c r="L8" s="89">
        <v>23200</v>
      </c>
      <c r="M8" s="89">
        <v>22800</v>
      </c>
      <c r="N8" s="89">
        <v>19647</v>
      </c>
      <c r="O8" s="257"/>
    </row>
    <row r="9" spans="1:15">
      <c r="A9" s="144"/>
      <c r="B9" s="48" t="s">
        <v>156</v>
      </c>
      <c r="C9" s="87">
        <v>211.50360000000001</v>
      </c>
      <c r="D9" s="87">
        <v>208.8</v>
      </c>
      <c r="E9" s="87">
        <v>208.8</v>
      </c>
      <c r="F9" s="87">
        <v>208.8</v>
      </c>
      <c r="G9" s="87">
        <v>208.8</v>
      </c>
      <c r="H9" s="87">
        <v>208.8</v>
      </c>
      <c r="I9" s="87">
        <v>208.8</v>
      </c>
      <c r="J9" s="87">
        <v>210.96</v>
      </c>
      <c r="K9" s="87">
        <v>228.24</v>
      </c>
      <c r="L9" s="87">
        <v>208.8</v>
      </c>
      <c r="M9" s="87">
        <v>205.2</v>
      </c>
      <c r="N9" s="87">
        <v>176.82300000000001</v>
      </c>
      <c r="O9" s="257"/>
    </row>
    <row r="10" spans="1:15">
      <c r="A10" s="211" t="s">
        <v>158</v>
      </c>
      <c r="B10" s="48" t="s">
        <v>142</v>
      </c>
      <c r="C10" s="3">
        <v>2827.4400000000005</v>
      </c>
      <c r="D10" s="3">
        <v>3248</v>
      </c>
      <c r="E10" s="3">
        <v>3248</v>
      </c>
      <c r="F10" s="3">
        <v>3248</v>
      </c>
      <c r="G10" s="3">
        <v>3248</v>
      </c>
      <c r="H10" s="3">
        <v>3248</v>
      </c>
      <c r="I10" s="3">
        <v>3248</v>
      </c>
      <c r="J10" s="3">
        <v>3248</v>
      </c>
      <c r="K10" s="3">
        <v>3584</v>
      </c>
      <c r="L10" s="3">
        <v>3248</v>
      </c>
      <c r="M10" s="3">
        <v>3248</v>
      </c>
      <c r="N10" s="3">
        <v>2688</v>
      </c>
      <c r="O10" s="257"/>
    </row>
    <row r="11" spans="1:15">
      <c r="A11" s="144"/>
      <c r="B11" s="48" t="s">
        <v>154</v>
      </c>
      <c r="C11" s="74">
        <v>32480</v>
      </c>
      <c r="D11" s="74">
        <v>32480</v>
      </c>
      <c r="E11" s="74">
        <v>32480</v>
      </c>
      <c r="F11" s="74">
        <v>32480</v>
      </c>
      <c r="G11" s="74">
        <v>32480</v>
      </c>
      <c r="H11" s="74">
        <v>32480</v>
      </c>
      <c r="I11" s="74">
        <v>32480</v>
      </c>
      <c r="J11" s="74">
        <v>32480</v>
      </c>
      <c r="K11" s="74">
        <v>35840</v>
      </c>
      <c r="L11" s="74">
        <v>32480</v>
      </c>
      <c r="M11" s="74">
        <v>32480</v>
      </c>
      <c r="N11" s="74">
        <v>26880</v>
      </c>
      <c r="O11" s="257"/>
    </row>
    <row r="12" spans="1:15">
      <c r="A12" s="144"/>
      <c r="B12" s="48" t="s">
        <v>144</v>
      </c>
      <c r="C12" s="74">
        <v>3248</v>
      </c>
      <c r="D12" s="74">
        <v>3248</v>
      </c>
      <c r="E12" s="74">
        <v>3248</v>
      </c>
      <c r="F12" s="74">
        <v>3248</v>
      </c>
      <c r="G12" s="74">
        <v>3248</v>
      </c>
      <c r="H12" s="74">
        <v>3248</v>
      </c>
      <c r="I12" s="74">
        <v>3248</v>
      </c>
      <c r="J12" s="74">
        <v>3584</v>
      </c>
      <c r="K12" s="74">
        <v>3248</v>
      </c>
      <c r="L12" s="74">
        <v>3248</v>
      </c>
      <c r="M12" s="74">
        <v>2688</v>
      </c>
      <c r="N12" s="74">
        <v>3314</v>
      </c>
      <c r="O12" s="257"/>
    </row>
    <row r="13" spans="1:15">
      <c r="A13" s="144"/>
      <c r="B13" s="48" t="s">
        <v>155</v>
      </c>
      <c r="C13" s="88">
        <v>32900.559999999998</v>
      </c>
      <c r="D13" s="89">
        <v>32480</v>
      </c>
      <c r="E13" s="89">
        <v>32480</v>
      </c>
      <c r="F13" s="89">
        <v>32480</v>
      </c>
      <c r="G13" s="89">
        <v>32480</v>
      </c>
      <c r="H13" s="89">
        <v>32480</v>
      </c>
      <c r="I13" s="89">
        <v>32480</v>
      </c>
      <c r="J13" s="89">
        <v>32816</v>
      </c>
      <c r="K13" s="89">
        <v>35504</v>
      </c>
      <c r="L13" s="89">
        <v>32480</v>
      </c>
      <c r="M13" s="89">
        <v>31920</v>
      </c>
      <c r="N13" s="89">
        <v>27506</v>
      </c>
      <c r="O13" s="257"/>
    </row>
    <row r="14" spans="1:15">
      <c r="A14" s="144"/>
      <c r="B14" s="48" t="s">
        <v>156</v>
      </c>
      <c r="C14" s="87">
        <v>329.00559999999996</v>
      </c>
      <c r="D14" s="87">
        <v>324.8</v>
      </c>
      <c r="E14" s="87">
        <v>324.8</v>
      </c>
      <c r="F14" s="87">
        <v>324.8</v>
      </c>
      <c r="G14" s="87">
        <v>324.8</v>
      </c>
      <c r="H14" s="87">
        <v>324.8</v>
      </c>
      <c r="I14" s="87">
        <v>324.8</v>
      </c>
      <c r="J14" s="87">
        <v>328.16</v>
      </c>
      <c r="K14" s="87">
        <v>355.04</v>
      </c>
      <c r="L14" s="87">
        <v>324.8</v>
      </c>
      <c r="M14" s="87">
        <v>319.2</v>
      </c>
      <c r="N14" s="87">
        <v>275.06</v>
      </c>
      <c r="O14" s="257"/>
    </row>
    <row r="15" spans="1:15">
      <c r="A15" s="48" t="s">
        <v>134</v>
      </c>
      <c r="B15" s="48" t="s">
        <v>153</v>
      </c>
      <c r="C15" s="3">
        <v>630</v>
      </c>
      <c r="D15" s="3">
        <v>630</v>
      </c>
      <c r="E15" s="3">
        <v>880.00000000000011</v>
      </c>
      <c r="F15" s="3">
        <v>630</v>
      </c>
      <c r="G15" s="3">
        <v>630</v>
      </c>
      <c r="H15" s="3">
        <v>630</v>
      </c>
      <c r="I15" s="3">
        <v>720</v>
      </c>
      <c r="J15" s="3">
        <v>990.00000000000011</v>
      </c>
      <c r="K15" s="3">
        <v>990</v>
      </c>
      <c r="L15" s="3">
        <v>990</v>
      </c>
      <c r="M15" s="3">
        <v>540</v>
      </c>
      <c r="N15" s="3">
        <v>630</v>
      </c>
      <c r="O15" s="257"/>
    </row>
    <row r="16" spans="1:15">
      <c r="A16" s="211" t="s">
        <v>159</v>
      </c>
      <c r="B16" s="48" t="s">
        <v>142</v>
      </c>
      <c r="C16" s="3">
        <v>1110.7800000000002</v>
      </c>
      <c r="D16" s="3">
        <v>1386</v>
      </c>
      <c r="E16" s="3">
        <v>1936</v>
      </c>
      <c r="F16" s="3">
        <v>1386</v>
      </c>
      <c r="G16" s="3">
        <v>1386</v>
      </c>
      <c r="H16" s="3">
        <v>1386</v>
      </c>
      <c r="I16" s="3">
        <v>1584</v>
      </c>
      <c r="J16" s="3">
        <v>2178</v>
      </c>
      <c r="K16" s="3">
        <v>2178</v>
      </c>
      <c r="L16" s="3">
        <v>2178</v>
      </c>
      <c r="M16" s="3">
        <v>1188</v>
      </c>
      <c r="N16" s="3">
        <v>1386</v>
      </c>
      <c r="O16" s="257"/>
    </row>
    <row r="17" spans="1:15">
      <c r="A17" s="144"/>
      <c r="B17" s="48" t="s">
        <v>154</v>
      </c>
      <c r="C17" s="74">
        <v>13860</v>
      </c>
      <c r="D17" s="74">
        <v>13860</v>
      </c>
      <c r="E17" s="74">
        <v>19360</v>
      </c>
      <c r="F17" s="74">
        <v>13860</v>
      </c>
      <c r="G17" s="74">
        <v>13860</v>
      </c>
      <c r="H17" s="74">
        <v>13860</v>
      </c>
      <c r="I17" s="74">
        <v>15840</v>
      </c>
      <c r="J17" s="74">
        <v>21780</v>
      </c>
      <c r="K17" s="74">
        <v>21780</v>
      </c>
      <c r="L17" s="74">
        <v>21780</v>
      </c>
      <c r="M17" s="74">
        <v>11880</v>
      </c>
      <c r="N17" s="74">
        <v>13860</v>
      </c>
      <c r="O17" s="257"/>
    </row>
    <row r="18" spans="1:15">
      <c r="A18" s="144"/>
      <c r="B18" s="48" t="s">
        <v>144</v>
      </c>
      <c r="C18" s="74">
        <v>1386</v>
      </c>
      <c r="D18" s="74">
        <v>1936</v>
      </c>
      <c r="E18" s="74">
        <v>1386</v>
      </c>
      <c r="F18" s="74">
        <v>1386</v>
      </c>
      <c r="G18" s="74">
        <v>1386</v>
      </c>
      <c r="H18" s="74">
        <v>1584</v>
      </c>
      <c r="I18" s="74">
        <v>2178</v>
      </c>
      <c r="J18" s="74">
        <v>2178</v>
      </c>
      <c r="K18" s="74">
        <v>2178</v>
      </c>
      <c r="L18" s="74">
        <v>1188</v>
      </c>
      <c r="M18" s="74">
        <v>1386</v>
      </c>
      <c r="N18" s="74">
        <v>1415</v>
      </c>
      <c r="O18" s="257"/>
    </row>
    <row r="19" spans="1:15">
      <c r="A19" s="144"/>
      <c r="B19" s="48" t="s">
        <v>155</v>
      </c>
      <c r="C19" s="88">
        <v>14135.22</v>
      </c>
      <c r="D19" s="89">
        <v>14410</v>
      </c>
      <c r="E19" s="89">
        <v>18810</v>
      </c>
      <c r="F19" s="89">
        <v>13860</v>
      </c>
      <c r="G19" s="89">
        <v>13860</v>
      </c>
      <c r="H19" s="89">
        <v>14058</v>
      </c>
      <c r="I19" s="89">
        <v>16434</v>
      </c>
      <c r="J19" s="89">
        <v>21780</v>
      </c>
      <c r="K19" s="89">
        <v>21780</v>
      </c>
      <c r="L19" s="89">
        <v>20790</v>
      </c>
      <c r="M19" s="89">
        <v>12078</v>
      </c>
      <c r="N19" s="89">
        <v>13889</v>
      </c>
      <c r="O19" s="257"/>
    </row>
    <row r="20" spans="1:15">
      <c r="A20" s="144"/>
      <c r="B20" s="48" t="s">
        <v>156</v>
      </c>
      <c r="C20" s="87">
        <v>113.08175999999999</v>
      </c>
      <c r="D20" s="87">
        <v>115.28</v>
      </c>
      <c r="E20" s="87">
        <v>150.47999999999999</v>
      </c>
      <c r="F20" s="87">
        <v>110.88</v>
      </c>
      <c r="G20" s="87">
        <v>110.88</v>
      </c>
      <c r="H20" s="87">
        <v>112.464</v>
      </c>
      <c r="I20" s="87">
        <v>131.47200000000001</v>
      </c>
      <c r="J20" s="87">
        <v>174.24</v>
      </c>
      <c r="K20" s="87">
        <v>174.24</v>
      </c>
      <c r="L20" s="87">
        <v>166.32</v>
      </c>
      <c r="M20" s="87">
        <v>96.623999999999995</v>
      </c>
      <c r="N20" s="87">
        <v>111.11199999999999</v>
      </c>
      <c r="O20" s="257"/>
    </row>
    <row r="21" spans="1:15">
      <c r="A21" s="211" t="s">
        <v>160</v>
      </c>
      <c r="B21" s="48" t="s">
        <v>142</v>
      </c>
      <c r="C21" s="3">
        <v>1211.76</v>
      </c>
      <c r="D21" s="3">
        <v>1512</v>
      </c>
      <c r="E21" s="3">
        <v>2112</v>
      </c>
      <c r="F21" s="3">
        <v>1512</v>
      </c>
      <c r="G21" s="3">
        <v>1512</v>
      </c>
      <c r="H21" s="3">
        <v>1512</v>
      </c>
      <c r="I21" s="3">
        <v>1728</v>
      </c>
      <c r="J21" s="3">
        <v>2376</v>
      </c>
      <c r="K21" s="3">
        <v>2376</v>
      </c>
      <c r="L21" s="3">
        <v>2376</v>
      </c>
      <c r="M21" s="3">
        <v>1296</v>
      </c>
      <c r="N21" s="3">
        <v>1512</v>
      </c>
      <c r="O21" s="257"/>
    </row>
    <row r="22" spans="1:15">
      <c r="A22" s="144"/>
      <c r="B22" s="48" t="s">
        <v>154</v>
      </c>
      <c r="C22" s="74">
        <v>15120</v>
      </c>
      <c r="D22" s="74">
        <v>15120</v>
      </c>
      <c r="E22" s="74">
        <v>21120</v>
      </c>
      <c r="F22" s="74">
        <v>15120</v>
      </c>
      <c r="G22" s="74">
        <v>15120</v>
      </c>
      <c r="H22" s="74">
        <v>15120</v>
      </c>
      <c r="I22" s="74">
        <v>17280</v>
      </c>
      <c r="J22" s="74">
        <v>23760</v>
      </c>
      <c r="K22" s="74">
        <v>23760</v>
      </c>
      <c r="L22" s="74">
        <v>23760</v>
      </c>
      <c r="M22" s="74">
        <v>12960</v>
      </c>
      <c r="N22" s="74">
        <v>15120</v>
      </c>
      <c r="O22" s="257"/>
    </row>
    <row r="23" spans="1:15">
      <c r="A23" s="144"/>
      <c r="B23" s="48" t="s">
        <v>144</v>
      </c>
      <c r="C23" s="74">
        <v>1512</v>
      </c>
      <c r="D23" s="74">
        <v>2112</v>
      </c>
      <c r="E23" s="74">
        <v>1512</v>
      </c>
      <c r="F23" s="74">
        <v>1512</v>
      </c>
      <c r="G23" s="74">
        <v>1512</v>
      </c>
      <c r="H23" s="74">
        <v>1728</v>
      </c>
      <c r="I23" s="74">
        <v>2376</v>
      </c>
      <c r="J23" s="74">
        <v>2376</v>
      </c>
      <c r="K23" s="74">
        <v>2376</v>
      </c>
      <c r="L23" s="74">
        <v>1296</v>
      </c>
      <c r="M23" s="74">
        <v>1512</v>
      </c>
      <c r="N23" s="74">
        <v>1544</v>
      </c>
      <c r="O23" s="257"/>
    </row>
    <row r="24" spans="1:15">
      <c r="A24" s="144"/>
      <c r="B24" s="48" t="s">
        <v>155</v>
      </c>
      <c r="C24" s="88">
        <v>15420.24</v>
      </c>
      <c r="D24" s="89">
        <v>15720</v>
      </c>
      <c r="E24" s="89">
        <v>20520</v>
      </c>
      <c r="F24" s="89">
        <v>15120</v>
      </c>
      <c r="G24" s="89">
        <v>15120</v>
      </c>
      <c r="H24" s="89">
        <v>15336</v>
      </c>
      <c r="I24" s="89">
        <v>17928</v>
      </c>
      <c r="J24" s="89">
        <v>23760</v>
      </c>
      <c r="K24" s="89">
        <v>23760</v>
      </c>
      <c r="L24" s="89">
        <v>22680</v>
      </c>
      <c r="M24" s="89">
        <v>13176</v>
      </c>
      <c r="N24" s="89">
        <v>15152</v>
      </c>
      <c r="O24" s="257"/>
    </row>
    <row r="25" spans="1:15">
      <c r="A25" s="144"/>
      <c r="B25" s="48" t="s">
        <v>156</v>
      </c>
      <c r="C25" s="87">
        <v>107.94167999999999</v>
      </c>
      <c r="D25" s="87">
        <v>110.04</v>
      </c>
      <c r="E25" s="87">
        <v>143.63999999999999</v>
      </c>
      <c r="F25" s="87">
        <v>105.84</v>
      </c>
      <c r="G25" s="87">
        <v>105.84</v>
      </c>
      <c r="H25" s="87">
        <v>107.352</v>
      </c>
      <c r="I25" s="87">
        <v>125.496</v>
      </c>
      <c r="J25" s="87">
        <v>166.32</v>
      </c>
      <c r="K25" s="87">
        <v>166.32</v>
      </c>
      <c r="L25" s="87">
        <v>158.76</v>
      </c>
      <c r="M25" s="87">
        <v>92.231999999999999</v>
      </c>
      <c r="N25" s="87">
        <v>106.06399999999999</v>
      </c>
      <c r="O25" s="257"/>
    </row>
    <row r="26" spans="1:15">
      <c r="A26" s="48" t="s">
        <v>161</v>
      </c>
      <c r="B26" s="74"/>
      <c r="C26" s="87">
        <v>761.53264000000001</v>
      </c>
      <c r="D26" s="87">
        <v>758.92</v>
      </c>
      <c r="E26" s="87">
        <v>827.72</v>
      </c>
      <c r="F26" s="87">
        <v>750.32</v>
      </c>
      <c r="G26" s="87">
        <v>750.32</v>
      </c>
      <c r="H26" s="87">
        <v>753.41600000000005</v>
      </c>
      <c r="I26" s="87">
        <v>790.56799999999998</v>
      </c>
      <c r="J26" s="87">
        <v>879.68000000000006</v>
      </c>
      <c r="K26" s="87">
        <v>923.83999999999992</v>
      </c>
      <c r="L26" s="87">
        <v>858.68000000000006</v>
      </c>
      <c r="M26" s="87">
        <v>713.25599999999997</v>
      </c>
      <c r="N26" s="87">
        <v>669.05899999999997</v>
      </c>
      <c r="O26" s="257"/>
    </row>
    <row r="27" spans="1:15">
      <c r="A27" s="257"/>
      <c r="B27" s="257"/>
      <c r="C27" s="257"/>
      <c r="D27" s="257"/>
      <c r="E27" s="257"/>
      <c r="F27" s="257"/>
      <c r="G27" s="257"/>
      <c r="H27" s="257"/>
      <c r="I27" s="257"/>
      <c r="J27" s="257"/>
      <c r="K27" s="257"/>
      <c r="L27" s="257"/>
      <c r="M27" s="257"/>
      <c r="N27" s="257"/>
      <c r="O27" s="257"/>
    </row>
    <row r="28" spans="1:15">
      <c r="A28" s="257"/>
      <c r="B28" s="218" t="s">
        <v>287</v>
      </c>
      <c r="C28" s="218"/>
      <c r="D28" s="218"/>
      <c r="E28" s="218"/>
      <c r="F28" s="218"/>
      <c r="G28" s="218"/>
      <c r="H28" s="218"/>
      <c r="I28" s="218"/>
      <c r="J28" s="218"/>
      <c r="K28" s="218"/>
      <c r="L28" s="218"/>
      <c r="M28" s="218"/>
      <c r="N28" s="257"/>
      <c r="O28" s="257"/>
    </row>
    <row r="29" spans="1:15">
      <c r="A29" s="257"/>
      <c r="B29" s="74" t="s">
        <v>3</v>
      </c>
      <c r="C29" s="74" t="s">
        <v>4</v>
      </c>
      <c r="D29" s="74" t="s">
        <v>5</v>
      </c>
      <c r="E29" s="74" t="s">
        <v>6</v>
      </c>
      <c r="F29" s="74" t="s">
        <v>7</v>
      </c>
      <c r="G29" s="74" t="s">
        <v>8</v>
      </c>
      <c r="H29" s="74" t="s">
        <v>9</v>
      </c>
      <c r="I29" s="74" t="s">
        <v>10</v>
      </c>
      <c r="J29" s="74" t="s">
        <v>96</v>
      </c>
      <c r="K29" s="74" t="s">
        <v>12</v>
      </c>
      <c r="L29" s="74" t="s">
        <v>13</v>
      </c>
      <c r="M29" s="74" t="s">
        <v>14</v>
      </c>
      <c r="N29" s="257"/>
      <c r="O29" s="257"/>
    </row>
    <row r="30" spans="1:15">
      <c r="A30" s="257"/>
      <c r="B30" s="59">
        <v>232.97810344827585</v>
      </c>
      <c r="C30" s="59">
        <v>230</v>
      </c>
      <c r="D30" s="59">
        <v>230</v>
      </c>
      <c r="E30" s="59">
        <v>230</v>
      </c>
      <c r="F30" s="59">
        <v>230</v>
      </c>
      <c r="G30" s="59">
        <v>230</v>
      </c>
      <c r="H30" s="59">
        <v>230</v>
      </c>
      <c r="I30" s="59">
        <v>232.37931034482759</v>
      </c>
      <c r="J30" s="59">
        <v>227.84375</v>
      </c>
      <c r="K30" s="59">
        <v>230</v>
      </c>
      <c r="L30" s="59">
        <v>226.0344827586207</v>
      </c>
      <c r="M30" s="59">
        <v>235.35572916666669</v>
      </c>
      <c r="N30" s="257"/>
      <c r="O30" s="257"/>
    </row>
    <row r="31" spans="1:15">
      <c r="A31" s="257"/>
      <c r="B31" s="59">
        <v>350.83085714285716</v>
      </c>
      <c r="C31" s="59">
        <v>357.65079365079367</v>
      </c>
      <c r="D31" s="59">
        <v>334.22727272727275</v>
      </c>
      <c r="E31" s="59">
        <v>344</v>
      </c>
      <c r="F31" s="59">
        <v>344</v>
      </c>
      <c r="G31" s="59">
        <v>348.91428571428571</v>
      </c>
      <c r="H31" s="59">
        <v>356.90000000000003</v>
      </c>
      <c r="I31" s="59">
        <v>344</v>
      </c>
      <c r="J31" s="59">
        <v>344</v>
      </c>
      <c r="K31" s="59">
        <v>328.36363636363637</v>
      </c>
      <c r="L31" s="59">
        <v>349.73333333333335</v>
      </c>
      <c r="M31" s="59">
        <v>344.72380952380951</v>
      </c>
      <c r="N31" s="257"/>
      <c r="O31" s="257"/>
    </row>
    <row r="32" spans="1:15">
      <c r="A32" s="257"/>
      <c r="B32" s="257"/>
      <c r="C32" s="257"/>
      <c r="D32" s="257"/>
      <c r="E32" s="257"/>
      <c r="F32" s="257"/>
      <c r="G32" s="257"/>
      <c r="H32" s="257"/>
      <c r="I32" s="257"/>
      <c r="J32" s="257"/>
      <c r="K32" s="257"/>
      <c r="L32" s="257"/>
      <c r="M32" s="257"/>
      <c r="N32" s="257"/>
      <c r="O32" s="257"/>
    </row>
    <row r="33" spans="1:15">
      <c r="A33" s="257"/>
      <c r="B33" s="257"/>
      <c r="C33" s="257"/>
      <c r="D33" s="257"/>
      <c r="E33" s="257"/>
      <c r="F33" s="257"/>
      <c r="G33" s="257"/>
      <c r="H33" s="257"/>
      <c r="I33" s="257"/>
      <c r="J33" s="257"/>
      <c r="K33" s="257"/>
      <c r="L33" s="257"/>
      <c r="M33" s="257"/>
      <c r="N33" s="257"/>
      <c r="O33" s="257"/>
    </row>
    <row r="34" spans="1:15">
      <c r="O34" s="257"/>
    </row>
  </sheetData>
  <mergeCells count="6">
    <mergeCell ref="B28:M28"/>
    <mergeCell ref="A2:N2"/>
    <mergeCell ref="A5:A9"/>
    <mergeCell ref="A10:A14"/>
    <mergeCell ref="A16:A20"/>
    <mergeCell ref="A21: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Enunciado</vt:lpstr>
      <vt:lpstr>Hoja2</vt:lpstr>
      <vt:lpstr>Hoja3</vt:lpstr>
      <vt:lpstr>Hoja4</vt:lpstr>
      <vt:lpstr>Hoja5</vt:lpstr>
      <vt:lpstr>Pronostico de Ventas</vt:lpstr>
      <vt:lpstr>Producción</vt:lpstr>
      <vt:lpstr>Mano de Obra</vt:lpstr>
      <vt:lpstr>Materias Primas</vt:lpstr>
      <vt:lpstr>Presupuesto de Ventas</vt:lpstr>
      <vt:lpstr>Presupuesto de Facturación</vt:lpstr>
      <vt:lpstr>Presupuesto de Cobranzas</vt:lpstr>
      <vt:lpstr>Gastos e Inversiones</vt:lpstr>
      <vt:lpstr>¨Presupuesto Financiero</vt:lpstr>
      <vt:lpstr>Cuadro de Resultados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2000 Professional</dc:creator>
  <cp:lastModifiedBy>Shazgath</cp:lastModifiedBy>
  <cp:lastPrinted>2013-06-17T15:43:23Z</cp:lastPrinted>
  <dcterms:created xsi:type="dcterms:W3CDTF">2004-10-18T14:02:37Z</dcterms:created>
  <dcterms:modified xsi:type="dcterms:W3CDTF">2013-12-17T17:05:56Z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-823111246</vt:i4>
  </property>
  <property fmtid="{D5CDD505-2E9C-101B-9397-08002B2CF9AE}" pid="4" name="_EmailSubject">
    <vt:lpwstr>PRESUPUESTO</vt:lpwstr>
  </property>
  <property fmtid="{D5CDD505-2E9C-101B-9397-08002B2CF9AE}" pid="5" name="_AuthorEmail">
    <vt:lpwstr>oducrey@exiros.com</vt:lpwstr>
  </property>
  <property fmtid="{D5CDD505-2E9C-101B-9397-08002B2CF9AE}" pid="6" name="_AuthorEmailDisplayName">
    <vt:lpwstr>DUCREY Omar             EXIROS</vt:lpwstr>
  </property>
  <property fmtid="{D5CDD505-2E9C-101B-9397-08002B2CF9AE}" pid="7" name="_ReviewingToolsShownOnce">
    <vt:lpwstr/>
  </property>
</Properties>
</file>